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11430" windowHeight="1095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结果表-商业" sheetId="84" r:id="rId37"/>
    <sheet name="成本法-商业" sheetId="83" r:id="rId38"/>
    <sheet name="收益法-商业" sheetId="81" r:id="rId39"/>
    <sheet name="基准地价修正-商业" sheetId="82" r:id="rId40"/>
    <sheet name="修正" sheetId="45" state="hidden" r:id="rId41"/>
    <sheet name="容积率修正" sheetId="46" state="hidden" r:id="rId42"/>
    <sheet name="成本法（废）" sheetId="11" state="hidden" r:id="rId43"/>
    <sheet name="区片价" sheetId="44" r:id="rId44"/>
    <sheet name="因素修正幅度" sheetId="65" r:id="rId45"/>
    <sheet name="区片价（范围）" sheetId="75" state="hidden" r:id="rId46"/>
    <sheet name="地价-分区" sheetId="79" r:id="rId47"/>
    <sheet name="地价" sheetId="71" state="hidden" r:id="rId48"/>
    <sheet name="存贷款利率" sheetId="73" state="hidden" r:id="rId49"/>
    <sheet name="Sheet1" sheetId="80" r:id="rId50"/>
  </sheets>
  <externalReferences>
    <externalReference r:id="rId51"/>
    <externalReference r:id="rId52"/>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37">'成本法-商业'!$A$1:$G$57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39">'基准地价修正-商业'!$A$1:$J$44,'基准地价修正-商业'!$A$47:$H$101,'基准地价修正-商业'!$R$1:$V$16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36">'结果表-商业'!$A$1:$I$127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8">'收益法-商业'!$A$1:$F$43,'收益法-商业'!$H$3:$M$29,'收益法-商业'!$A$46:$F$71,'收益法-商业'!$I$46:$N$65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9">'基准地价修正-商业'!$Q$19:$AD$19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33" i="82" l="1"/>
  <c r="G31" i="80" l="1"/>
  <c r="G28" i="80"/>
  <c r="E28" i="80"/>
  <c r="G26" i="80"/>
  <c r="G27" i="80"/>
  <c r="G25" i="80"/>
  <c r="E26" i="80"/>
  <c r="E25" i="80"/>
  <c r="D27" i="80"/>
  <c r="D26" i="80"/>
  <c r="D25" i="80"/>
  <c r="I13" i="3" l="1"/>
  <c r="E15" i="80" l="1"/>
  <c r="G5" i="80" l="1"/>
  <c r="D5" i="80"/>
  <c r="D6" i="80"/>
  <c r="G4" i="80"/>
  <c r="U2" i="82" l="1"/>
  <c r="A126" i="84"/>
  <c r="A122" i="84"/>
  <c r="A120" i="84"/>
  <c r="A118" i="84"/>
  <c r="H111" i="84"/>
  <c r="D126" i="84" s="1"/>
  <c r="D127" i="84" s="1"/>
  <c r="E111" i="84"/>
  <c r="H112" i="84" s="1"/>
  <c r="E109" i="84"/>
  <c r="A124" i="84" s="1"/>
  <c r="E107" i="84"/>
  <c r="H106" i="84"/>
  <c r="H103" i="84" s="1"/>
  <c r="D120" i="84" s="1"/>
  <c r="H105" i="84"/>
  <c r="H104" i="84"/>
  <c r="D101" i="84"/>
  <c r="C101" i="84"/>
  <c r="D93" i="84"/>
  <c r="C91" i="84"/>
  <c r="E90" i="84"/>
  <c r="D89" i="84"/>
  <c r="C89" i="84"/>
  <c r="C87" i="84" s="1"/>
  <c r="D78" i="84"/>
  <c r="H77" i="84"/>
  <c r="D77" i="84"/>
  <c r="C76" i="84"/>
  <c r="D68" i="84"/>
  <c r="F59" i="84"/>
  <c r="E59" i="84"/>
  <c r="N56" i="84"/>
  <c r="M56" i="84"/>
  <c r="K56" i="84"/>
  <c r="J56" i="84"/>
  <c r="F56" i="84"/>
  <c r="O55" i="84"/>
  <c r="N55" i="84"/>
  <c r="K55" i="84"/>
  <c r="J55" i="84"/>
  <c r="J57" i="84" s="1"/>
  <c r="J59" i="84" s="1"/>
  <c r="J61" i="84" s="1"/>
  <c r="I55" i="84"/>
  <c r="F55" i="84"/>
  <c r="O53" i="84" s="1"/>
  <c r="O54" i="84"/>
  <c r="N54" i="84"/>
  <c r="F54" i="84"/>
  <c r="N53" i="84"/>
  <c r="F53" i="84"/>
  <c r="F52" i="84"/>
  <c r="K49" i="84"/>
  <c r="F48" i="84"/>
  <c r="O52" i="84" s="1"/>
  <c r="E48" i="84"/>
  <c r="N52" i="84" s="1"/>
  <c r="D48" i="84"/>
  <c r="M52" i="84" s="1"/>
  <c r="F33" i="84"/>
  <c r="D27" i="84"/>
  <c r="C25" i="84"/>
  <c r="C24" i="84"/>
  <c r="M18" i="84"/>
  <c r="B118" i="84" s="1"/>
  <c r="B15" i="74" s="1"/>
  <c r="D17" i="84"/>
  <c r="C17" i="84"/>
  <c r="L4" i="84"/>
  <c r="K4" i="84"/>
  <c r="A2" i="84"/>
  <c r="H1" i="84"/>
  <c r="F48" i="83"/>
  <c r="G41" i="83"/>
  <c r="F38" i="83"/>
  <c r="E37" i="83"/>
  <c r="F36" i="83"/>
  <c r="F35" i="83"/>
  <c r="F34" i="83"/>
  <c r="F30" i="83"/>
  <c r="G22" i="83"/>
  <c r="F21" i="83"/>
  <c r="F40" i="83" s="1"/>
  <c r="F20" i="83"/>
  <c r="F39" i="83" s="1"/>
  <c r="E19" i="83"/>
  <c r="C19" i="83"/>
  <c r="E10" i="83"/>
  <c r="E9" i="83"/>
  <c r="F7" i="83"/>
  <c r="G1" i="83"/>
  <c r="D1" i="82"/>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N101" i="82"/>
  <c r="M101" i="82"/>
  <c r="K101" i="82"/>
  <c r="J101" i="82" s="1"/>
  <c r="D101" i="82"/>
  <c r="B101" i="82"/>
  <c r="M100" i="82"/>
  <c r="N100" i="82" s="1"/>
  <c r="K100" i="82"/>
  <c r="J100" i="82"/>
  <c r="D100" i="82"/>
  <c r="B100" i="82"/>
  <c r="N99" i="82"/>
  <c r="M99" i="82"/>
  <c r="K99" i="82"/>
  <c r="J99" i="82" s="1"/>
  <c r="D99" i="82"/>
  <c r="B99" i="82"/>
  <c r="M98" i="82"/>
  <c r="N98" i="82" s="1"/>
  <c r="K98" i="82"/>
  <c r="J98" i="82"/>
  <c r="D98" i="82"/>
  <c r="M97" i="82"/>
  <c r="N97" i="82" s="1"/>
  <c r="K97" i="82"/>
  <c r="J97" i="82"/>
  <c r="D97" i="82"/>
  <c r="B97" i="82"/>
  <c r="N96" i="82"/>
  <c r="M96" i="82"/>
  <c r="K96" i="82"/>
  <c r="J96" i="82" s="1"/>
  <c r="D96" i="82"/>
  <c r="N95" i="82"/>
  <c r="M95" i="82"/>
  <c r="K95" i="82"/>
  <c r="J95" i="82" s="1"/>
  <c r="D95" i="82"/>
  <c r="B95" i="82"/>
  <c r="M94" i="82"/>
  <c r="N94" i="82" s="1"/>
  <c r="K94" i="82"/>
  <c r="J94" i="82"/>
  <c r="D94" i="82"/>
  <c r="B94" i="82"/>
  <c r="N93" i="82"/>
  <c r="M93" i="82"/>
  <c r="K93" i="82"/>
  <c r="J93" i="82" s="1"/>
  <c r="F93" i="82"/>
  <c r="H100" i="82" s="1"/>
  <c r="E93" i="82"/>
  <c r="D93" i="82"/>
  <c r="B91" i="82"/>
  <c r="M90" i="82"/>
  <c r="N90" i="82" s="1"/>
  <c r="K90" i="82"/>
  <c r="J90" i="82"/>
  <c r="D90" i="82"/>
  <c r="B90" i="82"/>
  <c r="N89" i="82"/>
  <c r="M89" i="82"/>
  <c r="K89" i="82"/>
  <c r="J89" i="82" s="1"/>
  <c r="D89" i="82"/>
  <c r="N88" i="82"/>
  <c r="M88" i="82"/>
  <c r="K88" i="82"/>
  <c r="J88" i="82" s="1"/>
  <c r="D88" i="82"/>
  <c r="B88" i="82"/>
  <c r="M87" i="82"/>
  <c r="N87" i="82" s="1"/>
  <c r="K87" i="82"/>
  <c r="J87" i="82"/>
  <c r="D87" i="82"/>
  <c r="B87" i="82"/>
  <c r="N86" i="82"/>
  <c r="M86" i="82"/>
  <c r="K86" i="82"/>
  <c r="J86" i="82" s="1"/>
  <c r="D86" i="82"/>
  <c r="B86" i="82"/>
  <c r="M85" i="82"/>
  <c r="N85" i="82" s="1"/>
  <c r="K85" i="82"/>
  <c r="J85" i="82"/>
  <c r="D85" i="82"/>
  <c r="B85" i="82"/>
  <c r="N84" i="82"/>
  <c r="M84" i="82"/>
  <c r="K84" i="82"/>
  <c r="J84" i="82" s="1"/>
  <c r="D84" i="82"/>
  <c r="B84" i="82"/>
  <c r="M83" i="82"/>
  <c r="N83" i="82" s="1"/>
  <c r="K83" i="82"/>
  <c r="J83" i="82"/>
  <c r="F83" i="82"/>
  <c r="H89" i="82" s="1"/>
  <c r="D83" i="82"/>
  <c r="B83" i="82"/>
  <c r="M80" i="82"/>
  <c r="N80" i="82" s="1"/>
  <c r="K80" i="82"/>
  <c r="J80" i="82"/>
  <c r="D80" i="82"/>
  <c r="M79" i="82"/>
  <c r="N79" i="82" s="1"/>
  <c r="K79" i="82"/>
  <c r="J79" i="82"/>
  <c r="D79" i="82"/>
  <c r="B79" i="82"/>
  <c r="N78" i="82"/>
  <c r="M78" i="82"/>
  <c r="K78" i="82"/>
  <c r="J78" i="82" s="1"/>
  <c r="D78" i="82"/>
  <c r="N77" i="82"/>
  <c r="M77" i="82"/>
  <c r="K77" i="82"/>
  <c r="J77" i="82" s="1"/>
  <c r="D77" i="82"/>
  <c r="B77" i="82"/>
  <c r="M76" i="82"/>
  <c r="N76" i="82" s="1"/>
  <c r="K76" i="82"/>
  <c r="J76" i="82"/>
  <c r="D76" i="82"/>
  <c r="B76" i="82"/>
  <c r="N75" i="82"/>
  <c r="M75" i="82"/>
  <c r="K75" i="82"/>
  <c r="J75" i="82" s="1"/>
  <c r="D75" i="82"/>
  <c r="B75" i="82"/>
  <c r="M74" i="82"/>
  <c r="N74" i="82" s="1"/>
  <c r="K74" i="82"/>
  <c r="J74" i="82"/>
  <c r="D74" i="82"/>
  <c r="B74" i="82"/>
  <c r="N73" i="82"/>
  <c r="M73" i="82"/>
  <c r="K73" i="82"/>
  <c r="J73" i="82" s="1"/>
  <c r="D73" i="82"/>
  <c r="B73" i="82"/>
  <c r="M72" i="82"/>
  <c r="N72" i="82" s="1"/>
  <c r="K72" i="82"/>
  <c r="J72" i="82"/>
  <c r="F72" i="82"/>
  <c r="H78" i="82" s="1"/>
  <c r="D72" i="82"/>
  <c r="E72" i="82" s="1"/>
  <c r="B72" i="82"/>
  <c r="B70" i="82"/>
  <c r="D69" i="82"/>
  <c r="B69" i="82"/>
  <c r="B68" i="82"/>
  <c r="D67" i="82"/>
  <c r="B67" i="82"/>
  <c r="D65" i="82"/>
  <c r="B65" i="82"/>
  <c r="B63" i="82"/>
  <c r="D62" i="82"/>
  <c r="B62" i="82"/>
  <c r="B61" i="82"/>
  <c r="D58" i="82"/>
  <c r="B58" i="82"/>
  <c r="B57" i="82"/>
  <c r="D56" i="82"/>
  <c r="B56" i="82"/>
  <c r="D54" i="82"/>
  <c r="B54" i="82"/>
  <c r="B52" i="82"/>
  <c r="D51" i="82"/>
  <c r="B51" i="82"/>
  <c r="D50" i="82"/>
  <c r="B50" i="82"/>
  <c r="H42" i="82"/>
  <c r="H41" i="82"/>
  <c r="H40" i="82"/>
  <c r="H39" i="82"/>
  <c r="H38" i="82"/>
  <c r="H37" i="82"/>
  <c r="J24" i="82"/>
  <c r="G24" i="82"/>
  <c r="E44" i="82" s="1"/>
  <c r="C44" i="82" s="1"/>
  <c r="E24" i="82"/>
  <c r="N32" i="82" s="1"/>
  <c r="M23" i="82"/>
  <c r="I23" i="82"/>
  <c r="C22" i="82"/>
  <c r="I18" i="82"/>
  <c r="G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M3" i="82"/>
  <c r="N2" i="82"/>
  <c r="I2" i="82"/>
  <c r="M12" i="82" s="1"/>
  <c r="G2" i="82"/>
  <c r="H116" i="82" s="1"/>
  <c r="M1" i="82"/>
  <c r="G62" i="43"/>
  <c r="G63" i="43"/>
  <c r="G64" i="43"/>
  <c r="G65" i="43"/>
  <c r="G66" i="43"/>
  <c r="G67" i="43"/>
  <c r="G68" i="43"/>
  <c r="G69" i="43"/>
  <c r="G61" i="43"/>
  <c r="G51" i="43"/>
  <c r="G52" i="43"/>
  <c r="G53" i="43"/>
  <c r="G54" i="43"/>
  <c r="G55" i="43"/>
  <c r="G56" i="43"/>
  <c r="G57" i="43"/>
  <c r="G58" i="43"/>
  <c r="G50" i="43"/>
  <c r="Q72" i="81"/>
  <c r="Q59" i="81"/>
  <c r="K59" i="81"/>
  <c r="P74" i="81" s="1"/>
  <c r="F59" i="81"/>
  <c r="Q58" i="81"/>
  <c r="Q51" i="81"/>
  <c r="J50" i="81"/>
  <c r="M47" i="81"/>
  <c r="D46" i="81"/>
  <c r="F33" i="81"/>
  <c r="F61" i="81" s="1"/>
  <c r="F31" i="81"/>
  <c r="F23" i="81"/>
  <c r="D23" i="81" s="1"/>
  <c r="F21" i="81"/>
  <c r="F20" i="81"/>
  <c r="M19" i="81"/>
  <c r="F18" i="81"/>
  <c r="M17" i="81"/>
  <c r="F17" i="81"/>
  <c r="F15" i="81"/>
  <c r="G1" i="81"/>
  <c r="Y6" i="1"/>
  <c r="Y7" i="1"/>
  <c r="N6" i="1"/>
  <c r="N7" i="1" s="1"/>
  <c r="F20" i="6"/>
  <c r="K13" i="3"/>
  <c r="F19" i="6"/>
  <c r="D33" i="43" s="1"/>
  <c r="D7" i="80"/>
  <c r="D4" i="80"/>
  <c r="E2" i="83"/>
  <c r="C76" i="81"/>
  <c r="F27" i="83"/>
  <c r="C36" i="83"/>
  <c r="C18" i="84" l="1"/>
  <c r="D18" i="84" s="1"/>
  <c r="K120" i="84"/>
  <c r="D121" i="84"/>
  <c r="C92" i="84"/>
  <c r="C94" i="84"/>
  <c r="H109" i="84"/>
  <c r="F45" i="83"/>
  <c r="C21" i="83"/>
  <c r="C29" i="83" s="1"/>
  <c r="D27" i="83" s="1"/>
  <c r="C40" i="83"/>
  <c r="M5" i="82"/>
  <c r="E17" i="82"/>
  <c r="S6" i="82"/>
  <c r="X7" i="82"/>
  <c r="I21" i="82"/>
  <c r="M21" i="82"/>
  <c r="H75" i="82"/>
  <c r="H93" i="82"/>
  <c r="H96" i="82"/>
  <c r="H101" i="82"/>
  <c r="S3" i="82"/>
  <c r="S5" i="82"/>
  <c r="D21" i="82"/>
  <c r="K21" i="82"/>
  <c r="O21" i="82"/>
  <c r="C27" i="82"/>
  <c r="H95" i="82"/>
  <c r="H99" i="82"/>
  <c r="E11" i="82"/>
  <c r="E10" i="82"/>
  <c r="E9" i="82"/>
  <c r="E8" i="82"/>
  <c r="M11" i="82"/>
  <c r="N12" i="82"/>
  <c r="N11" i="82"/>
  <c r="N10" i="82"/>
  <c r="M9" i="82"/>
  <c r="M8" i="82"/>
  <c r="N7" i="82"/>
  <c r="F50" i="82" s="1"/>
  <c r="N6" i="82"/>
  <c r="N5" i="82"/>
  <c r="M4" i="82"/>
  <c r="N3" i="82"/>
  <c r="M2" i="82"/>
  <c r="N1" i="82"/>
  <c r="N4" i="82"/>
  <c r="M6" i="82"/>
  <c r="M7" i="82"/>
  <c r="N8" i="82"/>
  <c r="N9" i="82"/>
  <c r="M10" i="82"/>
  <c r="Q32" i="82"/>
  <c r="O32" i="82"/>
  <c r="M32" i="82"/>
  <c r="P32" i="82"/>
  <c r="S2" i="82"/>
  <c r="S4" i="82"/>
  <c r="C6" i="82"/>
  <c r="C21" i="82"/>
  <c r="E21" i="82"/>
  <c r="H21" i="82"/>
  <c r="J21" i="82"/>
  <c r="L21" i="82"/>
  <c r="N21" i="82"/>
  <c r="F37" i="82"/>
  <c r="F38" i="82"/>
  <c r="F39" i="82"/>
  <c r="F40" i="82"/>
  <c r="F41" i="82"/>
  <c r="F42" i="82"/>
  <c r="H80" i="82"/>
  <c r="H79" i="82"/>
  <c r="H76" i="82"/>
  <c r="H74" i="82"/>
  <c r="H72" i="82"/>
  <c r="H73" i="82"/>
  <c r="H77" i="82"/>
  <c r="E83" i="82"/>
  <c r="B81" i="82" s="1"/>
  <c r="H86" i="82"/>
  <c r="F61" i="82"/>
  <c r="H90" i="82"/>
  <c r="H87" i="82"/>
  <c r="H85" i="82"/>
  <c r="H83" i="82"/>
  <c r="H84" i="82"/>
  <c r="H88" i="82"/>
  <c r="H94" i="82"/>
  <c r="H97" i="82"/>
  <c r="H98" i="82"/>
  <c r="Q71" i="81"/>
  <c r="D24" i="81"/>
  <c r="P61" i="81"/>
  <c r="D22" i="8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M22" i="81"/>
  <c r="M27" i="81"/>
  <c r="M8" i="81"/>
  <c r="F26" i="81"/>
  <c r="M24" i="81"/>
  <c r="F6" i="81"/>
  <c r="F13" i="81"/>
  <c r="F42" i="81"/>
  <c r="F36" i="81"/>
  <c r="D9" i="83"/>
  <c r="F8" i="81"/>
  <c r="L47" i="81"/>
  <c r="F9" i="81"/>
  <c r="M6" i="81"/>
  <c r="M28" i="81"/>
  <c r="M9" i="81"/>
  <c r="F37" i="81"/>
  <c r="M23" i="81"/>
  <c r="M26" i="81"/>
  <c r="F40" i="81"/>
  <c r="F16" i="81"/>
  <c r="J15" i="81"/>
  <c r="F38" i="81"/>
  <c r="D124" i="84" l="1"/>
  <c r="D125" i="84" s="1"/>
  <c r="H110" i="84"/>
  <c r="C9" i="83"/>
  <c r="C47" i="83"/>
  <c r="D45" i="83" s="1"/>
  <c r="H58" i="82"/>
  <c r="G58" i="82" s="1"/>
  <c r="H53" i="82"/>
  <c r="G53" i="82" s="1"/>
  <c r="H54" i="82"/>
  <c r="G54" i="82" s="1"/>
  <c r="H50" i="82"/>
  <c r="G50" i="82" s="1"/>
  <c r="H52" i="82"/>
  <c r="G52" i="82" s="1"/>
  <c r="H56" i="82"/>
  <c r="G56" i="82" s="1"/>
  <c r="H51" i="82"/>
  <c r="G51" i="82" s="1"/>
  <c r="M51" i="82" s="1"/>
  <c r="N51" i="82" s="1"/>
  <c r="H55" i="82"/>
  <c r="G55" i="82" s="1"/>
  <c r="H57" i="82"/>
  <c r="G57" i="82" s="1"/>
  <c r="M57" i="82" s="1"/>
  <c r="N57" i="82" s="1"/>
  <c r="G21" i="82"/>
  <c r="C20" i="82" s="1"/>
  <c r="D5" i="82" s="1"/>
  <c r="C5" i="82"/>
  <c r="M55" i="82"/>
  <c r="N55" i="82" s="1"/>
  <c r="K55" i="82"/>
  <c r="K51" i="82"/>
  <c r="J51" i="82" s="1"/>
  <c r="H69" i="82"/>
  <c r="G69" i="82" s="1"/>
  <c r="H68" i="82"/>
  <c r="G68" i="82" s="1"/>
  <c r="H67" i="82"/>
  <c r="G67" i="82" s="1"/>
  <c r="H66" i="82"/>
  <c r="G66" i="82" s="1"/>
  <c r="H63" i="82"/>
  <c r="G63" i="82" s="1"/>
  <c r="H62" i="82"/>
  <c r="G62" i="82" s="1"/>
  <c r="H61" i="82"/>
  <c r="G61" i="82" s="1"/>
  <c r="H65" i="82"/>
  <c r="G65" i="82" s="1"/>
  <c r="H64" i="82"/>
  <c r="G64" i="82" s="1"/>
  <c r="M56" i="82"/>
  <c r="N56" i="82" s="1"/>
  <c r="K56" i="82"/>
  <c r="J56" i="82" s="1"/>
  <c r="M52" i="82"/>
  <c r="N52" i="82" s="1"/>
  <c r="K52" i="82"/>
  <c r="M50" i="82"/>
  <c r="N50" i="82" s="1"/>
  <c r="K50" i="82"/>
  <c r="J50" i="82" s="1"/>
  <c r="F68" i="81"/>
  <c r="F51" i="81"/>
  <c r="F66" i="81"/>
  <c r="F64" i="81"/>
  <c r="F65" i="81"/>
  <c r="C27" i="81"/>
  <c r="P28" i="79"/>
  <c r="P26" i="79"/>
  <c r="K57" i="82" l="1"/>
  <c r="J57" i="82" s="1"/>
  <c r="D57" i="82" s="1"/>
  <c r="M53" i="82"/>
  <c r="N53" i="82" s="1"/>
  <c r="K53" i="82"/>
  <c r="K54" i="82"/>
  <c r="J54" i="82" s="1"/>
  <c r="M54" i="82"/>
  <c r="N54" i="82" s="1"/>
  <c r="K58" i="82"/>
  <c r="J58" i="82" s="1"/>
  <c r="M58" i="82"/>
  <c r="N58" i="82" s="1"/>
  <c r="J52" i="82"/>
  <c r="D52" i="82"/>
  <c r="M64" i="82"/>
  <c r="N64" i="82" s="1"/>
  <c r="K64" i="82"/>
  <c r="K61" i="82"/>
  <c r="M61" i="82"/>
  <c r="N61" i="82" s="1"/>
  <c r="K63" i="82"/>
  <c r="M63" i="82"/>
  <c r="N63" i="82" s="1"/>
  <c r="K67" i="82"/>
  <c r="J67" i="82" s="1"/>
  <c r="M67" i="82"/>
  <c r="N67" i="82" s="1"/>
  <c r="K69" i="82"/>
  <c r="J69" i="82" s="1"/>
  <c r="M69" i="82"/>
  <c r="N69" i="82" s="1"/>
  <c r="M65" i="82"/>
  <c r="N65" i="82" s="1"/>
  <c r="K65" i="82"/>
  <c r="J65" i="82" s="1"/>
  <c r="K62" i="82"/>
  <c r="J62" i="82" s="1"/>
  <c r="M62" i="82"/>
  <c r="N62" i="82" s="1"/>
  <c r="K66" i="82"/>
  <c r="M66" i="82"/>
  <c r="N66" i="82" s="1"/>
  <c r="K68" i="82"/>
  <c r="J68" i="82" s="1"/>
  <c r="D68" i="82" s="1"/>
  <c r="M68" i="82"/>
  <c r="N68" i="82" s="1"/>
  <c r="J55" i="82"/>
  <c r="D55" i="82"/>
  <c r="B10" i="74"/>
  <c r="J53" i="82" l="1"/>
  <c r="D53" i="82"/>
  <c r="E50" i="82" s="1"/>
  <c r="B48" i="82" s="1"/>
  <c r="J64" i="82"/>
  <c r="D64" i="82"/>
  <c r="D66" i="82"/>
  <c r="J66" i="82"/>
  <c r="D63" i="82"/>
  <c r="J63" i="82"/>
  <c r="D61" i="82"/>
  <c r="J61" i="82"/>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E61" i="82" l="1"/>
  <c r="B59" i="82" s="1"/>
  <c r="C28" i="82" s="1"/>
  <c r="C7" i="78"/>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T34" i="79" s="1"/>
  <c r="W34" i="79" s="1"/>
  <c r="L34" i="79"/>
  <c r="I34" i="79"/>
  <c r="AD34" i="79" s="1"/>
  <c r="AB33" i="79"/>
  <c r="AA33" i="79"/>
  <c r="Z33" i="79"/>
  <c r="N33" i="79"/>
  <c r="U33" i="79" s="1"/>
  <c r="M33" i="79"/>
  <c r="L33" i="79"/>
  <c r="S33" i="79" s="1"/>
  <c r="I33" i="79"/>
  <c r="AB32" i="79"/>
  <c r="AA32" i="79"/>
  <c r="Z32" i="79"/>
  <c r="N32" i="79"/>
  <c r="M32" i="79"/>
  <c r="T32" i="79" s="1"/>
  <c r="W32" i="79" s="1"/>
  <c r="L32" i="79"/>
  <c r="I32" i="79"/>
  <c r="AD32" i="79" s="1"/>
  <c r="AB31" i="79"/>
  <c r="AA31" i="79"/>
  <c r="Z31" i="79"/>
  <c r="N31" i="79"/>
  <c r="U31" i="79" s="1"/>
  <c r="M31" i="79"/>
  <c r="L31" i="79"/>
  <c r="S31" i="79" s="1"/>
  <c r="I31" i="79"/>
  <c r="AB30" i="79"/>
  <c r="AA30" i="79"/>
  <c r="Z30" i="79"/>
  <c r="N30" i="79"/>
  <c r="M30" i="79"/>
  <c r="L30" i="79"/>
  <c r="I30" i="79"/>
  <c r="AD30" i="79" s="1"/>
  <c r="AB29" i="79"/>
  <c r="AA29" i="79"/>
  <c r="Z29" i="79"/>
  <c r="N29" i="79"/>
  <c r="M29" i="79"/>
  <c r="L29" i="79"/>
  <c r="I29" i="79"/>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V5" i="79" s="1"/>
  <c r="N5" i="79"/>
  <c r="U5" i="79" s="1"/>
  <c r="M5" i="79"/>
  <c r="L5" i="79"/>
  <c r="S5" i="79" s="1"/>
  <c r="K5" i="79"/>
  <c r="R5" i="79" s="1"/>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W5" i="79" l="1"/>
  <c r="T5" i="79"/>
  <c r="R7" i="79"/>
  <c r="R8" i="79"/>
  <c r="R6" i="79"/>
  <c r="P9" i="79"/>
  <c r="T7" i="79"/>
  <c r="W7" i="79" s="1"/>
  <c r="T8" i="79"/>
  <c r="W8" i="79" s="1"/>
  <c r="T6" i="79"/>
  <c r="W6" i="79" s="1"/>
  <c r="V9" i="79"/>
  <c r="V7" i="79"/>
  <c r="V6" i="79"/>
  <c r="V8" i="79"/>
  <c r="AD29" i="79"/>
  <c r="T28" i="79"/>
  <c r="W28" i="79" s="1"/>
  <c r="T27" i="79"/>
  <c r="W27" i="79" s="1"/>
  <c r="T26" i="79"/>
  <c r="W26" i="79" s="1"/>
  <c r="S30" i="79"/>
  <c r="U30" i="79"/>
  <c r="AD31" i="79"/>
  <c r="T31" i="79"/>
  <c r="W31" i="79" s="1"/>
  <c r="S32" i="79"/>
  <c r="U32" i="79"/>
  <c r="AD33" i="79"/>
  <c r="T33" i="79"/>
  <c r="W33" i="79" s="1"/>
  <c r="S34" i="79"/>
  <c r="U34" i="79"/>
  <c r="AD35" i="79"/>
  <c r="S9" i="79"/>
  <c r="S7" i="79"/>
  <c r="S6" i="79"/>
  <c r="S8" i="79"/>
  <c r="U9" i="79"/>
  <c r="U8" i="79"/>
  <c r="U6" i="79"/>
  <c r="U7" i="79"/>
  <c r="S28" i="79"/>
  <c r="S27" i="79"/>
  <c r="S26" i="79"/>
  <c r="U29" i="79"/>
  <c r="U27" i="79"/>
  <c r="U28" i="79"/>
  <c r="U2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AA38" i="71" s="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N68" i="71"/>
  <c r="E34" i="71"/>
  <c r="E35" i="71" s="1"/>
  <c r="E36" i="71" s="1"/>
  <c r="U36" i="71" s="1"/>
  <c r="AA33" i="71"/>
  <c r="C30" i="71"/>
  <c r="Y29" i="71"/>
  <c r="Z29" i="71" s="1"/>
  <c r="AB29" i="71"/>
  <c r="AA30" i="71"/>
  <c r="AA31" i="71"/>
  <c r="AA32" i="71"/>
  <c r="C34" i="71"/>
  <c r="C35" i="71"/>
  <c r="C36" i="71" s="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U68" i="71"/>
  <c r="E67" i="71"/>
  <c r="Q28" i="71"/>
  <c r="AB25" i="71" s="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6" i="71"/>
  <c r="AA27" i="71"/>
  <c r="AA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D43" i="71"/>
  <c r="D39" i="71"/>
  <c r="D35" i="71"/>
  <c r="C32" i="71"/>
  <c r="D31" i="71"/>
  <c r="V28" i="71"/>
  <c r="P66" i="71"/>
  <c r="O66" i="71"/>
  <c r="D66" i="71"/>
  <c r="O65" i="71"/>
  <c r="T32" i="71"/>
  <c r="D32"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U21" i="34"/>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4"/>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J42" i="34"/>
  <c r="W42" i="34"/>
  <c r="F42" i="34"/>
  <c r="J38" i="34"/>
  <c r="W38" i="34" s="1"/>
  <c r="D114" i="34"/>
  <c r="F38" i="34"/>
  <c r="S38" i="34"/>
  <c r="D112" i="34"/>
  <c r="E112" i="34"/>
  <c r="F112" i="34" s="1"/>
  <c r="G112" i="34"/>
  <c r="H112" i="34" s="1"/>
  <c r="I112" i="34" s="1"/>
  <c r="J112" i="34" s="1"/>
  <c r="K112" i="34"/>
  <c r="L112" i="34" s="1"/>
  <c r="M112" i="34" s="1"/>
  <c r="F40" i="33"/>
  <c r="J41" i="33"/>
  <c r="W41" i="33" s="1"/>
  <c r="D113" i="33"/>
  <c r="F37"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F32" i="36" s="1"/>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c r="L124" i="34" s="1"/>
  <c r="M124" i="34" s="1"/>
  <c r="H43" i="34"/>
  <c r="AB43" i="34"/>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D92" i="34"/>
  <c r="E92" i="34" s="1"/>
  <c r="F92" i="34"/>
  <c r="G92" i="34" s="1"/>
  <c r="H92" i="34" s="1"/>
  <c r="I92" i="34" s="1"/>
  <c r="J92" i="34"/>
  <c r="K92" i="34" s="1"/>
  <c r="L92" i="34" s="1"/>
  <c r="M92" i="34" s="1"/>
  <c r="B91" i="34"/>
  <c r="B89" i="34"/>
  <c r="J27" i="34"/>
  <c r="D88" i="34"/>
  <c r="E88" i="34"/>
  <c r="F88" i="34" s="1"/>
  <c r="G88" i="34" s="1"/>
  <c r="H88" i="34" s="1"/>
  <c r="I88" i="34"/>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F45" i="39"/>
  <c r="S45" i="39" s="1"/>
  <c r="J45" i="39"/>
  <c r="W45" i="39" s="1"/>
  <c r="J44" i="39"/>
  <c r="AC44" i="39" s="1"/>
  <c r="F36" i="39"/>
  <c r="S36" i="39" s="1"/>
  <c r="H36" i="39"/>
  <c r="AB36" i="39" s="1"/>
  <c r="J35" i="39"/>
  <c r="AC35" i="39" s="1"/>
  <c r="F35" i="39"/>
  <c r="AA35" i="39" s="1"/>
  <c r="J36" i="39"/>
  <c r="AC36" i="39" s="1"/>
  <c r="U9" i="39"/>
  <c r="W40" i="39"/>
  <c r="W25" i="37"/>
  <c r="W31" i="37"/>
  <c r="E103" i="37"/>
  <c r="F103" i="37"/>
  <c r="G103" i="37" s="1"/>
  <c r="H103" i="37"/>
  <c r="I103" i="37" s="1"/>
  <c r="J103" i="37" s="1"/>
  <c r="K103" i="37" s="1"/>
  <c r="L103" i="37" s="1"/>
  <c r="M103" i="37" s="1"/>
  <c r="F39" i="37"/>
  <c r="S39" i="37" s="1"/>
  <c r="U14" i="37"/>
  <c r="F29" i="36"/>
  <c r="AA29" i="36" s="1"/>
  <c r="F16" i="36"/>
  <c r="AA16" i="36" s="1"/>
  <c r="U9" i="36"/>
  <c r="U31" i="36"/>
  <c r="J33" i="36"/>
  <c r="AC33" i="36" s="1"/>
  <c r="H22" i="35"/>
  <c r="AB22" i="35" s="1"/>
  <c r="AC27" i="35"/>
  <c r="U31" i="35"/>
  <c r="W22" i="35"/>
  <c r="S31" i="35"/>
  <c r="F36" i="34"/>
  <c r="J35" i="34"/>
  <c r="U34" i="34"/>
  <c r="H39" i="33"/>
  <c r="AB39" i="33"/>
  <c r="F26" i="33"/>
  <c r="AA26" i="33"/>
  <c r="U35" i="33"/>
  <c r="S40"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AB40" i="39" s="1"/>
  <c r="H39" i="39"/>
  <c r="U39" i="39" s="1"/>
  <c r="S38" i="39"/>
  <c r="S34" i="39"/>
  <c r="H34" i="39"/>
  <c r="U34" i="39" s="1"/>
  <c r="E108" i="39"/>
  <c r="H31" i="39"/>
  <c r="AB31" i="39" s="1"/>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c r="F23" i="35"/>
  <c r="AA23"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G123" i="21"/>
  <c r="H123" i="21"/>
  <c r="I123" i="21" s="1"/>
  <c r="J123" i="21" s="1"/>
  <c r="K123" i="21" s="1"/>
  <c r="L123" i="21" s="1"/>
  <c r="M123" i="21" s="1"/>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F71" i="37"/>
  <c r="G7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G509" i="3"/>
  <c r="BL493" i="3"/>
  <c r="AZ491" i="3"/>
  <c r="AZ376" i="3"/>
  <c r="AZ390" i="3"/>
  <c r="AZ382" i="3"/>
  <c r="AZ493" i="3"/>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30" i="11" s="1"/>
  <c r="C48" i="11"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AC32" i="39" s="1"/>
  <c r="H32" i="39"/>
  <c r="AB32" i="39" s="1"/>
  <c r="AA32" i="39"/>
  <c r="S32" i="39"/>
  <c r="AB21" i="39"/>
  <c r="U21" i="39"/>
  <c r="AA21" i="39"/>
  <c r="S21" i="39"/>
  <c r="AC17" i="37"/>
  <c r="S17" i="37"/>
  <c r="J19" i="37"/>
  <c r="W19" i="37" s="1"/>
  <c r="G75" i="37"/>
  <c r="S19" i="37"/>
  <c r="AA19"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G91" i="33"/>
  <c r="H91" i="33" s="1"/>
  <c r="I91" i="33"/>
  <c r="J91" i="33" s="1"/>
  <c r="K91" i="33" s="1"/>
  <c r="L91" i="33" s="1"/>
  <c r="M91" i="33" s="1"/>
  <c r="J27" i="33"/>
  <c r="U25" i="33"/>
  <c r="S25" i="33"/>
  <c r="AA25" i="33"/>
  <c r="G87" i="33"/>
  <c r="H87" i="33" s="1"/>
  <c r="I87" i="33"/>
  <c r="J87" i="33" s="1"/>
  <c r="K87" i="33" s="1"/>
  <c r="L87" i="33" s="1"/>
  <c r="M87" i="33" s="1"/>
  <c r="J25" i="33"/>
  <c r="AB23" i="33"/>
  <c r="F23" i="33"/>
  <c r="G85" i="33"/>
  <c r="AC23" i="33"/>
  <c r="AA19" i="33"/>
  <c r="H19" i="33"/>
  <c r="G81" i="33"/>
  <c r="H17" i="33"/>
  <c r="F17" i="33"/>
  <c r="W17" i="33"/>
  <c r="AC17" i="33"/>
  <c r="AA23" i="21"/>
  <c r="AB15" i="21"/>
  <c r="J23" i="21"/>
  <c r="F85" i="21"/>
  <c r="G85" i="21" s="1"/>
  <c r="H23" i="21"/>
  <c r="AB23" i="21" s="1"/>
  <c r="D6" i="52"/>
  <c r="AP7" i="1"/>
  <c r="AB45" i="21"/>
  <c r="U9" i="21"/>
  <c r="AA32" i="21"/>
  <c r="S32" i="21"/>
  <c r="W9" i="21"/>
  <c r="AC9" i="21"/>
  <c r="AB32" i="21"/>
  <c r="U32" i="21"/>
  <c r="U32" i="39"/>
  <c r="W32" i="39"/>
  <c r="AC19" i="37"/>
  <c r="W23" i="37"/>
  <c r="AC23" i="37"/>
  <c r="J11" i="37"/>
  <c r="AC11" i="37" s="1"/>
  <c r="H70" i="34"/>
  <c r="I70" i="34" s="1"/>
  <c r="J70" i="34" s="1"/>
  <c r="K70" i="34" s="1"/>
  <c r="L70" i="34" s="1"/>
  <c r="M70" i="34" s="1"/>
  <c r="J11" i="34"/>
  <c r="W11" i="34" s="1"/>
  <c r="W27" i="33"/>
  <c r="AC27" i="33"/>
  <c r="W25" i="33"/>
  <c r="AC25" i="33"/>
  <c r="AA23" i="33"/>
  <c r="S23" i="33"/>
  <c r="AB19" i="33"/>
  <c r="U19" i="33"/>
  <c r="AA17" i="33"/>
  <c r="S17" i="33"/>
  <c r="U17" i="33"/>
  <c r="AB17" i="33"/>
  <c r="AC23" i="21"/>
  <c r="W23" i="21"/>
  <c r="H109" i="9"/>
  <c r="H112" i="9"/>
  <c r="D21" i="53" s="1"/>
  <c r="B39" i="72" s="1"/>
  <c r="H111" i="9"/>
  <c r="D126" i="9" s="1"/>
  <c r="AD3" i="71"/>
  <c r="J1" i="73"/>
  <c r="H69"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6" i="67"/>
  <c r="F13" i="15"/>
  <c r="F36" i="15"/>
  <c r="F8" i="67"/>
  <c r="F5" i="73"/>
  <c r="M23" i="67"/>
  <c r="F9" i="67"/>
  <c r="F4" i="73"/>
  <c r="D7" i="73"/>
  <c r="E13" i="76"/>
  <c r="F37" i="15"/>
  <c r="F38" i="15"/>
  <c r="M26" i="15"/>
  <c r="L47" i="67"/>
  <c r="C76" i="15"/>
  <c r="B11" i="76"/>
  <c r="M8" i="67"/>
  <c r="M9" i="67"/>
  <c r="F3" i="73"/>
  <c r="M6" i="67"/>
  <c r="M23" i="15"/>
  <c r="M29" i="15"/>
  <c r="L48" i="81"/>
  <c r="F26" i="67"/>
  <c r="F13" i="67"/>
  <c r="B9" i="76"/>
  <c r="E2" i="69"/>
  <c r="F20" i="31"/>
  <c r="M24" i="15"/>
  <c r="L48" i="15"/>
  <c r="L48" i="67"/>
  <c r="F16" i="67"/>
  <c r="F9" i="15"/>
  <c r="M28" i="67"/>
  <c r="D5" i="73"/>
  <c r="B7" i="76"/>
  <c r="F42" i="15"/>
  <c r="D4" i="73"/>
  <c r="D3" i="73"/>
  <c r="E9" i="76"/>
  <c r="M22" i="15"/>
  <c r="E11" i="76"/>
  <c r="J15" i="67"/>
  <c r="M22" i="67"/>
  <c r="E12" i="76"/>
  <c r="M6" i="15"/>
  <c r="E2" i="68"/>
  <c r="F16" i="15"/>
  <c r="M29" i="81"/>
  <c r="L47" i="15"/>
  <c r="M9" i="15"/>
  <c r="F8" i="15"/>
  <c r="M26" i="67"/>
  <c r="F43" i="67"/>
  <c r="F40" i="67"/>
  <c r="M24" i="67"/>
  <c r="F37" i="67"/>
  <c r="B10" i="76"/>
  <c r="F43" i="81"/>
  <c r="F42" i="67"/>
  <c r="C76" i="67"/>
  <c r="M28" i="15"/>
  <c r="F7" i="15"/>
  <c r="F6" i="73"/>
  <c r="E10" i="76"/>
  <c r="B8" i="76"/>
  <c r="F38" i="67"/>
  <c r="F7" i="81"/>
  <c r="E7" i="76"/>
  <c r="M29" i="67"/>
  <c r="M8" i="15"/>
  <c r="J15" i="15"/>
  <c r="F43" i="15"/>
  <c r="B12" i="76"/>
  <c r="F7" i="73"/>
  <c r="F7" i="67"/>
  <c r="B13" i="76"/>
  <c r="F26" i="15"/>
  <c r="D6" i="73"/>
  <c r="F6" i="15"/>
  <c r="F40" i="15"/>
  <c r="E8" i="76"/>
  <c r="AO13" i="1"/>
  <c r="F36" i="67"/>
  <c r="L58" i="81" l="1"/>
  <c r="G6" i="1"/>
  <c r="I24" i="43"/>
  <c r="M47" i="84"/>
  <c r="G23" i="82"/>
  <c r="J51" i="81"/>
  <c r="L60" i="81" s="1"/>
  <c r="J51" i="15"/>
  <c r="C30" i="83"/>
  <c r="C77" i="84"/>
  <c r="C74" i="84" s="1"/>
  <c r="C48" i="83"/>
  <c r="G7" i="1"/>
  <c r="I24" i="82"/>
  <c r="C24" i="82" s="1"/>
  <c r="C6" i="81"/>
  <c r="C33" i="81" s="1"/>
  <c r="M7" i="81"/>
  <c r="J6" i="81" s="1"/>
  <c r="J19" i="81" s="1"/>
  <c r="F50" i="81"/>
  <c r="C49" i="81" s="1"/>
  <c r="C61" i="81" s="1"/>
  <c r="F71" i="81"/>
  <c r="AP6" i="1"/>
  <c r="M7" i="1"/>
  <c r="O7" i="1"/>
  <c r="P7" i="1" s="1"/>
  <c r="D52" i="43"/>
  <c r="E50" i="43" s="1"/>
  <c r="B48" i="43" s="1"/>
  <c r="M20" i="15"/>
  <c r="F34" i="81"/>
  <c r="F62" i="81" s="1"/>
  <c r="M20" i="81"/>
  <c r="D68" i="9"/>
  <c r="M18" i="15"/>
  <c r="F30" i="69"/>
  <c r="F48" i="69" s="1"/>
  <c r="M18" i="67"/>
  <c r="F31" i="12"/>
  <c r="C28" i="67"/>
  <c r="F48" i="9"/>
  <c r="O52" i="9" s="1"/>
  <c r="F32" i="81"/>
  <c r="F28" i="81"/>
  <c r="C28" i="81" s="1"/>
  <c r="M18" i="81"/>
  <c r="F34" i="68"/>
  <c r="M59" i="81"/>
  <c r="H50" i="43"/>
  <c r="E19" i="71"/>
  <c r="E18" i="71" s="1"/>
  <c r="E17" i="71" s="1"/>
  <c r="E16" i="71" s="1"/>
  <c r="V20" i="71"/>
  <c r="U23" i="21"/>
  <c r="D17" i="71"/>
  <c r="C16" i="71"/>
  <c r="D19" i="53"/>
  <c r="B38" i="72" s="1"/>
  <c r="D16" i="53"/>
  <c r="B34" i="72" s="1"/>
  <c r="AB36" i="33"/>
  <c r="S37" i="21"/>
  <c r="AA13" i="21"/>
  <c r="S13" i="21"/>
  <c r="AZ521" i="3"/>
  <c r="AZ551" i="3"/>
  <c r="BA5" i="3"/>
  <c r="G28" i="6"/>
  <c r="F29" i="6"/>
  <c r="E29" i="6" s="1"/>
  <c r="K15" i="1" s="1"/>
  <c r="AA41" i="34"/>
  <c r="AZ585" i="3"/>
  <c r="F12" i="21"/>
  <c r="J12" i="21"/>
  <c r="B94" i="43"/>
  <c r="B73" i="43"/>
  <c r="B99" i="43"/>
  <c r="B76" i="43"/>
  <c r="AB33" i="33"/>
  <c r="U33" i="33"/>
  <c r="J12" i="34"/>
  <c r="F12" i="34"/>
  <c r="H12" i="34"/>
  <c r="H12" i="35"/>
  <c r="J12" i="35"/>
  <c r="AC11" i="35"/>
  <c r="H12" i="21"/>
  <c r="J9" i="34"/>
  <c r="F9" i="34"/>
  <c r="AA9" i="34" s="1"/>
  <c r="H9" i="34"/>
  <c r="AC28" i="35"/>
  <c r="W28" i="35"/>
  <c r="J34" i="35"/>
  <c r="H34" i="35"/>
  <c r="F34" i="35"/>
  <c r="AC28" i="36"/>
  <c r="W28" i="36"/>
  <c r="AB30" i="37"/>
  <c r="U30" i="37"/>
  <c r="AC8" i="40"/>
  <c r="W8" i="40"/>
  <c r="AB34" i="40"/>
  <c r="U34" i="40"/>
  <c r="AB40" i="40"/>
  <c r="U40" i="40"/>
  <c r="AZ399" i="3"/>
  <c r="AZ404" i="3"/>
  <c r="AZ414" i="3"/>
  <c r="AZ421" i="3"/>
  <c r="AZ423" i="3"/>
  <c r="AZ430" i="3"/>
  <c r="AZ440" i="3"/>
  <c r="AZ449" i="3"/>
  <c r="AZ453" i="3"/>
  <c r="AZ455" i="3"/>
  <c r="AZ460" i="3"/>
  <c r="AZ471" i="3"/>
  <c r="AZ492" i="3"/>
  <c r="AZ208" i="3"/>
  <c r="AZ211" i="3"/>
  <c r="AZ219" i="3"/>
  <c r="AZ236" i="3"/>
  <c r="B101" i="43"/>
  <c r="B79" i="43"/>
  <c r="B97" i="43"/>
  <c r="B75" i="43"/>
  <c r="H36" i="35"/>
  <c r="J36" i="35"/>
  <c r="J23" i="36"/>
  <c r="H23" i="36"/>
  <c r="F23" i="36"/>
  <c r="W31" i="35"/>
  <c r="AC31" i="35"/>
  <c r="G551" i="3"/>
  <c r="G5" i="3" s="1"/>
  <c r="B3" i="3" s="1"/>
  <c r="BL548" i="3"/>
  <c r="AZ548" i="3" s="1"/>
  <c r="AZ409" i="3"/>
  <c r="AZ416" i="3"/>
  <c r="AZ425" i="3"/>
  <c r="AZ432" i="3"/>
  <c r="AZ464" i="3"/>
  <c r="AZ467" i="3"/>
  <c r="AZ474" i="3"/>
  <c r="AZ480" i="3"/>
  <c r="AZ482" i="3"/>
  <c r="AZ486" i="3"/>
  <c r="AZ230" i="3"/>
  <c r="AZ246" i="3"/>
  <c r="AZ252" i="3"/>
  <c r="AZ272" i="3"/>
  <c r="AZ276" i="3"/>
  <c r="AZ289" i="3"/>
  <c r="AZ292" i="3"/>
  <c r="AZ294" i="3"/>
  <c r="AZ300" i="3"/>
  <c r="AZ118" i="3"/>
  <c r="AZ121" i="3"/>
  <c r="AZ134" i="3"/>
  <c r="AZ137" i="3"/>
  <c r="AZ145" i="3"/>
  <c r="AZ161" i="3"/>
  <c r="AZ177" i="3"/>
  <c r="AZ193" i="3"/>
  <c r="AZ34" i="3"/>
  <c r="AZ38" i="3"/>
  <c r="AZ44" i="3"/>
  <c r="AZ48" i="3"/>
  <c r="AZ60" i="3"/>
  <c r="AZ64" i="3"/>
  <c r="AZ78" i="3"/>
  <c r="AZ91" i="3"/>
  <c r="AZ98" i="3"/>
  <c r="AZ104" i="3"/>
  <c r="AZ108" i="3"/>
  <c r="K13" i="1"/>
  <c r="M13" i="1" s="1"/>
  <c r="O13" i="1" s="1"/>
  <c r="P13" i="1" s="1"/>
  <c r="AB21" i="21"/>
  <c r="AB21" i="33"/>
  <c r="T44" i="71"/>
  <c r="D44" i="71"/>
  <c r="T36" i="71"/>
  <c r="D36" i="71"/>
  <c r="C27" i="71"/>
  <c r="T28" i="71"/>
  <c r="D28" i="71"/>
  <c r="U28" i="71" s="1"/>
  <c r="T40" i="71"/>
  <c r="D40" i="71"/>
  <c r="S21" i="21"/>
  <c r="U18" i="36"/>
  <c r="S25" i="40"/>
  <c r="AA25" i="71"/>
  <c r="AB27" i="71"/>
  <c r="S28" i="71"/>
  <c r="AA24" i="71"/>
  <c r="X27" i="71"/>
  <c r="AB37" i="71"/>
  <c r="AA36" i="71"/>
  <c r="AB33" i="71"/>
  <c r="Y33" i="71"/>
  <c r="Z33" i="71" s="1"/>
  <c r="X32" i="71"/>
  <c r="X37" i="71"/>
  <c r="AA29" i="71"/>
  <c r="Y9" i="71"/>
  <c r="Z9" i="71" s="1"/>
  <c r="Y10" i="71"/>
  <c r="Z10" i="71" s="1"/>
  <c r="AA9" i="71"/>
  <c r="AA10" i="71"/>
  <c r="AB24" i="71"/>
  <c r="Y22" i="71"/>
  <c r="Z22" i="71" s="1"/>
  <c r="AB23" i="71"/>
  <c r="Y21" i="71"/>
  <c r="Z21" i="71" s="1"/>
  <c r="AA21" i="71"/>
  <c r="X21" i="71"/>
  <c r="X17" i="71"/>
  <c r="Y17" i="71"/>
  <c r="Z17" i="71" s="1"/>
  <c r="AA17" i="71"/>
  <c r="AB18" i="71"/>
  <c r="Y14" i="71"/>
  <c r="Z14" i="71" s="1"/>
  <c r="X9" i="71"/>
  <c r="X10" i="71"/>
  <c r="AB10" i="71"/>
  <c r="AB9" i="71"/>
  <c r="V68" i="71"/>
  <c r="F67" i="71"/>
  <c r="X22" i="71"/>
  <c r="AA23" i="71"/>
  <c r="AA22" i="71"/>
  <c r="AB21" i="71"/>
  <c r="Y18" i="71"/>
  <c r="Z18" i="71" s="1"/>
  <c r="X18" i="71"/>
  <c r="AA18" i="71"/>
  <c r="X14" i="71"/>
  <c r="AA12" i="71"/>
  <c r="X24" i="71"/>
  <c r="Y24" i="71"/>
  <c r="Z24" i="71" s="1"/>
  <c r="AB15" i="71"/>
  <c r="AB17" i="71"/>
  <c r="AB13" i="71"/>
  <c r="AB14" i="71"/>
  <c r="Y12" i="71"/>
  <c r="Z12" i="71" s="1"/>
  <c r="Y13" i="71"/>
  <c r="Z13" i="71" s="1"/>
  <c r="X12" i="71"/>
  <c r="Y23" i="71"/>
  <c r="Z23" i="71" s="1"/>
  <c r="X15" i="71"/>
  <c r="AA15" i="71"/>
  <c r="AB12" i="71"/>
  <c r="AB11" i="71"/>
  <c r="Y11" i="71"/>
  <c r="Z11" i="71" s="1"/>
  <c r="X11" i="71"/>
  <c r="X13" i="71"/>
  <c r="AA11" i="71"/>
  <c r="AA13" i="71"/>
  <c r="AA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F30" i="6"/>
  <c r="G30" i="6"/>
  <c r="G31" i="6" s="1"/>
  <c r="E28" i="6"/>
  <c r="L19" i="6"/>
  <c r="L27" i="6" s="1"/>
  <c r="M6" i="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16" i="15"/>
  <c r="C16" i="67"/>
  <c r="G1" i="73"/>
  <c r="C36" i="68"/>
  <c r="C16" i="81"/>
  <c r="D9" i="68"/>
  <c r="Q57" i="81" l="1"/>
  <c r="Q66" i="81"/>
  <c r="P28" i="82"/>
  <c r="P29" i="82"/>
  <c r="M24" i="82"/>
  <c r="P25" i="82"/>
  <c r="O23" i="82"/>
  <c r="C23" i="82"/>
  <c r="P27" i="82"/>
  <c r="P26" i="82"/>
  <c r="Q60" i="81"/>
  <c r="Q73" i="81"/>
  <c r="F7" i="36"/>
  <c r="J7" i="37"/>
  <c r="H7" i="36"/>
  <c r="J53" i="81"/>
  <c r="I54" i="81"/>
  <c r="N59" i="81"/>
  <c r="J57" i="81"/>
  <c r="J55" i="81" s="1"/>
  <c r="J58" i="81" s="1"/>
  <c r="Q50" i="81" s="1"/>
  <c r="L59" i="81"/>
  <c r="L56" i="81"/>
  <c r="L57" i="81"/>
  <c r="J18" i="81"/>
  <c r="O6" i="1"/>
  <c r="F60" i="81"/>
  <c r="C32" i="81"/>
  <c r="F11" i="81"/>
  <c r="M11" i="81"/>
  <c r="J10" i="81" s="1"/>
  <c r="J5" i="81" s="1"/>
  <c r="H16" i="1"/>
  <c r="K16" i="1"/>
  <c r="G16" i="1"/>
  <c r="F10" i="39" s="1"/>
  <c r="AA10" i="39" s="1"/>
  <c r="P6" i="1"/>
  <c r="C13" i="12" s="1"/>
  <c r="Q16" i="1"/>
  <c r="F27" i="69" s="1"/>
  <c r="F45" i="69" s="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AC6" i="3" s="1"/>
  <c r="E495" i="3"/>
  <c r="E353" i="3"/>
  <c r="E124" i="3"/>
  <c r="E280" i="3"/>
  <c r="E399" i="3"/>
  <c r="AA6" i="3"/>
  <c r="E347" i="3"/>
  <c r="AZ5" i="3"/>
  <c r="AY6" i="3" s="1"/>
  <c r="F66" i="71"/>
  <c r="Q67" i="71"/>
  <c r="C26" i="71"/>
  <c r="D26" i="71" s="1"/>
  <c r="D27" i="71"/>
  <c r="AA23" i="36"/>
  <c r="S23" i="36"/>
  <c r="AC23" i="36"/>
  <c r="W23" i="36"/>
  <c r="AB36" i="35"/>
  <c r="U36" i="35"/>
  <c r="AA34" i="35"/>
  <c r="S34" i="35"/>
  <c r="AC34" i="35"/>
  <c r="W34" i="35"/>
  <c r="AB12" i="21"/>
  <c r="U12" i="21"/>
  <c r="W12" i="35"/>
  <c r="AC12" i="35"/>
  <c r="AB12" i="34"/>
  <c r="U12" i="34"/>
  <c r="W12" i="34"/>
  <c r="AC12" i="34"/>
  <c r="S12" i="21"/>
  <c r="AA12" i="21"/>
  <c r="C15" i="71"/>
  <c r="T16" i="71"/>
  <c r="B15" i="71"/>
  <c r="B14" i="71" s="1"/>
  <c r="B13" i="71" s="1"/>
  <c r="B12" i="71" s="1"/>
  <c r="S16" i="71"/>
  <c r="AB23" i="36"/>
  <c r="U23" i="36"/>
  <c r="W36" i="35"/>
  <c r="AC36" i="35"/>
  <c r="AB34" i="35"/>
  <c r="U34" i="35"/>
  <c r="U9" i="34"/>
  <c r="AB9" i="34"/>
  <c r="AC9" i="34"/>
  <c r="W9" i="34"/>
  <c r="BL5" i="3"/>
  <c r="U12" i="35"/>
  <c r="AB12" i="35"/>
  <c r="S12" i="34"/>
  <c r="AA12" i="34"/>
  <c r="AC12" i="21"/>
  <c r="W12" i="2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E60" i="40"/>
  <c r="E27" i="6"/>
  <c r="K26" i="6" s="1"/>
  <c r="M26" i="6" s="1"/>
  <c r="I26" i="6" s="1"/>
  <c r="S26" i="6" s="1"/>
  <c r="F31" i="6"/>
  <c r="E51" i="40"/>
  <c r="E16" i="6"/>
  <c r="E58" i="40"/>
  <c r="E62" i="39"/>
  <c r="M14" i="1"/>
  <c r="D5" i="43"/>
  <c r="H10" i="39"/>
  <c r="U10" i="39" s="1"/>
  <c r="J10" i="39"/>
  <c r="W10" i="39" s="1"/>
  <c r="C7" i="43"/>
  <c r="C5" i="43" s="1"/>
  <c r="D10" i="52"/>
  <c r="D125" i="9"/>
  <c r="D11" i="52" s="1"/>
  <c r="B7" i="74"/>
  <c r="C7" i="74" s="1"/>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AE6" i="1"/>
  <c r="F41" i="67"/>
  <c r="Q61" i="81" l="1"/>
  <c r="Q74" i="81"/>
  <c r="F1" i="81"/>
  <c r="Q52" i="81"/>
  <c r="C40" i="82"/>
  <c r="C41" i="82"/>
  <c r="C37" i="82"/>
  <c r="T13" i="82"/>
  <c r="V13" i="82" s="1"/>
  <c r="T5" i="82"/>
  <c r="V5" i="82" s="1"/>
  <c r="T2" i="82"/>
  <c r="V2" i="82" s="1"/>
  <c r="T16" i="82"/>
  <c r="V16" i="82" s="1"/>
  <c r="T9" i="82"/>
  <c r="V9" i="82" s="1"/>
  <c r="T3" i="82"/>
  <c r="V3" i="82" s="1"/>
  <c r="T4" i="82"/>
  <c r="V4" i="82" s="1"/>
  <c r="C42" i="82"/>
  <c r="C38" i="82"/>
  <c r="C39" i="82"/>
  <c r="T15" i="82"/>
  <c r="V15" i="82" s="1"/>
  <c r="T8" i="82"/>
  <c r="V8" i="82" s="1"/>
  <c r="T12" i="82"/>
  <c r="V12" i="82" s="1"/>
  <c r="T7" i="82"/>
  <c r="V7" i="82" s="1"/>
  <c r="T14" i="82"/>
  <c r="V14" i="82" s="1"/>
  <c r="T6" i="82"/>
  <c r="V6" i="82" s="1"/>
  <c r="T11" i="82"/>
  <c r="V11" i="82" s="1"/>
  <c r="T10" i="82"/>
  <c r="V10" i="82" s="1"/>
  <c r="E3" i="6"/>
  <c r="H10" i="40"/>
  <c r="AB10" i="40" s="1"/>
  <c r="F10" i="40"/>
  <c r="S10" i="40" s="1"/>
  <c r="J10" i="40"/>
  <c r="AC10" i="40" s="1"/>
  <c r="L36" i="82"/>
  <c r="P36" i="82" s="1"/>
  <c r="F22" i="83"/>
  <c r="L37" i="82"/>
  <c r="J26" i="81"/>
  <c r="J24" i="81"/>
  <c r="L36" i="43"/>
  <c r="L37" i="43" s="1"/>
  <c r="F24" i="81"/>
  <c r="C53" i="81"/>
  <c r="C48" i="81" s="1"/>
  <c r="C10" i="81"/>
  <c r="C5" i="81" s="1"/>
  <c r="H6" i="3"/>
  <c r="E6" i="3" s="1"/>
  <c r="F27" i="11"/>
  <c r="C29" i="11" s="1"/>
  <c r="D27" i="11" s="1"/>
  <c r="F28" i="12"/>
  <c r="C29" i="12" s="1"/>
  <c r="D28" i="12" s="1"/>
  <c r="E65" i="39"/>
  <c r="B11" i="71"/>
  <c r="B10" i="71" s="1"/>
  <c r="B9" i="71" s="1"/>
  <c r="B8" i="71" s="1"/>
  <c r="B7" i="71" s="1"/>
  <c r="B6" i="71" s="1"/>
  <c r="B5" i="71" s="1"/>
  <c r="S12" i="71"/>
  <c r="D15" i="71"/>
  <c r="C14" i="71"/>
  <c r="Q66" i="71"/>
  <c r="Q65" i="71"/>
  <c r="E11" i="71"/>
  <c r="E10" i="71" s="1"/>
  <c r="E9" i="71" s="1"/>
  <c r="E8" i="71" s="1"/>
  <c r="E7" i="71" s="1"/>
  <c r="E6" i="71" s="1"/>
  <c r="E5" i="71" s="1"/>
  <c r="V12" i="71"/>
  <c r="AC7" i="34"/>
  <c r="V49" i="34" s="1"/>
  <c r="I49" i="34" s="1"/>
  <c r="U7" i="34"/>
  <c r="AA7" i="34"/>
  <c r="R49"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F27" i="68"/>
  <c r="AE7" i="1"/>
  <c r="G38" i="82" l="1"/>
  <c r="I38" i="82" s="1"/>
  <c r="E38" i="82"/>
  <c r="C34" i="82"/>
  <c r="E34" i="82" s="1"/>
  <c r="E41" i="82"/>
  <c r="G41" i="82"/>
  <c r="I41" i="82" s="1"/>
  <c r="G39" i="82"/>
  <c r="I39" i="82" s="1"/>
  <c r="E39" i="82"/>
  <c r="G42" i="82"/>
  <c r="I42" i="82" s="1"/>
  <c r="E42" i="82"/>
  <c r="G37" i="82"/>
  <c r="I37" i="82" s="1"/>
  <c r="E37" i="82"/>
  <c r="C30" i="82" s="1"/>
  <c r="B2" i="82" s="1"/>
  <c r="E40" i="82"/>
  <c r="G40" i="82"/>
  <c r="I40" i="82" s="1"/>
  <c r="B1" i="74"/>
  <c r="B14" i="74"/>
  <c r="Q36" i="82"/>
  <c r="N36" i="82"/>
  <c r="M36" i="82"/>
  <c r="O36" i="82"/>
  <c r="F41" i="83"/>
  <c r="C24" i="83"/>
  <c r="C26" i="83"/>
  <c r="D22" i="83" s="1"/>
  <c r="C44" i="83"/>
  <c r="D41" i="83" s="1"/>
  <c r="F45" i="68"/>
  <c r="P37" i="82"/>
  <c r="N37" i="82"/>
  <c r="Q37" i="82"/>
  <c r="M37" i="82"/>
  <c r="O37" i="82"/>
  <c r="Q36" i="43"/>
  <c r="M36" i="43"/>
  <c r="P36" i="43"/>
  <c r="O36" i="43"/>
  <c r="N36" i="43"/>
  <c r="C38" i="81"/>
  <c r="C24" i="81"/>
  <c r="C66" i="81"/>
  <c r="C60" i="81"/>
  <c r="C47" i="68"/>
  <c r="D45" i="68" s="1"/>
  <c r="C29" i="68"/>
  <c r="D27" i="68"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F50" i="83"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C17" i="15"/>
  <c r="F41" i="81"/>
  <c r="D10" i="83"/>
  <c r="C17" i="81"/>
  <c r="C17" i="67"/>
  <c r="C14" i="67"/>
  <c r="D10" i="68"/>
  <c r="J29" i="81" l="1"/>
  <c r="F69" i="81"/>
  <c r="C6" i="83"/>
  <c r="B3" i="82"/>
  <c r="C31" i="82"/>
  <c r="C10" i="83"/>
  <c r="C8" i="83" s="1"/>
  <c r="D19" i="83"/>
  <c r="D37" i="83" s="1"/>
  <c r="C37" i="83" s="1"/>
  <c r="M19" i="9"/>
  <c r="C118" i="9" s="1"/>
  <c r="E7" i="70"/>
  <c r="M19" i="84"/>
  <c r="C118" i="84" s="1"/>
  <c r="C15" i="74" s="1"/>
  <c r="S20" i="6"/>
  <c r="L18" i="84"/>
  <c r="C25" i="11"/>
  <c r="C22" i="11" s="1"/>
  <c r="C31" i="11" s="1"/>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81"/>
  <c r="C14" i="15"/>
  <c r="C34" i="68"/>
  <c r="C34" i="83"/>
  <c r="C38" i="83" l="1"/>
  <c r="C35" i="83"/>
  <c r="B2" i="74"/>
  <c r="C14" i="74"/>
  <c r="C18" i="81"/>
  <c r="C15" i="81"/>
  <c r="L19" i="84"/>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7" i="21"/>
  <c r="F7" i="21"/>
  <c r="J48" i="35"/>
  <c r="C33" i="83" l="1"/>
  <c r="C42" i="83" s="1"/>
  <c r="D8" i="74"/>
  <c r="D7" i="74"/>
  <c r="C19" i="81"/>
  <c r="C20" i="81" s="1"/>
  <c r="C26" i="81" s="1"/>
  <c r="G3" i="82"/>
  <c r="G3" i="43"/>
  <c r="C7" i="83"/>
  <c r="C5" i="83"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C39" i="83" l="1"/>
  <c r="B116" i="82"/>
  <c r="J26" i="82"/>
  <c r="E26" i="82"/>
  <c r="G26" i="82"/>
  <c r="Z7" i="82"/>
  <c r="H26" i="82"/>
  <c r="F26" i="82"/>
  <c r="H26" i="43"/>
  <c r="F26" i="43"/>
  <c r="N370" i="46"/>
  <c r="N94" i="46"/>
  <c r="J26" i="43"/>
  <c r="B116" i="43"/>
  <c r="G26" i="43"/>
  <c r="E26" i="43"/>
  <c r="Z7" i="43"/>
  <c r="C23" i="81"/>
  <c r="C29" i="81" s="1"/>
  <c r="C23" i="83"/>
  <c r="C20" i="83"/>
  <c r="C25" i="83"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F35" i="15"/>
  <c r="M21" i="81"/>
  <c r="M21" i="67"/>
  <c r="F35" i="81"/>
  <c r="C43" i="83" l="1"/>
  <c r="C41" i="83" s="1"/>
  <c r="C46" i="83"/>
  <c r="C45" i="83" s="1"/>
  <c r="D26" i="82"/>
  <c r="C25" i="82" s="1"/>
  <c r="C33" i="82" s="1"/>
  <c r="E33" i="82" s="1"/>
  <c r="D26" i="43"/>
  <c r="C25" i="43" s="1"/>
  <c r="C33" i="43" s="1"/>
  <c r="C57" i="81"/>
  <c r="C64" i="81" s="1"/>
  <c r="J14" i="81"/>
  <c r="Q49" i="81"/>
  <c r="C36" i="81"/>
  <c r="C13" i="81"/>
  <c r="J59" i="81"/>
  <c r="J60" i="81"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G121" i="82"/>
  <c r="H121" i="82" s="1"/>
  <c r="I118" i="82"/>
  <c r="J118" i="82" s="1"/>
  <c r="K118" i="82" s="1"/>
  <c r="L118" i="82" s="1"/>
  <c r="M118" i="82" s="1"/>
  <c r="I120" i="82"/>
  <c r="J120" i="82" s="1"/>
  <c r="K120" i="82" s="1"/>
  <c r="L120" i="82" s="1"/>
  <c r="M120" i="82" s="1"/>
  <c r="I122" i="82"/>
  <c r="J122" i="82" s="1"/>
  <c r="K122" i="82" s="1"/>
  <c r="L122" i="82" s="1"/>
  <c r="M122" i="82" s="1"/>
  <c r="B122" i="82"/>
  <c r="C122" i="82" s="1"/>
  <c r="B121" i="82"/>
  <c r="C121" i="82" s="1"/>
  <c r="B120" i="82"/>
  <c r="C120" i="82" s="1"/>
  <c r="B119" i="82"/>
  <c r="C119" i="82" s="1"/>
  <c r="B118" i="82"/>
  <c r="I119" i="82"/>
  <c r="J119" i="82" s="1"/>
  <c r="K119" i="82" s="1"/>
  <c r="L119" i="82" s="1"/>
  <c r="M119" i="82" s="1"/>
  <c r="I121" i="82"/>
  <c r="J121" i="82" s="1"/>
  <c r="K121" i="82" s="1"/>
  <c r="L121" i="82" s="1"/>
  <c r="M121" i="82" s="1"/>
  <c r="C22" i="83"/>
  <c r="C28" i="83"/>
  <c r="C27" i="83" s="1"/>
  <c r="F63" i="81"/>
  <c r="C62" i="81" s="1"/>
  <c r="C59" i="81" s="1"/>
  <c r="C34" i="81"/>
  <c r="C31" i="81" s="1"/>
  <c r="J20" i="81"/>
  <c r="J17"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49" i="83" l="1"/>
  <c r="C51" i="83" s="1"/>
  <c r="L46" i="81"/>
  <c r="Q48" i="81"/>
  <c r="J13" i="81"/>
  <c r="J23" i="81" s="1"/>
  <c r="J22" i="81"/>
  <c r="C118" i="82"/>
  <c r="D116" i="82" s="1"/>
  <c r="C118" i="43"/>
  <c r="D116" i="43" s="1"/>
  <c r="C34" i="43"/>
  <c r="E34" i="43" s="1"/>
  <c r="C31" i="43" s="1"/>
  <c r="E33" i="43"/>
  <c r="C30" i="43" s="1"/>
  <c r="Q70" i="81"/>
  <c r="C56" i="81"/>
  <c r="C65" i="81" s="1"/>
  <c r="C58" i="81" s="1"/>
  <c r="C67" i="81" s="1"/>
  <c r="C68" i="81" s="1"/>
  <c r="C71" i="81" s="1"/>
  <c r="C75" i="81"/>
  <c r="C37" i="81"/>
  <c r="C30" i="81" s="1"/>
  <c r="C39" i="81" s="1"/>
  <c r="C31" i="83"/>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1"/>
  <c r="D2" i="21"/>
  <c r="E6" i="76"/>
  <c r="C52" i="83" l="1"/>
  <c r="C57" i="83" s="1"/>
  <c r="C56" i="83" s="1"/>
  <c r="J16" i="81"/>
  <c r="J25" i="81" s="1"/>
  <c r="E2" i="76"/>
  <c r="Q69" i="81"/>
  <c r="Q68" i="81" s="1"/>
  <c r="C80" i="81"/>
  <c r="C79" i="81" s="1"/>
  <c r="C40" i="81"/>
  <c r="C46" i="81" s="1"/>
  <c r="B2" i="43"/>
  <c r="Q67" i="8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B6" i="76"/>
  <c r="Q47" i="81" l="1"/>
  <c r="Q53" i="81" s="1"/>
  <c r="B2" i="83"/>
  <c r="C43" i="81"/>
  <c r="Q65" i="81"/>
  <c r="Q75" i="81" s="1"/>
  <c r="B2" i="76"/>
  <c r="B3" i="76" s="1"/>
  <c r="C83" i="81"/>
  <c r="C82" i="81" s="1"/>
  <c r="Q56" i="81"/>
  <c r="Q62" i="81" s="1"/>
  <c r="B2" i="81"/>
  <c r="B3" i="81" s="1"/>
  <c r="B3" i="43"/>
  <c r="C6" i="68"/>
  <c r="L57" i="67"/>
  <c r="L60" i="67" s="1"/>
  <c r="L46" i="67" s="1"/>
  <c r="D2" i="67" s="1"/>
  <c r="B2" i="67" s="1"/>
  <c r="Q67" i="67"/>
  <c r="D6" i="71"/>
  <c r="C5" i="71"/>
  <c r="D5" i="71" s="1"/>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19" i="84"/>
  <c r="C19" i="84"/>
  <c r="D2" i="34"/>
  <c r="D2" i="36"/>
  <c r="D2" i="35"/>
  <c r="D20" i="84"/>
  <c r="B3" i="83"/>
  <c r="C20" i="84" s="1"/>
  <c r="C102" i="84" l="1"/>
  <c r="C21" i="84"/>
  <c r="C103" i="84"/>
  <c r="D21" i="84"/>
  <c r="D22" i="84"/>
  <c r="D102" i="84"/>
  <c r="G19" i="84"/>
  <c r="G21" i="84" s="1"/>
  <c r="C7" i="68"/>
  <c r="C5" i="68" s="1"/>
  <c r="D103" i="84"/>
  <c r="G20" i="84"/>
  <c r="Q57" i="67"/>
  <c r="Q62" i="67" s="1"/>
  <c r="Q66" i="67"/>
  <c r="Q75" i="67" s="1"/>
  <c r="M24" i="43"/>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0" i="1"/>
  <c r="AO9" i="1"/>
  <c r="AO11" i="1"/>
  <c r="AO8" i="1"/>
  <c r="AO7" i="1"/>
  <c r="H25" i="80" l="1"/>
  <c r="I25" i="80" s="1"/>
  <c r="C32" i="84"/>
  <c r="C23" i="68"/>
  <c r="C20" i="68"/>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C28" i="68" l="1"/>
  <c r="C27" i="68" s="1"/>
  <c r="C25" i="68"/>
  <c r="C22" i="68" s="1"/>
  <c r="D102" i="9"/>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C31" i="68" l="1"/>
  <c r="C52" i="68" s="1"/>
  <c r="B2" i="68" s="1"/>
  <c r="D103" i="9"/>
  <c r="C42" i="40"/>
  <c r="C43" i="40"/>
  <c r="E47" i="40"/>
  <c r="F47" i="40" s="1"/>
  <c r="E46" i="40"/>
  <c r="F46" i="40" s="1"/>
  <c r="I47" i="40"/>
  <c r="J47" i="40" s="1"/>
  <c r="C19" i="9"/>
  <c r="B3" i="68"/>
  <c r="C57" i="68" l="1"/>
  <c r="C102" i="9"/>
  <c r="C21" i="9"/>
  <c r="D22" i="9"/>
  <c r="G19" i="9"/>
  <c r="G21" i="9" s="1"/>
  <c r="B58" i="40"/>
  <c r="F58" i="40" s="1"/>
  <c r="B54" i="40"/>
  <c r="F54" i="40" s="1"/>
  <c r="B53" i="40"/>
  <c r="F53" i="40" s="1"/>
  <c r="B59" i="40"/>
  <c r="F59" i="40" s="1"/>
  <c r="B52" i="40"/>
  <c r="F52" i="40" s="1"/>
  <c r="B56" i="40"/>
  <c r="F56" i="40" s="1"/>
  <c r="B60" i="40"/>
  <c r="F60" i="40" s="1"/>
  <c r="B57" i="40"/>
  <c r="F57" i="40" s="1"/>
  <c r="B51" i="40"/>
  <c r="F51" i="40" s="1"/>
  <c r="F61" i="40"/>
  <c r="B2" i="40" s="1"/>
  <c r="B3" i="40" s="1"/>
  <c r="C20" i="9"/>
  <c r="D35" i="84"/>
  <c r="D35" i="9"/>
  <c r="C35" i="84" l="1"/>
  <c r="C34" i="84" s="1"/>
  <c r="C56" i="68"/>
  <c r="C103" i="9"/>
  <c r="G20" i="9"/>
  <c r="D34" i="9"/>
  <c r="D34" i="84"/>
  <c r="C32" i="9" l="1"/>
  <c r="C35" i="9" s="1"/>
  <c r="C34" i="9" s="1"/>
  <c r="D118" i="9" s="1"/>
  <c r="D4" i="52" s="1"/>
  <c r="B47" i="72" s="1"/>
  <c r="H26" i="80"/>
  <c r="F118" i="9" l="1"/>
  <c r="F4" i="52" s="1"/>
  <c r="B51" i="72" s="1"/>
  <c r="H27" i="80"/>
  <c r="I27" i="80" s="1"/>
  <c r="I26" i="80"/>
  <c r="I31" i="80" s="1"/>
  <c r="H118" i="9"/>
  <c r="H4" i="52" s="1"/>
  <c r="D119" i="9"/>
  <c r="D5" i="52" s="1"/>
  <c r="B49" i="72" s="1"/>
  <c r="F119" i="9" l="1"/>
  <c r="F5" i="52" s="1"/>
  <c r="B53" i="72" s="1"/>
  <c r="G118" i="9"/>
  <c r="G4" i="52" s="1"/>
  <c r="B52" i="72" s="1"/>
  <c r="H119" i="9"/>
  <c r="H5" i="52" s="1"/>
  <c r="I28" i="80"/>
  <c r="C104" i="9"/>
  <c r="I118" i="9"/>
  <c r="H102" i="9" s="1"/>
  <c r="D14" i="74"/>
  <c r="G14" i="74" s="1"/>
  <c r="H101" i="9"/>
  <c r="D5" i="53" s="1"/>
  <c r="E14" i="74"/>
  <c r="D30" i="74" s="1"/>
  <c r="E30" i="74" s="1"/>
  <c r="C105" i="9"/>
  <c r="M48" i="9"/>
  <c r="E118" i="9" l="1"/>
  <c r="E4" i="52" s="1"/>
  <c r="B48" i="72" s="1"/>
  <c r="D45" i="9"/>
  <c r="C72" i="9" s="1"/>
  <c r="I4" i="52"/>
  <c r="F14" i="74"/>
  <c r="H107" i="9"/>
  <c r="D13" i="53" s="1"/>
  <c r="D52" i="9"/>
  <c r="D7" i="53"/>
  <c r="B21" i="72" s="1"/>
  <c r="B20" i="72"/>
  <c r="D6" i="53"/>
  <c r="B22" i="72" s="1"/>
  <c r="D55" i="9" l="1"/>
  <c r="M53" i="9" s="1"/>
  <c r="C93" i="9"/>
  <c r="C86" i="9" s="1"/>
  <c r="D53" i="9"/>
  <c r="M49" i="9"/>
  <c r="H108" i="9"/>
  <c r="C85" i="9"/>
  <c r="C95" i="9" s="1"/>
  <c r="C96" i="9" s="1"/>
  <c r="E96" i="9" s="1"/>
  <c r="E97" i="9" s="1"/>
  <c r="C64" i="9"/>
  <c r="C63" i="9" s="1"/>
  <c r="C67" i="9" s="1"/>
  <c r="D59" i="9" s="1"/>
  <c r="M55" i="9" s="1"/>
  <c r="C78" i="9"/>
  <c r="C73" i="9" s="1"/>
  <c r="C79" i="9" s="1"/>
  <c r="D122" i="9"/>
  <c r="D123" i="9" s="1"/>
  <c r="D9" i="52" s="1"/>
  <c r="B30" i="72"/>
  <c r="D14" i="53"/>
  <c r="B32" i="72" s="1"/>
  <c r="L68" i="9"/>
  <c r="M68" i="9" s="1"/>
  <c r="L64" i="9"/>
  <c r="M64" i="9" s="1"/>
  <c r="L67" i="9"/>
  <c r="M67" i="9" s="1"/>
  <c r="L65" i="9"/>
  <c r="M65" i="9" s="1"/>
  <c r="L66" i="9"/>
  <c r="M66" i="9" s="1"/>
  <c r="L63" i="9"/>
  <c r="M63" i="9" s="1"/>
  <c r="D15" i="53"/>
  <c r="B31" i="72" s="1"/>
  <c r="C68" i="9" l="1"/>
  <c r="D54" i="9" s="1"/>
  <c r="D8" i="52"/>
  <c r="M69" i="9"/>
  <c r="N69" i="9" s="1"/>
  <c r="C80" i="9"/>
  <c r="E80" i="9" s="1"/>
  <c r="E81" i="9" s="1"/>
  <c r="C97" i="9"/>
  <c r="D58" i="9" s="1"/>
  <c r="D56" i="9" s="1"/>
  <c r="M54" i="9" s="1"/>
  <c r="N57" i="9" s="1"/>
  <c r="N58" i="9" l="1"/>
  <c r="P57" i="9"/>
  <c r="N59" i="9"/>
  <c r="C81" i="9"/>
  <c r="N61" i="9" l="1"/>
  <c r="N60" i="9"/>
  <c r="F118" i="84"/>
  <c r="F119" i="84" s="1"/>
  <c r="D118" i="84"/>
  <c r="D119" i="84" s="1"/>
  <c r="H118" i="84"/>
  <c r="C104" i="84" l="1"/>
  <c r="D15" i="74"/>
  <c r="G15" i="74" s="1"/>
  <c r="B6" i="74" s="1"/>
  <c r="H119" i="84"/>
  <c r="H101" i="84"/>
  <c r="I118" i="84"/>
  <c r="G118" i="84"/>
  <c r="D6" i="74" l="1"/>
  <c r="C6" i="74"/>
  <c r="E15" i="74"/>
  <c r="D31" i="74" s="1"/>
  <c r="E31" i="74" s="1"/>
  <c r="E32" i="74" s="1"/>
  <c r="F15" i="74"/>
  <c r="B5" i="74"/>
  <c r="H102" i="84"/>
  <c r="C105" i="84"/>
  <c r="E118" i="84"/>
  <c r="M48" i="84"/>
  <c r="D45" i="84"/>
  <c r="H107" i="84"/>
  <c r="D5" i="74" l="1"/>
  <c r="C5" i="74"/>
  <c r="D122" i="84"/>
  <c r="D123" i="84" s="1"/>
  <c r="M49" i="84"/>
  <c r="H108" i="84"/>
  <c r="D52" i="84"/>
  <c r="D55" i="84"/>
  <c r="M53" i="84" s="1"/>
  <c r="C64" i="84"/>
  <c r="C63" i="84" s="1"/>
  <c r="C67" i="84" s="1"/>
  <c r="C85" i="84"/>
  <c r="D53" i="84"/>
  <c r="C93" i="84"/>
  <c r="C86" i="84" s="1"/>
  <c r="C78" i="84"/>
  <c r="C73" i="84" s="1"/>
  <c r="C72" i="84"/>
  <c r="C79" i="84" l="1"/>
  <c r="C95" i="84"/>
  <c r="D59" i="84"/>
  <c r="M55" i="84" s="1"/>
  <c r="C68" i="84"/>
  <c r="D54" i="84" s="1"/>
  <c r="L65" i="84"/>
  <c r="M65" i="84" s="1"/>
  <c r="L66" i="84"/>
  <c r="M66" i="84" s="1"/>
  <c r="L64" i="84"/>
  <c r="M64" i="84" s="1"/>
  <c r="L67" i="84"/>
  <c r="M67" i="84" s="1"/>
  <c r="L68" i="84"/>
  <c r="M68" i="84" s="1"/>
  <c r="L63" i="84"/>
  <c r="M63" i="84" s="1"/>
  <c r="C80" i="84"/>
  <c r="E80" i="84" s="1"/>
  <c r="E81" i="84" s="1"/>
  <c r="M69" i="84" l="1"/>
  <c r="N69" i="84" s="1"/>
  <c r="C81" i="84"/>
  <c r="C96" i="84"/>
  <c r="E96" i="84" s="1"/>
  <c r="E97" i="84" s="1"/>
  <c r="C97" i="84" l="1"/>
  <c r="D58" i="84" s="1"/>
  <c r="D56" i="84" s="1"/>
  <c r="M54" i="84" s="1"/>
  <c r="N57" i="84" s="1"/>
  <c r="P57" i="84" s="1"/>
  <c r="N58" i="84" l="1"/>
  <c r="N59" i="84"/>
  <c r="N61" i="84" s="1"/>
  <c r="N60" i="8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<sst xmlns="http://schemas.openxmlformats.org/spreadsheetml/2006/main" count="9073" uniqueCount="3429">
  <si>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</si>
  <si>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</si>
  <si>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</si>
  <si>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</si>
  <si>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</si>
  <si>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</si>
  <si>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</si>
  <si>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</si>
  <si>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</si>
  <si>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</si>
  <si>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</si>
  <si>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</si>
  <si>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</si>
  <si>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</si>
  <si>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</si>
  <si>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</si>
  <si>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</si>
  <si>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</si>
  <si>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</si>
  <si>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</si>
  <si>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</si>
  <si>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</si>
  <si>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</si>
  <si>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</si>
  <si>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</si>
  <si>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</si>
  <si>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</si>
  <si>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</si>
  <si>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</si>
  <si>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</si>
  <si>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</si>
  <si>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</si>
  <si>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</si>
  <si>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</si>
  <si>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</si>
  <si>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</si>
  <si>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</si>
  <si>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</si>
  <si>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</si>
  <si>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</si>
  <si>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</si>
  <si>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</si>
  <si>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</si>
  <si>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</si>
  <si>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</si>
  <si>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</si>
  <si>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</si>
  <si>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</si>
  <si>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</si>
  <si>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</si>
  <si>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</si>
  <si>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</si>
  <si>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</si>
  <si>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</si>
  <si>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</si>
  <si>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</si>
  <si>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</si>
  <si>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</si>
  <si>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</si>
  <si>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</si>
  <si>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</si>
  <si>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</si>
  <si>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</si>
  <si>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</si>
  <si>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</si>
  <si>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</si>
  <si>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</si>
  <si>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</si>
  <si>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</si>
  <si>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</si>
  <si>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</si>
  <si>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</si>
  <si>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</si>
  <si>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</si>
  <si>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</si>
  <si>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</si>
  <si>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</si>
  <si>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</si>
  <si>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</si>
  <si>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</si>
  <si>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</si>
  <si>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</si>
  <si>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</si>
  <si>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</si>
  <si>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</si>
  <si>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</si>
  <si>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</si>
  <si>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</si>
  <si>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</si>
  <si>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</si>
  <si>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</si>
  <si>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</si>
  <si>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</si>
  <si>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</si>
  <si>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</si>
  <si>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</si>
  <si>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</si>
  <si>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</si>
  <si>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</si>
  <si>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</si>
  <si>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</si>
  <si>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</si>
  <si>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</si>
  <si>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</si>
  <si>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</si>
  <si>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</si>
  <si>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</si>
  <si>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</si>
  <si>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</si>
  <si>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</si>
  <si>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</si>
  <si>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</si>
  <si>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</si>
  <si>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</si>
  <si>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</si>
  <si>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</si>
  <si>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</si>
  <si>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</si>
  <si>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</si>
  <si>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</si>
  <si>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</si>
  <si>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</si>
  <si>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</si>
  <si>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</si>
  <si>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</si>
  <si>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</si>
  <si>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</si>
  <si>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</si>
  <si>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</si>
  <si>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</si>
  <si>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</si>
  <si>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</si>
  <si>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</si>
  <si>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</si>
  <si>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</si>
  <si>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</si>
  <si>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</si>
  <si>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</si>
  <si>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</si>
  <si>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</si>
  <si>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</si>
  <si>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</si>
  <si>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</si>
  <si>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</si>
  <si>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</si>
  <si>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</si>
  <si>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</si>
  <si>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</si>
  <si>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</si>
  <si>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</si>
  <si>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</si>
  <si>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</si>
  <si>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</si>
  <si>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</si>
  <si>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</si>
  <si>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</si>
  <si>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</si>
  <si>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</si>
  <si>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</si>
  <si>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</si>
  <si>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</si>
  <si>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</si>
  <si>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</si>
  <si>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</si>
  <si>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</si>
  <si>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</si>
  <si>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</si>
  <si>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</si>
  <si>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</si>
  <si>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</si>
  <si>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</si>
  <si>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</si>
  <si>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</si>
  <si>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</si>
  <si>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</si>
  <si>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</si>
  <si>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</si>
  <si>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</si>
  <si>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</si>
  <si>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</si>
  <si>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</si>
  <si>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</si>
  <si>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</si>
  <si>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</si>
  <si>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</si>
  <si>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</si>
  <si>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</si>
  <si>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</si>
  <si>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</si>
  <si>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</si>
  <si>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</si>
  <si>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</si>
  <si>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</si>
  <si>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</si>
  <si>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</si>
  <si>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</si>
  <si>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</si>
  <si>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</si>
  <si>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</si>
  <si>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</si>
  <si>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</si>
  <si>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</si>
  <si>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</si>
  <si>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</si>
  <si>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</si>
  <si>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</si>
  <si>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</si>
  <si>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</si>
  <si>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</si>
  <si>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</si>
  <si>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</si>
  <si>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</si>
  <si>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</si>
  <si>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</si>
  <si>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</si>
  <si>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</si>
  <si>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</si>
  <si>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</si>
  <si>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</si>
  <si>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</si>
  <si>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</si>
  <si>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</si>
  <si>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</si>
  <si>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</si>
  <si>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</si>
  <si>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</si>
  <si>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</si>
  <si>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</si>
  <si>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</si>
  <si>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</si>
  <si>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</si>
  <si>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</si>
  <si>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</si>
  <si>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</si>
  <si>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</si>
  <si>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</si>
  <si>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</si>
  <si>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</si>
  <si>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</si>
  <si>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</si>
  <si>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</si>
  <si>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</si>
  <si>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</si>
  <si>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</si>
  <si>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</si>
  <si>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</si>
  <si>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</si>
  <si>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</si>
  <si>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</si>
  <si>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</si>
  <si>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</si>
  <si>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</si>
  <si>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</si>
  <si>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</si>
  <si>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</si>
  <si>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</si>
  <si>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</si>
  <si>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</si>
  <si>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</si>
  <si>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</si>
  <si>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</si>
  <si>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</si>
  <si>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</si>
  <si>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</si>
  <si>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</si>
  <si>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</si>
  <si>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</si>
  <si>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</si>
  <si>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</si>
  <si>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</si>
  <si>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</si>
  <si>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</si>
  <si>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</si>
  <si>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</si>
  <si>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</si>
  <si>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</si>
  <si>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</si>
  <si>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</si>
  <si>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</si>
  <si>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</si>
  <si>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</si>
  <si>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</si>
  <si>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</si>
  <si>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</si>
  <si>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</si>
  <si>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</si>
  <si>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</si>
  <si>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</si>
  <si>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</si>
  <si>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</si>
  <si>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</si>
  <si>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</si>
  <si>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</si>
  <si>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</si>
  <si>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</si>
  <si>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</si>
  <si>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</si>
  <si>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</si>
  <si>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</si>
  <si>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</si>
  <si>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</si>
  <si>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</si>
  <si>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</si>
  <si>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</si>
  <si>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</si>
  <si>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</si>
  <si>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</si>
  <si>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</si>
  <si>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</si>
  <si>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</si>
  <si>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</si>
  <si>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</si>
  <si>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</si>
  <si>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</si>
  <si>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</si>
  <si>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</si>
  <si>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</si>
  <si>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</si>
  <si>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</si>
  <si>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</si>
  <si>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</si>
  <si>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</si>
  <si>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</si>
  <si>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</si>
  <si>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</si>
  <si>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</si>
  <si>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</si>
  <si>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</si>
  <si>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</si>
  <si>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</si>
  <si>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</si>
  <si>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</si>
  <si>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</si>
  <si>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</si>
  <si>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</si>
  <si>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</si>
  <si>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</si>
  <si>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</si>
  <si>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</si>
  <si>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</si>
  <si>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</si>
  <si>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</si>
  <si>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</si>
  <si>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</si>
  <si>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</si>
  <si>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</si>
  <si>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</si>
  <si>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</si>
  <si>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</si>
  <si>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</si>
  <si>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</si>
  <si>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</si>
  <si>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</si>
  <si>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</si>
  <si>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</si>
  <si>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</si>
  <si>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</si>
  <si>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</si>
  <si>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</si>
  <si>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</si>
  <si>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</si>
  <si>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</si>
  <si>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</si>
  <si>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</si>
  <si>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</si>
  <si>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</si>
  <si>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</si>
  <si>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</si>
  <si>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</si>
  <si>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</si>
  <si>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</si>
  <si>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</si>
  <si>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</si>
  <si>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</si>
  <si>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</si>
  <si>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</si>
  <si>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</si>
  <si>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</si>
  <si>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</si>
  <si>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</si>
  <si>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</si>
  <si>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</si>
  <si>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</si>
  <si>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</si>
  <si>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</si>
  <si>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</si>
  <si>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</si>
  <si>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</si>
  <si>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</si>
  <si>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</si>
  <si>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</si>
  <si>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</si>
  <si>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</si>
  <si>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</si>
  <si>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</si>
  <si>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</si>
  <si>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</si>
  <si>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</si>
  <si>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</si>
  <si>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</si>
  <si>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</si>
  <si>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</si>
  <si>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</si>
  <si>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</si>
  <si>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</si>
  <si>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</si>
  <si>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</si>
  <si>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</si>
  <si>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</si>
  <si>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</si>
  <si>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</si>
  <si>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</si>
  <si>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</si>
  <si>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</si>
  <si>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</si>
  <si>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</si>
  <si>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</si>
  <si>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</si>
  <si>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</si>
  <si>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</si>
  <si>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</si>
  <si>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</si>
  <si>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</si>
  <si>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</si>
  <si>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</si>
  <si>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</si>
  <si>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</si>
  <si>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</si>
  <si>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</si>
  <si>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</si>
  <si>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</si>
  <si>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</si>
  <si>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</si>
  <si>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</si>
  <si>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</si>
  <si>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</si>
  <si>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</si>
  <si>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</si>
  <si>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</si>
  <si>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</si>
  <si>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</si>
  <si>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</si>
  <si>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</si>
  <si>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</si>
  <si>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</si>
  <si>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</si>
  <si>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</si>
  <si>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</si>
  <si>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</si>
  <si>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</si>
  <si>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</si>
  <si>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</si>
  <si>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</si>
  <si>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</si>
  <si>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</si>
  <si>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</si>
  <si>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</si>
  <si>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</si>
  <si>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</si>
  <si>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</si>
  <si>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</si>
  <si>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</si>
  <si>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</si>
  <si>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</si>
  <si>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</si>
  <si>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</si>
  <si>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</si>
  <si>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</si>
  <si>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</si>
  <si>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</si>
  <si>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</si>
  <si>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</si>
  <si>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</si>
  <si>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</si>
  <si>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</si>
  <si>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</si>
  <si>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</si>
  <si>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</si>
  <si>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</si>
  <si>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</si>
  <si>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</si>
  <si>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</si>
  <si>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</si>
  <si>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</si>
  <si>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</si>
  <si>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</si>
  <si>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</si>
  <si>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</si>
  <si>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</si>
  <si>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</si>
  <si>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</si>
  <si>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</si>
  <si>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</si>
  <si>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</si>
  <si>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</si>
  <si>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</si>
  <si>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</si>
  <si>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</si>
  <si>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</si>
  <si>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</si>
  <si>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</si>
  <si>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</si>
  <si>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</si>
  <si>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</si>
  <si>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</si>
  <si>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</si>
  <si>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</si>
  <si>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</si>
  <si>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</si>
  <si>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</si>
  <si>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</si>
  <si>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</si>
  <si>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</si>
  <si>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</si>
  <si>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</si>
  <si>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</si>
  <si>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</si>
  <si>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</si>
  <si>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</si>
  <si>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</si>
  <si>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</si>
  <si>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</si>
  <si>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</si>
  <si>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</si>
  <si>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</si>
  <si>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</si>
  <si>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</si>
  <si>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</si>
  <si>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</si>
  <si>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</si>
  <si>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</si>
  <si>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</si>
  <si>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</si>
  <si>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</si>
  <si>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</si>
  <si>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</si>
  <si>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</si>
  <si>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</si>
  <si>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</si>
  <si>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</si>
  <si>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</si>
  <si>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</si>
  <si>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</si>
  <si>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</si>
  <si>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</si>
  <si>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</si>
  <si>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</si>
  <si>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</si>
  <si>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</si>
  <si>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</si>
  <si>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</si>
  <si>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</si>
  <si>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</si>
  <si>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</si>
  <si>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</si>
  <si>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</si>
  <si>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</si>
  <si>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</si>
  <si>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</si>
  <si>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</si>
  <si>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</si>
  <si>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</si>
  <si>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</si>
  <si>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</si>
  <si>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</si>
  <si>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</si>
  <si>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</si>
  <si>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</si>
  <si>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</si>
  <si>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</si>
  <si>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</si>
  <si>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</si>
  <si>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</si>
  <si>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</si>
  <si>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</si>
  <si>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</si>
  <si>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</si>
  <si>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</si>
  <si>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</si>
  <si>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</si>
  <si>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</si>
  <si>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</si>
  <si>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</si>
  <si>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</si>
  <si>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</si>
  <si>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</si>
  <si>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</si>
  <si>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</si>
  <si>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</si>
  <si>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</si>
  <si>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</si>
  <si>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</si>
  <si>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</si>
  <si>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</si>
  <si>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</si>
  <si>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</si>
  <si>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</si>
  <si>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</si>
  <si>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</si>
  <si>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</si>
  <si>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</si>
  <si>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</si>
  <si>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</si>
  <si>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</si>
  <si>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</si>
  <si>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</si>
  <si>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</si>
  <si>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</si>
  <si>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</si>
  <si>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</si>
  <si>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</si>
  <si>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</si>
  <si>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</si>
  <si>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</si>
  <si>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</si>
  <si>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</si>
  <si>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</si>
  <si>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</si>
  <si>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</si>
  <si>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</si>
  <si>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</si>
  <si>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</si>
  <si>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</si>
  <si>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</si>
  <si>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</si>
  <si>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</si>
  <si>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</si>
  <si>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</si>
  <si>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</si>
  <si>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</si>
  <si>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</si>
  <si>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</si>
  <si>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</si>
  <si>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</si>
  <si>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</si>
  <si>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</si>
  <si>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</si>
  <si>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</si>
  <si>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</si>
  <si>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</si>
  <si>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</si>
  <si>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</si>
  <si>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</si>
  <si>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</si>
  <si>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</si>
  <si>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</si>
  <si>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</si>
  <si>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</si>
  <si>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</si>
  <si>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</si>
  <si>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</si>
  <si>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</si>
  <si>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</si>
  <si>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</si>
  <si>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</si>
  <si>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</si>
  <si>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</si>
  <si>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</si>
  <si>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</si>
  <si>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</si>
  <si>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</si>
  <si>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</si>
  <si>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</si>
  <si>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</si>
  <si>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</si>
  <si>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</si>
  <si>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</si>
  <si>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</si>
  <si>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</si>
  <si>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</si>
  <si>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</si>
  <si>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</si>
  <si>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</si>
  <si>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</si>
  <si>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</si>
  <si>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</si>
  <si>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</si>
  <si>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</si>
  <si>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</si>
  <si>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</si>
  <si>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</si>
  <si>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</si>
  <si>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</si>
  <si>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</si>
  <si>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</si>
  <si>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</si>
  <si>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</si>
  <si>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</si>
  <si>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</si>
  <si>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</si>
  <si>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</si>
  <si>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</si>
  <si>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</si>
  <si>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</si>
  <si>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</si>
  <si>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</si>
  <si>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</si>
  <si>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</si>
  <si>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</si>
  <si>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</si>
  <si>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</si>
  <si>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</si>
  <si>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</si>
  <si>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</si>
  <si>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</si>
  <si>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</si>
  <si>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</si>
  <si>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</si>
  <si>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</si>
  <si>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</si>
  <si>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</si>
  <si>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</si>
  <si>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</si>
  <si>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</si>
  <si>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</si>
  <si>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</si>
  <si>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</si>
  <si>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</si>
  <si>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</si>
  <si>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</si>
  <si>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</si>
  <si>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</si>
  <si>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</si>
  <si>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</si>
  <si>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</si>
  <si>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</si>
  <si>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</si>
  <si>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</si>
  <si>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</si>
  <si>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</si>
  <si>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</si>
  <si>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</si>
  <si>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</si>
  <si>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</si>
  <si>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</si>
  <si>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</si>
  <si>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</si>
  <si>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</si>
  <si>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</si>
  <si>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</si>
  <si>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</si>
  <si>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</si>
  <si>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</si>
  <si>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</si>
  <si>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</si>
  <si>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</si>
  <si>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</si>
  <si>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</si>
  <si>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</si>
  <si>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</si>
  <si>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</si>
  <si>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</si>
  <si>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</si>
  <si>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</si>
  <si>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</si>
  <si>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</si>
  <si>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</si>
  <si>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</si>
  <si>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</si>
  <si>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</si>
  <si>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</si>
  <si>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</si>
  <si>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</si>
  <si>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</si>
  <si>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</si>
  <si>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</si>
  <si>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</si>
  <si>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</si>
  <si>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</si>
  <si>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</si>
  <si>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</si>
  <si>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</si>
  <si>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</si>
  <si>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</si>
  <si>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</si>
  <si>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</si>
  <si>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</si>
  <si>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</si>
  <si>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</si>
  <si>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</si>
  <si>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</si>
  <si>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</si>
  <si>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</si>
  <si>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</si>
  <si>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</si>
  <si>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</si>
  <si>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</si>
  <si>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</si>
  <si>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</si>
  <si>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</si>
  <si>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</si>
  <si>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</si>
  <si>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</si>
  <si>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</si>
  <si>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</si>
  <si>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</si>
  <si>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</si>
  <si>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</si>
  <si>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</si>
  <si>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</si>
  <si>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</si>
  <si>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</si>
  <si>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</si>
  <si>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</si>
  <si>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</si>
  <si>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</si>
  <si>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</si>
  <si>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</si>
  <si>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</si>
  <si>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</si>
  <si>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</si>
  <si>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</si>
  <si>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</si>
  <si>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</si>
  <si>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</si>
  <si>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</si>
  <si>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</si>
  <si>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</si>
  <si>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</si>
  <si>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</si>
  <si>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</si>
  <si>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</si>
  <si>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</si>
  <si>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</si>
  <si>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</si>
  <si>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</si>
  <si>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</si>
  <si>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</si>
  <si>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</si>
  <si>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</si>
  <si>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</si>
  <si>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</si>
  <si>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</si>
  <si>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</si>
  <si>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</si>
  <si>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</si>
  <si>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</si>
  <si>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</si>
  <si>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</si>
  <si>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</si>
  <si>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</si>
  <si>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</si>
  <si>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</si>
  <si>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</si>
  <si>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</si>
  <si>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</si>
  <si>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</si>
  <si>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</si>
  <si>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</si>
  <si>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</si>
  <si>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</si>
  <si>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</si>
  <si>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</si>
  <si>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</si>
  <si>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</si>
  <si>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</si>
  <si>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</si>
  <si>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</si>
  <si>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</si>
  <si>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</si>
  <si>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</si>
  <si>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</si>
  <si>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</si>
  <si>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</si>
  <si>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</si>
  <si>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</si>
  <si>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</si>
  <si>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</si>
  <si>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</si>
  <si>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</si>
  <si>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</si>
  <si>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</si>
  <si>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</si>
  <si>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</si>
  <si>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</si>
  <si>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</si>
  <si>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</si>
  <si>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</si>
  <si>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</si>
  <si>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</si>
  <si>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</si>
  <si>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</si>
  <si>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</si>
  <si>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</si>
  <si>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</si>
  <si>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</si>
  <si>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</si>
  <si>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</si>
  <si>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</si>
  <si>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</si>
  <si>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</si>
  <si>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</si>
  <si>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</si>
  <si>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</si>
  <si>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</si>
  <si>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</si>
  <si>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</si>
  <si>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</si>
  <si>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</si>
  <si>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</si>
  <si>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</si>
  <si>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</si>
  <si>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</si>
  <si>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</si>
  <si>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</si>
  <si>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</si>
  <si>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</si>
  <si>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</si>
  <si>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</si>
  <si>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</si>
  <si>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</si>
  <si>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</si>
  <si>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</si>
  <si>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</si>
  <si>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</si>
  <si>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</si>
  <si>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</si>
  <si>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</si>
  <si>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</si>
  <si>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</si>
  <si>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</si>
  <si>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</si>
  <si>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</si>
  <si>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</si>
  <si>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</si>
  <si>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</si>
  <si>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</si>
  <si>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</si>
  <si>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</si>
  <si>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</si>
  <si>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</si>
  <si>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</si>
  <si>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</si>
  <si>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</si>
  <si>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</si>
  <si>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</si>
  <si>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</si>
  <si>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</si>
  <si>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</si>
  <si>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</si>
  <si>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</si>
  <si>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</si>
  <si>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</si>
  <si>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</si>
  <si>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</si>
  <si>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</si>
  <si>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</si>
  <si>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</si>
  <si>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</si>
  <si>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</si>
  <si>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</si>
  <si>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</si>
  <si>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</si>
  <si>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</si>
  <si>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</si>
  <si>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</si>
  <si>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</si>
  <si>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</si>
  <si>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</si>
  <si>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</si>
  <si>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</si>
  <si>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</si>
  <si>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</si>
  <si>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</si>
  <si>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</si>
  <si>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</si>
  <si>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</si>
  <si>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</si>
  <si>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</si>
  <si>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</si>
  <si>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</si>
  <si>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</si>
  <si>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</si>
  <si>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</si>
  <si>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</si>
  <si>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</si>
  <si>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</si>
  <si>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</si>
  <si>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</si>
  <si>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</si>
  <si>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</si>
  <si>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</si>
  <si>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</si>
  <si>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</si>
  <si>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</si>
  <si>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</si>
  <si>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</si>
  <si>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</si>
  <si>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</si>
  <si>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</si>
  <si>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</si>
  <si>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</si>
  <si>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</si>
  <si>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</si>
  <si>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</si>
  <si>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</si>
  <si>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</si>
  <si>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</si>
  <si>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</si>
  <si>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</si>
  <si>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</si>
  <si>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</si>
  <si>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</si>
  <si>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</si>
  <si>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</si>
  <si>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</si>
  <si>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</si>
  <si>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</si>
  <si>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</si>
  <si>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</si>
  <si>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</si>
  <si>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</si>
  <si>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</si>
  <si>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</si>
  <si>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</si>
  <si>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</si>
  <si>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</si>
  <si>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</si>
  <si>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</si>
  <si>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</si>
  <si>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</si>
  <si>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</si>
  <si>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</si>
  <si>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</si>
  <si>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</si>
  <si>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</si>
  <si>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</si>
  <si>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</si>
  <si>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</si>
  <si>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</si>
  <si>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</si>
  <si>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</si>
  <si>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</si>
  <si>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</si>
  <si>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</si>
  <si>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</si>
  <si>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</si>
  <si>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</si>
  <si>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</si>
  <si>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</si>
  <si>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</si>
  <si>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</si>
  <si>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</si>
  <si>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</si>
  <si>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</si>
  <si>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</si>
  <si>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</si>
  <si>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</si>
  <si>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</si>
  <si>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</si>
  <si>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</si>
  <si>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</si>
  <si>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</si>
  <si>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</si>
  <si>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</si>
  <si>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</si>
  <si>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</si>
  <si>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</si>
  <si>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</si>
  <si>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</si>
  <si>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</si>
  <si>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</si>
  <si>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</si>
  <si>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</si>
  <si>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</si>
  <si>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</si>
  <si>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</si>
  <si>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</si>
  <si>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</si>
  <si>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</si>
  <si>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</si>
  <si>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</si>
  <si>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</si>
  <si>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</si>
  <si>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</si>
  <si>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</si>
  <si>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</si>
  <si>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</si>
  <si>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</si>
  <si>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</si>
  <si>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</si>
  <si>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</si>
  <si>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</si>
  <si>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</si>
  <si>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</si>
  <si>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</si>
  <si>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</si>
  <si>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</si>
  <si>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</si>
  <si>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</si>
  <si>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</si>
  <si>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</si>
  <si>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</si>
  <si>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</si>
  <si>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</si>
  <si>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</si>
  <si>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</si>
  <si>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</si>
  <si>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</si>
  <si>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</si>
  <si>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</si>
  <si>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</si>
  <si>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</si>
  <si>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</si>
  <si>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</si>
  <si>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</si>
  <si>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</si>
  <si>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</si>
  <si>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</si>
  <si>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</si>
  <si>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</si>
  <si>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</si>
  <si>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</si>
  <si>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</si>
  <si>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</si>
  <si>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</si>
  <si>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</si>
  <si>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</si>
  <si>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</si>
  <si>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</si>
  <si>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</si>
  <si>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</si>
  <si>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</si>
  <si>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</si>
  <si>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</si>
  <si>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</si>
  <si>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</si>
  <si>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</si>
  <si>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</si>
  <si>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</si>
  <si>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</si>
  <si>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</si>
  <si>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</si>
  <si>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</si>
  <si>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</si>
  <si>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</si>
  <si>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</si>
  <si>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</si>
  <si>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</si>
  <si>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</si>
  <si>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</si>
  <si>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</si>
  <si>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</si>
  <si>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</si>
  <si>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</si>
  <si>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</si>
  <si>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</si>
  <si>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</si>
  <si>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</si>
  <si>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</si>
  <si>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</si>
  <si>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</si>
  <si>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</si>
  <si>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</si>
  <si>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</si>
  <si>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</si>
  <si>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</si>
  <si>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</si>
  <si>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</si>
  <si>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</si>
  <si>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</si>
  <si>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</si>
  <si>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</si>
  <si>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</si>
  <si>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</si>
  <si>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</si>
  <si>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</si>
  <si>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</si>
  <si>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</si>
  <si>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</si>
  <si>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</si>
  <si>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</si>
  <si>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</si>
  <si>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</si>
  <si>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</si>
  <si>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</si>
  <si>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</si>
  <si>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</si>
  <si>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</si>
  <si>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</si>
  <si>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</si>
  <si>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</si>
  <si>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</si>
  <si>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</si>
  <si>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</si>
  <si>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</si>
  <si>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</si>
  <si>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</si>
  <si>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</si>
  <si>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</si>
  <si>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</si>
  <si>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</si>
  <si>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</si>
  <si>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</si>
  <si>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</si>
  <si>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</si>
  <si>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</si>
  <si>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</si>
  <si>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</si>
  <si>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</si>
  <si>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</si>
  <si>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</si>
  <si>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</si>
  <si>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</si>
  <si>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</si>
  <si>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</si>
  <si>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</si>
  <si>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</si>
  <si>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</si>
  <si>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</si>
  <si>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</si>
  <si>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</si>
  <si>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</si>
  <si>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</si>
  <si>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</si>
  <si>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</si>
  <si>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</si>
  <si>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</si>
  <si>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</si>
  <si>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</si>
  <si>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</si>
  <si>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</si>
  <si>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</si>
  <si>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</si>
  <si>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</si>
  <si>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</si>
  <si>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</si>
  <si>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</si>
  <si>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</si>
  <si>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</si>
  <si>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</si>
  <si>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</si>
  <si>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</si>
  <si>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</si>
  <si>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</si>
  <si>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</si>
  <si>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</si>
  <si>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</si>
  <si>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</si>
  <si>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</si>
  <si>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</si>
  <si>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</si>
  <si>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</si>
  <si>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</si>
  <si>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</si>
  <si>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</si>
  <si>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</si>
  <si>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</si>
  <si>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</si>
  <si>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</si>
  <si>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</si>
  <si>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</si>
  <si>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</si>
  <si>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</si>
  <si>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</si>
  <si>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</si>
  <si>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</si>
  <si>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</si>
  <si>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</si>
  <si>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</si>
  <si>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</si>
  <si>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</si>
  <si>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</si>
  <si>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</si>
  <si>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</si>
  <si>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</si>
  <si>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</si>
  <si>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</si>
  <si>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</si>
  <si>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</si>
  <si>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</si>
  <si>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</si>
  <si>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</si>
  <si>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</si>
  <si>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</si>
  <si>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</si>
  <si>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</si>
  <si>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</si>
  <si>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</si>
  <si>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</si>
  <si>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</si>
  <si>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</si>
  <si>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</si>
  <si>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</si>
  <si>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</si>
  <si>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</si>
  <si>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</si>
  <si>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</si>
  <si>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</si>
  <si>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</si>
  <si>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</si>
  <si>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</si>
  <si>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</si>
  <si>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</si>
  <si>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</si>
  <si>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</si>
  <si>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</si>
  <si>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</si>
  <si>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</si>
  <si>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</si>
  <si>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</si>
  <si>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</si>
  <si>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</si>
  <si>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</si>
  <si>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</si>
  <si>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</si>
  <si>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</si>
  <si>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</si>
  <si>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</si>
  <si>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</si>
  <si>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</si>
  <si>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</si>
  <si>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</si>
  <si>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</si>
  <si>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</si>
  <si>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</si>
  <si>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</si>
  <si>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</si>
  <si>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</si>
  <si>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</si>
  <si>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</si>
  <si>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</si>
  <si>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</si>
  <si>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</si>
  <si>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</si>
  <si>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</si>
  <si>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</si>
  <si>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</si>
  <si>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</si>
  <si>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</si>
  <si>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</si>
  <si>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</si>
  <si>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</si>
  <si>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</si>
  <si>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</si>
  <si>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</si>
  <si>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</si>
  <si>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</si>
  <si>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</si>
  <si>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</si>
  <si>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</si>
  <si>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</si>
  <si>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</si>
  <si>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</si>
  <si>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</si>
  <si>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</si>
  <si>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</si>
  <si>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</si>
  <si>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</si>
  <si>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</si>
  <si>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</si>
  <si>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</si>
  <si>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</si>
  <si>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</si>
  <si>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</si>
  <si>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</si>
  <si>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</si>
  <si>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</si>
  <si>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</si>
  <si>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</si>
  <si>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</si>
  <si>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</si>
  <si>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</si>
  <si>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</si>
  <si>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</si>
  <si>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</si>
  <si>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</si>
  <si>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</si>
  <si>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</si>
  <si>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</si>
  <si>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</si>
  <si>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</si>
  <si>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</si>
  <si>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</si>
  <si>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</si>
  <si>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</si>
  <si>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</si>
  <si>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</si>
  <si>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</si>
  <si>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</si>
  <si>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</si>
  <si>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</si>
  <si>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</si>
  <si>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</si>
  <si>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</si>
  <si>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</si>
  <si>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</si>
  <si>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</si>
  <si>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</si>
  <si>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</si>
  <si>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</si>
  <si>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</si>
  <si>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</si>
  <si>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</si>
  <si>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</si>
  <si>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</si>
  <si>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</si>
  <si>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</si>
  <si>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</si>
  <si>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</si>
  <si>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</si>
  <si>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</si>
  <si>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</si>
  <si>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</si>
  <si>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</si>
  <si>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</si>
  <si>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</si>
  <si>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</si>
  <si>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</si>
  <si>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</si>
  <si>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</si>
  <si>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</si>
  <si>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</si>
  <si>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</si>
  <si>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</si>
  <si>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</si>
  <si>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</si>
  <si>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</si>
  <si>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</si>
  <si>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</si>
  <si>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</si>
  <si>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</si>
  <si>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</si>
  <si>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</si>
  <si>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</si>
  <si>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</si>
  <si>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</si>
  <si>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</si>
  <si>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</si>
  <si>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</si>
  <si>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</si>
  <si>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</si>
  <si>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</si>
  <si>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</si>
  <si>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</si>
  <si>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</si>
  <si>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</si>
  <si>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</si>
  <si>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</si>
  <si>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</si>
  <si>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</si>
  <si>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</si>
  <si>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</si>
  <si>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</si>
  <si>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</si>
  <si>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</si>
  <si>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</si>
  <si>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</si>
  <si>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</si>
  <si>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</si>
  <si>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</si>
  <si>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</si>
  <si>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</si>
  <si>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</si>
  <si>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</si>
  <si>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</si>
  <si>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</si>
  <si>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</si>
  <si>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</si>
  <si>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</si>
  <si>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</si>
  <si>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</si>
  <si>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</si>
  <si>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</si>
  <si>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</si>
  <si>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</si>
  <si>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</si>
  <si>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</si>
  <si>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</si>
  <si>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</si>
  <si>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</si>
  <si>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</si>
  <si>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</si>
  <si>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</si>
  <si>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</si>
  <si>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</si>
  <si>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</si>
  <si>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</si>
  <si>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</si>
  <si>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</si>
  <si>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</si>
  <si>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</si>
  <si>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</si>
  <si>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</si>
  <si>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</si>
  <si>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</si>
  <si>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</si>
  <si>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</si>
  <si>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</si>
  <si>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</si>
  <si>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</si>
  <si>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</si>
  <si>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</si>
  <si>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</si>
  <si>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</si>
  <si>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</si>
  <si>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</si>
  <si>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</si>
  <si>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</si>
  <si>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</si>
  <si>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</si>
  <si>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</si>
  <si>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</si>
  <si>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</si>
  <si>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</si>
  <si>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</si>
  <si>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</si>
  <si>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</si>
  <si>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</si>
  <si>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</si>
  <si>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</si>
  <si>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</si>
  <si>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</si>
  <si>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</si>
  <si>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</si>
  <si>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</si>
  <si>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</si>
  <si>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</si>
  <si>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</si>
  <si>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</si>
  <si>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</si>
  <si>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</si>
  <si>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</si>
  <si>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</si>
  <si>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</si>
  <si>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</si>
  <si>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</si>
  <si>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</si>
  <si>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</si>
  <si>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</si>
  <si>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</si>
  <si>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</si>
  <si>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</si>
  <si>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</si>
  <si>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</si>
  <si>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</si>
  <si>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</si>
  <si>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</si>
  <si>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</si>
  <si>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</si>
  <si>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</si>
  <si>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</si>
  <si>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</si>
  <si>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</si>
  <si>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</si>
  <si>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</si>
  <si>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</si>
  <si>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</si>
  <si>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</si>
  <si>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</si>
  <si>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</si>
  <si>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</si>
  <si>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</si>
  <si>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</si>
  <si>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</si>
  <si>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</si>
  <si>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</si>
  <si>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</si>
  <si>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</si>
  <si>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</si>
  <si>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</si>
  <si>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</si>
  <si>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</si>
  <si>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</si>
  <si>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</si>
  <si>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</si>
  <si>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</si>
  <si>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</si>
  <si>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</si>
  <si>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</si>
  <si>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</si>
  <si>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</si>
  <si>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</si>
  <si>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</si>
  <si>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</si>
  <si>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</si>
  <si>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</si>
  <si>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</si>
  <si>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</si>
  <si>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</si>
  <si>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</si>
  <si>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</si>
  <si>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</si>
  <si>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</si>
  <si>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</si>
  <si>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</si>
  <si>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</si>
  <si>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</si>
  <si>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</si>
  <si>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</si>
  <si>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</si>
  <si>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</si>
  <si>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</si>
  <si>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</si>
  <si>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</si>
  <si>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</si>
  <si>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</si>
  <si>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</si>
  <si>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</si>
  <si>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</si>
  <si>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</si>
  <si>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</si>
  <si>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</si>
  <si>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</si>
  <si>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</si>
  <si>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</si>
  <si>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</si>
  <si>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</si>
  <si>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</si>
  <si>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</si>
  <si>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</si>
  <si>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</si>
  <si>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</si>
  <si>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</si>
  <si>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</si>
  <si>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</si>
  <si>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</si>
  <si>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</si>
  <si>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</si>
  <si>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</si>
  <si>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</si>
  <si>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</si>
  <si>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</si>
  <si>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</si>
  <si>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</si>
  <si>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</si>
  <si>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</si>
  <si>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</si>
  <si>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</si>
  <si>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</si>
  <si>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</si>
  <si>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</si>
  <si>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</si>
  <si>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</si>
  <si>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</si>
  <si>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</si>
  <si>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</si>
  <si>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</si>
  <si>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</si>
  <si>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</si>
  <si>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</si>
  <si>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</si>
  <si>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</si>
  <si>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</si>
  <si>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</si>
  <si>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</si>
  <si>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</si>
  <si>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</si>
  <si>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</si>
  <si>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</si>
  <si>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</si>
  <si>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</si>
  <si>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</si>
  <si>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</si>
  <si>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</si>
  <si>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</si>
  <si>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</si>
  <si>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</si>
  <si>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</si>
  <si>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</si>
  <si>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</si>
  <si>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</si>
  <si>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</si>
  <si>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</si>
  <si>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</si>
  <si>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</si>
  <si>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</si>
  <si>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</si>
  <si>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</si>
  <si>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</si>
  <si>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</si>
  <si>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</si>
  <si>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</si>
  <si>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</si>
  <si>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</si>
  <si>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</si>
  <si>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</si>
  <si>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</si>
  <si>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</si>
  <si>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</si>
  <si>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</si>
  <si>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</si>
  <si>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</si>
  <si>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</si>
  <si>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</si>
  <si>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</si>
  <si>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</si>
  <si>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</si>
  <si>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</si>
  <si>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</si>
  <si>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</si>
  <si>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</si>
  <si>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</si>
  <si>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</si>
  <si>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</si>
  <si>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</si>
  <si>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</si>
  <si>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</si>
  <si>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</si>
  <si>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</si>
  <si>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</si>
  <si>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</si>
  <si>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</si>
  <si>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</si>
  <si>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</si>
  <si>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</si>
  <si>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</si>
  <si>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</si>
  <si>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</si>
  <si>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</si>
  <si>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</si>
  <si>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</si>
  <si>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</si>
  <si>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</si>
  <si>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</si>
  <si>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</si>
  <si>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</si>
  <si>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</si>
  <si>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</si>
  <si>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</si>
  <si>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</si>
  <si>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</si>
  <si>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</si>
  <si>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</si>
  <si>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</si>
  <si>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</si>
  <si>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</si>
  <si>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</si>
  <si>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</si>
  <si>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</si>
  <si>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</si>
  <si>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</si>
  <si>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</si>
  <si>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</si>
  <si>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</si>
  <si>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</si>
  <si>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</si>
  <si>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</si>
  <si>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</si>
  <si>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</si>
  <si>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</si>
  <si>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</si>
  <si>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</si>
  <si>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</si>
  <si>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</si>
  <si>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</si>
  <si>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</si>
  <si>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</si>
  <si>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</si>
  <si>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</si>
  <si>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</si>
  <si>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</si>
  <si>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</si>
  <si>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</si>
  <si>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</si>
  <si>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</si>
  <si>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</si>
  <si>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</si>
  <si>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</si>
  <si>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</si>
  <si>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</si>
  <si>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</si>
  <si>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</si>
  <si>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</si>
  <si>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</si>
  <si>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</si>
  <si>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</si>
  <si>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</si>
  <si>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</si>
  <si>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</si>
  <si>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</si>
  <si>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</si>
  <si>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</si>
  <si>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</si>
  <si>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</si>
  <si>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</si>
  <si>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</si>
  <si>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</si>
  <si>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</si>
  <si>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</si>
  <si>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</si>
  <si>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</si>
  <si>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</si>
  <si>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</si>
  <si>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</si>
  <si>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</si>
  <si>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</si>
  <si>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</si>
  <si>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</si>
  <si>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</si>
  <si>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</si>
  <si>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</si>
  <si>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</si>
  <si>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</si>
  <si>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</si>
  <si>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</si>
  <si>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</si>
  <si>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</si>
  <si>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</si>
  <si>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</si>
  <si>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</si>
  <si>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</si>
  <si>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</si>
  <si>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</si>
  <si>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</si>
  <si>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</si>
  <si>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</si>
  <si>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</si>
  <si>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</si>
  <si>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</si>
  <si>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</si>
  <si>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</si>
  <si>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</si>
  <si>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</si>
  <si>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</si>
  <si>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</si>
  <si>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</si>
  <si>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</si>
  <si>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</si>
  <si>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</si>
  <si>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</si>
  <si>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</si>
  <si>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</si>
  <si>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</si>
  <si>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</si>
  <si>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</si>
  <si>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</si>
  <si>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</si>
  <si>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</si>
  <si>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</si>
  <si>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</si>
  <si>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</si>
  <si>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</si>
  <si>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</si>
  <si>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</si>
  <si>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</si>
  <si>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</si>
  <si>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</si>
  <si>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</si>
  <si>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</si>
  <si>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</si>
  <si>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</si>
  <si>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</si>
  <si>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</si>
  <si>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</si>
  <si>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</si>
  <si>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</si>
  <si>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</si>
  <si>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</si>
  <si>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</si>
  <si>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</si>
  <si>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</si>
  <si>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</si>
  <si>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</si>
  <si>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</si>
  <si>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</si>
  <si>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</si>
  <si>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</si>
  <si>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</si>
  <si>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</si>
  <si>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</si>
  <si>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</si>
  <si>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</si>
  <si>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</si>
  <si>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</si>
  <si>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</si>
  <si>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</si>
  <si>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</si>
  <si>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</si>
  <si>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</si>
  <si>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</si>
  <si>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</si>
  <si>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</si>
  <si>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</si>
  <si>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</si>
  <si>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</si>
  <si>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</si>
  <si>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</si>
  <si>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</si>
  <si>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</si>
  <si>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</si>
  <si>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</si>
  <si>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</si>
  <si>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</si>
  <si>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</si>
  <si>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</si>
  <si>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</si>
  <si>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</si>
  <si>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</si>
  <si>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</si>
  <si>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</si>
  <si>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</si>
  <si>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</si>
  <si>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</si>
  <si>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</si>
  <si>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</si>
  <si>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</si>
  <si>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</si>
  <si>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</si>
  <si>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</si>
  <si>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</si>
  <si>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</si>
  <si>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</si>
  <si>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</si>
  <si>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</si>
  <si>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</si>
  <si>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</si>
  <si>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</si>
  <si>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</si>
  <si>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</si>
  <si>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</si>
  <si>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</si>
  <si>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</si>
  <si>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</si>
  <si>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</si>
  <si>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</si>
  <si>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</si>
  <si>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</si>
  <si>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</si>
  <si>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</si>
  <si>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</si>
  <si>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</si>
  <si>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</si>
  <si>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</si>
  <si>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</si>
  <si>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</si>
  <si>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</si>
  <si>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</si>
  <si>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</si>
  <si>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</si>
  <si>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</si>
  <si>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</si>
  <si>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</si>
  <si>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</si>
  <si>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</si>
  <si>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</si>
  <si>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</si>
  <si>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</si>
  <si>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</si>
  <si>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</si>
  <si>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</si>
  <si>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</si>
  <si>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</si>
  <si>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</si>
  <si>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</si>
  <si>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</si>
  <si>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</si>
  <si>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</si>
  <si>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</si>
  <si>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</si>
  <si>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</si>
  <si>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</si>
  <si>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</si>
  <si>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</si>
  <si>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</si>
  <si>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</si>
  <si>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</si>
  <si>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</si>
  <si>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</si>
  <si>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</si>
  <si>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</si>
  <si>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</si>
  <si>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</si>
  <si>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</si>
  <si>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</si>
  <si>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</si>
  <si>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</si>
  <si>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</si>
  <si>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</si>
  <si>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</si>
  <si>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</si>
  <si>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</si>
  <si>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</si>
  <si>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</si>
  <si>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</si>
  <si>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</si>
  <si>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</si>
  <si>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</si>
  <si>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</si>
  <si>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</si>
  <si>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</si>
  <si>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</si>
  <si>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</si>
  <si>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</si>
  <si>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</si>
  <si>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</si>
  <si>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</si>
  <si>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</si>
  <si>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</si>
  <si>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</si>
  <si>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</si>
  <si>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</si>
  <si>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</si>
  <si>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</si>
  <si>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</si>
  <si>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</si>
  <si>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</si>
  <si>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</si>
  <si>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</si>
  <si>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</si>
  <si>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</si>
  <si>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</si>
  <si>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</si>
  <si>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</si>
  <si>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</si>
  <si>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</si>
  <si>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</si>
  <si>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</si>
  <si>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</si>
  <si>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</si>
  <si>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</si>
  <si>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</si>
  <si>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</si>
  <si>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</si>
  <si>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</si>
  <si>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</si>
  <si>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</si>
  <si>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</si>
  <si>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</si>
  <si>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</si>
  <si>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</si>
  <si>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</si>
  <si>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</si>
  <si>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</si>
  <si>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</si>
  <si>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</si>
  <si>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</si>
  <si>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</si>
  <si>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</si>
  <si>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</si>
  <si>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</si>
  <si>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</si>
  <si>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</si>
  <si>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</si>
  <si>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</si>
  <si>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</si>
  <si>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</si>
  <si>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</si>
  <si>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</si>
  <si>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</si>
  <si>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</si>
  <si>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</si>
  <si>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</si>
  <si>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</si>
  <si>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</si>
  <si>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</si>
  <si>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</si>
  <si>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</si>
  <si>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</si>
  <si>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</si>
  <si>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</si>
  <si>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</si>
  <si>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</si>
  <si>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</si>
  <si>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</si>
  <si>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</si>
  <si>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</si>
  <si>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</si>
  <si>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</si>
  <si>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</si>
  <si>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</si>
  <si>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</si>
  <si>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</si>
  <si>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</si>
  <si>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</si>
  <si>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</si>
  <si>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</si>
  <si>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</si>
  <si>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</si>
  <si>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</si>
  <si>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</si>
  <si>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</si>
  <si>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</si>
  <si>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</si>
  <si>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</si>
  <si>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</si>
  <si>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</si>
  <si>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</si>
  <si>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</si>
  <si>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</si>
  <si>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</si>
  <si>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</si>
  <si>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</si>
  <si>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</si>
  <si>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</si>
  <si>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</si>
  <si>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</si>
  <si>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</si>
  <si>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</si>
  <si>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</si>
  <si>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</si>
  <si>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</si>
  <si>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</si>
  <si>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</si>
  <si>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</si>
  <si>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</si>
  <si>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</si>
  <si>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</si>
  <si>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</si>
  <si>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</si>
  <si>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</si>
  <si>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</si>
  <si>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</si>
  <si>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</si>
  <si>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</si>
  <si>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</si>
  <si>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</si>
  <si>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</si>
  <si>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</si>
  <si>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</si>
  <si>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</si>
  <si>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</si>
  <si>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</si>
  <si>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</si>
  <si>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</si>
  <si>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</si>
  <si>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</si>
  <si>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</si>
  <si>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</si>
  <si>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</si>
  <si>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</si>
  <si>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</si>
  <si>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</si>
  <si>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</si>
  <si>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</si>
  <si>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</si>
  <si>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</si>
  <si>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</si>
  <si>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</si>
  <si>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</si>
  <si>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</si>
  <si>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</si>
  <si>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</si>
  <si>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</si>
  <si>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</si>
  <si>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</si>
  <si>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</si>
  <si>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</si>
  <si>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</si>
  <si>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</si>
  <si>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</si>
  <si>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</si>
  <si>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</si>
  <si>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</si>
  <si>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</si>
  <si>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</si>
  <si>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</si>
  <si>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</si>
  <si>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</si>
  <si>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</si>
  <si>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</si>
  <si>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</si>
  <si>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</si>
  <si>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</si>
  <si>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</si>
  <si>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</si>
  <si>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</si>
  <si>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</si>
  <si>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</si>
  <si>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</si>
  <si>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</si>
  <si>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</si>
  <si>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</si>
  <si>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</si>
  <si>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</si>
  <si>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</si>
  <si>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</si>
  <si>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</si>
  <si>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</si>
  <si>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</si>
  <si>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</si>
  <si>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</si>
  <si>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</si>
  <si>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</si>
  <si>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</si>
  <si>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</si>
  <si>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</si>
  <si>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</si>
  <si>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</si>
  <si>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</si>
  <si>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</si>
  <si>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</si>
  <si>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</si>
  <si>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</si>
  <si>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</si>
  <si>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</si>
  <si>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</si>
  <si>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</si>
  <si>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</si>
  <si>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</si>
  <si>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</si>
  <si>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</si>
  <si>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</si>
  <si>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</si>
  <si>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</si>
  <si>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</si>
  <si>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</si>
  <si>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</si>
  <si>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</si>
  <si>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</si>
  <si>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</si>
  <si>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</si>
  <si>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</si>
  <si>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</si>
  <si>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</si>
  <si>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</si>
  <si>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</si>
  <si>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</si>
  <si>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</si>
  <si>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</si>
  <si>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</si>
  <si>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</si>
  <si>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</si>
  <si>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</si>
  <si>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</si>
  <si>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</si>
  <si>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</si>
  <si>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</si>
  <si>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</si>
  <si>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</si>
  <si>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</si>
  <si>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</si>
  <si>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</si>
  <si>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</si>
  <si>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</si>
  <si>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</si>
  <si>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</si>
  <si>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</si>
  <si>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</si>
  <si>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</si>
  <si>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</si>
  <si>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</si>
  <si>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</si>
  <si>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</si>
  <si>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</si>
  <si>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</si>
  <si>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</si>
  <si>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</si>
  <si>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</si>
  <si>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</si>
  <si>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</si>
  <si>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</si>
  <si>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</si>
  <si>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</si>
  <si>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</si>
  <si>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</si>
  <si>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</si>
  <si>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</si>
  <si>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</si>
  <si>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</si>
  <si>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</si>
  <si>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</si>
  <si>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</si>
  <si>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</si>
  <si>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</si>
  <si>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</si>
  <si>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</si>
  <si>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</si>
  <si>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</si>
  <si>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</si>
  <si>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</si>
  <si>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</si>
  <si>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</si>
  <si>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</si>
  <si>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</si>
  <si>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</si>
  <si>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</si>
  <si>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</si>
  <si>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</si>
  <si>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</si>
  <si>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</si>
  <si>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</si>
  <si>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</si>
  <si>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</si>
  <si>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</si>
  <si>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</si>
  <si>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</si>
  <si>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</si>
  <si>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</si>
  <si>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</si>
  <si>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</si>
  <si>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</si>
  <si>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</si>
  <si>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</si>
  <si>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</si>
  <si>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</si>
  <si>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</si>
  <si>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</si>
  <si>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</si>
  <si>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</si>
  <si>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</si>
  <si>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</si>
  <si>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</si>
  <si>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</si>
  <si>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</si>
  <si>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</si>
  <si>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</si>
  <si>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</si>
  <si>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</si>
  <si>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</si>
  <si>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</si>
  <si>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</si>
  <si>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</si>
  <si>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</si>
  <si>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</si>
  <si>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</si>
  <si>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</si>
  <si>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</si>
  <si>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</si>
  <si>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</si>
  <si>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</si>
  <si>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</si>
  <si>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</si>
  <si>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</si>
  <si>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</si>
  <si>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</si>
  <si>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</si>
  <si>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</si>
  <si>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</si>
  <si>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</si>
  <si>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</si>
  <si>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</si>
  <si>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</si>
  <si>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</si>
  <si>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</si>
  <si>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</si>
  <si>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</si>
  <si>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</si>
  <si>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</si>
  <si>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</si>
  <si>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</si>
  <si>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</si>
  <si>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</si>
  <si>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</si>
  <si>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</si>
  <si>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</si>
  <si>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</si>
  <si>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</si>
  <si>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</si>
  <si>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</si>
  <si>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</si>
  <si>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</si>
  <si>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</si>
  <si>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</si>
  <si>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</si>
  <si>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</si>
  <si>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</si>
  <si>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</si>
  <si>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</si>
  <si>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</si>
  <si>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</si>
  <si>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</si>
  <si>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</si>
  <si>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</si>
  <si>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</si>
  <si>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</si>
  <si>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</si>
  <si>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</si>
  <si>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</si>
  <si>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</si>
  <si>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</si>
  <si>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</si>
  <si>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</si>
  <si>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</si>
  <si>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</si>
  <si>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</si>
  <si>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</si>
  <si>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</si>
  <si>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</si>
  <si>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</si>
  <si>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</si>
  <si>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</si>
  <si>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</si>
  <si>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</si>
  <si>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</si>
  <si>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</si>
  <si>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</si>
  <si>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</si>
  <si>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</si>
  <si>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</si>
  <si>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</si>
  <si>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</si>
  <si>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</si>
  <si>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</si>
  <si>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</si>
  <si>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</si>
  <si>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</si>
  <si>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</si>
  <si>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</si>
  <si>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</si>
  <si>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</si>
  <si>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</si>
  <si>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</si>
  <si>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</si>
  <si>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</si>
  <si>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</si>
  <si>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</si>
  <si>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</si>
  <si>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</si>
  <si>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</si>
  <si>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</si>
  <si>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</si>
  <si>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</si>
  <si>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</si>
  <si>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</si>
  <si>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</si>
  <si>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</si>
  <si>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</si>
  <si>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</si>
  <si>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</si>
  <si>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</si>
  <si>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</si>
  <si>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</si>
  <si>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</si>
  <si>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</si>
  <si>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</si>
  <si>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</si>
  <si>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</si>
  <si>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</si>
  <si>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</si>
  <si>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</si>
  <si>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</si>
  <si>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</si>
  <si>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</si>
  <si>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</si>
  <si>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</si>
  <si>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</si>
  <si>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</si>
  <si>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</si>
  <si>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</si>
  <si>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</si>
  <si>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</si>
  <si>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</si>
  <si>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</si>
  <si>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</si>
  <si>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</si>
  <si>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</si>
  <si>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</si>
  <si>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</si>
  <si>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</si>
  <si>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</si>
  <si>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</si>
  <si>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</si>
  <si>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</si>
  <si>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</si>
  <si>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</si>
  <si>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</si>
  <si>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</si>
  <si>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</si>
  <si>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</si>
  <si>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</si>
  <si>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</si>
  <si>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</si>
  <si>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</si>
  <si>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</si>
  <si>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</si>
  <si>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</si>
  <si>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</si>
  <si>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</si>
  <si>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</si>
  <si>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</si>
  <si>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</si>
  <si>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</si>
  <si>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</si>
  <si>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</si>
  <si>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</si>
  <si>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</si>
  <si>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</si>
  <si>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</si>
  <si>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</si>
  <si>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</si>
  <si>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</si>
  <si>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</si>
  <si>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</si>
  <si>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</si>
  <si>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</si>
  <si>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</si>
  <si>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</si>
  <si>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</si>
  <si>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</si>
  <si>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</si>
  <si>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</si>
  <si>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</si>
  <si>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</si>
  <si>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</si>
  <si>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</si>
  <si>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</si>
  <si>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</si>
  <si>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</si>
  <si>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</si>
  <si>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</si>
  <si>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</si>
  <si>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</si>
  <si>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</si>
  <si>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</si>
  <si>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</si>
  <si>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</si>
  <si>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</si>
  <si>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</si>
  <si>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</si>
  <si>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</si>
  <si>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</si>
  <si>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</si>
  <si>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</si>
  <si>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</si>
  <si>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</si>
  <si>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</si>
  <si>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</si>
  <si>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</si>
  <si>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</si>
  <si>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</si>
  <si>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</si>
  <si>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</si>
  <si>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</si>
  <si>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</si>
  <si>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</si>
  <si>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</si>
  <si>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</si>
  <si>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</si>
  <si>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</si>
  <si>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</si>
  <si>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</si>
  <si>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</si>
  <si>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</si>
  <si>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</si>
  <si>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</si>
  <si>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</si>
  <si>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</si>
  <si>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</si>
  <si>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</si>
  <si>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</si>
  <si>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</si>
  <si>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</si>
  <si>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</si>
  <si>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</si>
  <si>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</si>
  <si>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</si>
  <si>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</si>
  <si>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</si>
  <si>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</si>
  <si>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</si>
  <si>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</si>
  <si>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</si>
  <si>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</si>
  <si>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</si>
  <si>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</si>
  <si>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</si>
  <si>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</si>
  <si>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</si>
  <si>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</si>
  <si>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</si>
  <si>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</si>
  <si>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</si>
  <si>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</si>
  <si>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</si>
  <si>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</si>
  <si>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</si>
  <si>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</si>
  <si>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</si>
  <si>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</si>
  <si>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</si>
  <si>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</si>
  <si>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</si>
  <si>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</si>
  <si>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</si>
  <si>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</si>
  <si>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</si>
  <si>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</si>
  <si>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</si>
  <si>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</si>
  <si>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</si>
  <si>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</si>
  <si>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</si>
  <si>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</si>
  <si>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</si>
  <si>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</si>
  <si>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</si>
  <si>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</si>
  <si>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</si>
  <si>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</si>
  <si>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</si>
  <si>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</si>
  <si>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</si>
  <si>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</si>
  <si>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</si>
  <si>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</si>
  <si>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</si>
  <si>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</si>
  <si>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</si>
  <si>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</si>
  <si>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</si>
  <si>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</si>
  <si>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</si>
  <si>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</si>
  <si>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</si>
  <si>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</si>
  <si>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</si>
  <si>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</si>
  <si>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</si>
  <si>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</si>
  <si>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</si>
  <si>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</si>
  <si>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</si>
  <si>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</si>
  <si>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</si>
  <si>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</si>
  <si>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</si>
  <si>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</si>
  <si>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</si>
  <si>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</si>
  <si>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</si>
  <si>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</si>
  <si>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</si>
  <si>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</si>
  <si>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</si>
  <si>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</si>
  <si>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</si>
  <si>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</si>
  <si>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</si>
  <si>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</si>
  <si>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</si>
  <si>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</si>
  <si>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</si>
  <si>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</si>
  <si>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</si>
  <si>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</si>
  <si>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</si>
  <si>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</si>
  <si>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</si>
  <si>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</si>
  <si>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</si>
  <si>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</si>
  <si>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</si>
  <si>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</si>
  <si>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</si>
  <si>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</si>
  <si>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</si>
  <si>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</si>
  <si>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</si>
  <si>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</si>
  <si>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</si>
  <si>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</si>
  <si>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</si>
  <si>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</si>
  <si>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</si>
  <si>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</si>
  <si>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</si>
  <si>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</si>
  <si>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</si>
  <si>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</si>
  <si>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</si>
  <si>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</si>
  <si>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</si>
  <si>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</si>
  <si>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</si>
  <si>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</si>
  <si>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</si>
  <si>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</si>
  <si>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</si>
  <si>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</si>
  <si>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</si>
  <si>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</si>
  <si>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</si>
  <si>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</si>
  <si>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</si>
  <si>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</si>
  <si>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</si>
  <si>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</si>
  <si>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</si>
  <si>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</si>
  <si>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</si>
  <si>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</si>
  <si>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</si>
  <si>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</si>
  <si>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</si>
  <si>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</si>
  <si>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</si>
  <si>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</si>
  <si>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</si>
  <si>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</si>
  <si>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</si>
  <si>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</si>
  <si>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</si>
  <si>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</si>
  <si>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</si>
  <si>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</si>
  <si>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</si>
  <si>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</si>
  <si>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</si>
  <si>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</si>
  <si>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</si>
  <si>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</si>
  <si>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</si>
  <si>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</si>
  <si>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</si>
  <si>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</si>
  <si>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</si>
  <si>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</si>
  <si>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</si>
  <si>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</si>
  <si>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</si>
  <si>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</si>
  <si>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</si>
  <si>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</si>
  <si>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</si>
  <si>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</si>
  <si>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</si>
  <si>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</si>
  <si>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</si>
  <si>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</si>
  <si>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</si>
  <si>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</si>
  <si>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</si>
  <si>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</si>
  <si>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</si>
  <si>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</si>
  <si>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</si>
  <si>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</si>
  <si>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</si>
  <si>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</si>
  <si>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</si>
  <si>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</si>
  <si>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</si>
  <si>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</si>
  <si>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</si>
  <si>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</si>
  <si>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</si>
  <si>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</si>
  <si>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</si>
  <si>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</si>
  <si>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</si>
  <si>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</si>
  <si>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</si>
  <si>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</si>
  <si>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</si>
  <si>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</si>
  <si>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</si>
  <si>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</si>
  <si>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</si>
  <si>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</si>
  <si>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</si>
  <si>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</si>
  <si>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</si>
  <si>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</si>
  <si>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</si>
  <si>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</si>
  <si>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</si>
  <si>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</si>
  <si>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</si>
  <si>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</si>
  <si>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</si>
  <si>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</si>
  <si>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</si>
  <si>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</si>
  <si>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</si>
  <si>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</si>
  <si>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</si>
  <si>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</si>
  <si>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</si>
  <si>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</si>
  <si>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</si>
  <si>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</si>
  <si>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</si>
  <si>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</si>
  <si>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</si>
  <si>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</si>
  <si>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</si>
  <si>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</si>
  <si>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</si>
  <si>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</si>
  <si>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</si>
  <si>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</si>
  <si>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</si>
  <si>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</si>
  <si>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</si>
  <si>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</si>
  <si>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</si>
  <si>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</si>
  <si>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</si>
  <si>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</si>
  <si>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</si>
  <si>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</si>
  <si>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</si>
  <si>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</si>
  <si>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</si>
  <si>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</si>
  <si>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</si>
  <si>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</si>
  <si>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</si>
  <si>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</si>
  <si>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</si>
  <si>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</si>
  <si>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</si>
  <si>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</si>
  <si>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</si>
  <si>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</si>
  <si>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</si>
  <si>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</si>
  <si>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</si>
  <si>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</si>
  <si>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</si>
  <si>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</si>
  <si>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</si>
  <si>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</si>
  <si>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</si>
  <si>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</si>
  <si>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</si>
  <si>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</si>
  <si>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</si>
  <si>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</si>
  <si>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</si>
  <si>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</si>
  <si>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</si>
  <si>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</si>
  <si>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</si>
  <si>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</si>
  <si>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</si>
  <si>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</si>
  <si>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</si>
  <si>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</si>
  <si>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</si>
  <si>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</si>
  <si>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</si>
  <si>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</si>
  <si>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</si>
  <si>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</si>
  <si>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</si>
  <si>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</si>
  <si>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</si>
  <si>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</si>
  <si>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</si>
  <si>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</si>
  <si>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</si>
  <si>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</si>
  <si>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</si>
  <si>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</si>
  <si>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</si>
  <si>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</si>
  <si>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</si>
  <si>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</si>
  <si>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</si>
  <si>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</si>
  <si>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</si>
  <si>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</si>
  <si>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</si>
  <si>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</si>
  <si>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</si>
  <si>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</si>
  <si>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</si>
  <si>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</si>
  <si>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</si>
  <si>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</si>
  <si>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</si>
  <si>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</si>
  <si>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</si>
  <si>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</si>
  <si>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</si>
  <si>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</si>
  <si>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</si>
  <si>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</si>
  <si>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</si>
  <si>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</si>
  <si>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</si>
  <si>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</si>
  <si>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</si>
  <si>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</si>
  <si>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</si>
  <si>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</si>
  <si>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</si>
  <si>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</si>
  <si>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</si>
  <si>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</si>
  <si>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</si>
  <si>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</si>
  <si>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</si>
  <si>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</si>
  <si>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</si>
  <si>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</si>
  <si>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</si>
  <si>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</si>
  <si>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</si>
  <si>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</si>
  <si>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</si>
  <si>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</si>
  <si>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</si>
  <si>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</si>
  <si>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</si>
  <si>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</si>
  <si>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</si>
  <si>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</si>
  <si>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</si>
  <si>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</si>
  <si>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</si>
  <si>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</si>
  <si>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</si>
  <si>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</si>
  <si>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</si>
  <si>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</si>
  <si>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</si>
  <si>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</si>
  <si>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</si>
  <si>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</si>
  <si>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</si>
  <si>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</si>
  <si>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</si>
  <si>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</si>
  <si>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</si>
  <si>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</si>
  <si>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</si>
  <si>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</si>
  <si>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</si>
  <si>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</si>
  <si>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</si>
  <si>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</si>
  <si>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</si>
  <si>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</si>
  <si>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</si>
  <si>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</si>
  <si>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</si>
  <si>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</si>
  <si>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</si>
  <si>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</si>
  <si>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</si>
  <si>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</si>
  <si>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</si>
  <si>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</si>
  <si>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</si>
  <si>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</si>
  <si>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</si>
  <si>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</si>
  <si>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</si>
  <si>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</si>
  <si>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</si>
  <si>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</si>
  <si>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</si>
  <si>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</si>
  <si>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</si>
  <si>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</si>
  <si>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</si>
  <si>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</si>
  <si>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</si>
  <si>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</si>
  <si>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</si>
  <si>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</si>
  <si>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</si>
  <si>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</si>
  <si>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</si>
  <si>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</si>
  <si>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</si>
  <si>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</si>
  <si>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</si>
  <si>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</si>
  <si>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</si>
  <si>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</si>
  <si>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</si>
  <si>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</si>
  <si>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</si>
  <si>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</si>
  <si>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</si>
  <si>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</si>
  <si>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</si>
  <si>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</si>
  <si>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</si>
  <si>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</si>
  <si>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</si>
  <si>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</si>
  <si>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</si>
  <si>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</si>
  <si>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</si>
  <si>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</si>
  <si>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</si>
  <si>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</si>
  <si>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</si>
  <si>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</si>
  <si>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</si>
  <si>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</si>
  <si>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</si>
  <si>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</si>
  <si>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</si>
  <si>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</si>
  <si>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</si>
  <si>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</si>
  <si>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</si>
  <si>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</si>
  <si>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</si>
  <si>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</si>
  <si>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</si>
  <si>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</si>
  <si>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</si>
  <si>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</si>
  <si>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</si>
  <si>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</si>
  <si>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</si>
  <si>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</si>
  <si>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</si>
  <si>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</si>
  <si>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</si>
  <si>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</si>
  <si>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</si>
  <si>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</si>
  <si>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</si>
  <si>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</si>
  <si>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</si>
  <si>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</si>
  <si>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</si>
  <si>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</si>
  <si>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</si>
  <si>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</si>
  <si>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</si>
  <si>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</si>
  <si>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</si>
  <si>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</si>
  <si>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</si>
  <si>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</si>
  <si>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</si>
  <si>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</si>
  <si>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</si>
  <si>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</si>
  <si>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</si>
  <si>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</si>
  <si>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</si>
  <si>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</si>
  <si>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</si>
  <si>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</si>
  <si>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</si>
  <si>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</si>
  <si>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</si>
  <si>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</si>
  <si>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</si>
  <si>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</si>
  <si>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</si>
  <si>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</si>
  <si>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</si>
  <si>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</si>
  <si>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</si>
  <si>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</si>
  <si>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</si>
  <si>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</si>
  <si>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</si>
  <si>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</si>
  <si>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</si>
  <si>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</si>
  <si>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</si>
  <si>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</si>
  <si>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</si>
  <si>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</si>
  <si>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</si>
  <si>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</si>
  <si>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</si>
  <si>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</si>
  <si>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</si>
  <si>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</si>
  <si>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</si>
  <si>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</si>
  <si>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</si>
  <si>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</si>
  <si>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</si>
  <si>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</si>
  <si>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</si>
  <si>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</si>
  <si>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</si>
  <si>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</si>
  <si>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</si>
  <si>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</si>
  <si>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</si>
  <si>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</si>
  <si>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</si>
  <si>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</si>
  <si>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</si>
  <si>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</si>
  <si>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</si>
  <si>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</si>
  <si>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</si>
  <si>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</si>
  <si>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</si>
  <si>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</si>
  <si>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</si>
  <si>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</si>
  <si>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</si>
  <si>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</si>
  <si>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</si>
  <si>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</si>
  <si>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</si>
  <si>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</si>
  <si>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</si>
  <si>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</si>
  <si>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</si>
  <si>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</si>
  <si>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</si>
  <si>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</si>
  <si>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</si>
  <si>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</si>
  <si>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</si>
  <si>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</si>
  <si>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</si>
  <si>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</si>
  <si>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</si>
  <si>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</si>
  <si>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</si>
  <si>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</si>
  <si>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</si>
  <si>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</si>
  <si>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</si>
  <si>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</si>
  <si>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</si>
  <si>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</si>
  <si>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</si>
  <si>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</si>
  <si>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</si>
  <si>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</si>
  <si>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</si>
  <si>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</si>
  <si>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</si>
  <si>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</si>
  <si>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</si>
  <si>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</si>
  <si>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</si>
  <si>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</si>
  <si>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</si>
  <si>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</si>
  <si>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</si>
  <si>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</si>
  <si>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</si>
  <si>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</si>
  <si>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</si>
  <si>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</si>
  <si>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</si>
  <si>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</si>
  <si>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</si>
  <si>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</si>
  <si>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</si>
  <si>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</si>
  <si>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</si>
  <si>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</si>
  <si>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</si>
  <si>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</si>
  <si>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</si>
  <si>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</si>
  <si>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</si>
  <si>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</si>
  <si>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</si>
  <si>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</si>
  <si>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</si>
  <si>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</si>
  <si>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</si>
  <si>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</si>
  <si>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</si>
  <si>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</si>
  <si>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</si>
  <si>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</si>
  <si>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</si>
  <si>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</si>
  <si>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</si>
  <si>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</si>
  <si>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</si>
  <si>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</si>
  <si>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</si>
  <si>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</si>
  <si>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</si>
  <si>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</si>
  <si>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</si>
  <si>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</si>
  <si>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</si>
  <si>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</si>
  <si>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</si>
  <si>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</si>
  <si>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</si>
  <si>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</si>
  <si>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</si>
  <si>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</si>
  <si>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</si>
  <si>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</si>
  <si>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</si>
  <si>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</si>
  <si>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</si>
  <si>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</si>
  <si>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</si>
  <si>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</si>
  <si>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</si>
  <si>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</si>
  <si>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</si>
  <si>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</si>
  <si>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</si>
  <si>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</si>
  <si>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</si>
  <si>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</si>
  <si>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</si>
  <si>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</si>
  <si>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</si>
  <si>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</si>
  <si>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</si>
  <si>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</si>
  <si>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</si>
  <si>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</si>
  <si>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</si>
  <si>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</si>
  <si>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</si>
  <si>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</si>
  <si>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</si>
  <si>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</si>
  <si>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</si>
  <si>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</si>
  <si>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</si>
  <si>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</si>
  <si>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</si>
  <si>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</si>
  <si>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</si>
  <si>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</si>
  <si>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</si>
  <si>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</si>
  <si>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</si>
  <si>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</si>
  <si>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</si>
  <si>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</si>
  <si>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</si>
  <si>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</si>
  <si>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</si>
  <si>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</si>
  <si>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</si>
  <si>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</si>
  <si>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</si>
  <si>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</si>
  <si>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</si>
  <si>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</si>
  <si>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</si>
  <si>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</si>
  <si>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</si>
  <si>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</si>
  <si>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</si>
  <si>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</si>
  <si>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</si>
  <si>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</si>
  <si>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</si>
  <si>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</si>
  <si>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</si>
  <si>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</si>
  <si>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</si>
  <si>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</si>
  <si>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</si>
  <si>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</si>
  <si>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</si>
  <si>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</si>
  <si>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</si>
  <si>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</si>
  <si>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</si>
  <si>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</si>
  <si>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</si>
  <si>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</si>
  <si>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</si>
  <si>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</si>
  <si>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</si>
  <si>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</si>
  <si>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</si>
  <si>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</si>
  <si>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</si>
  <si>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</si>
  <si>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</si>
  <si>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</si>
  <si>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</si>
  <si>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</si>
  <si>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</si>
  <si>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</si>
  <si>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</si>
  <si>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</si>
  <si>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</si>
  <si>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</si>
  <si>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</si>
  <si>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</si>
  <si>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</si>
  <si>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</si>
  <si>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</si>
  <si>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</si>
  <si>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</si>
  <si>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</si>
  <si>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</si>
  <si>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</si>
  <si>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</si>
  <si>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</si>
  <si>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</si>
  <si>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</si>
  <si>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</si>
  <si>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</si>
  <si>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</si>
  <si>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</si>
  <si>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</si>
  <si>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</si>
  <si>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</si>
  <si>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</si>
  <si>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</si>
  <si>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</si>
  <si>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</si>
  <si>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</si>
  <si>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</si>
  <si>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</si>
  <si>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</si>
  <si>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</si>
  <si>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</si>
  <si>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</si>
  <si>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</si>
  <si>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</si>
  <si>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</si>
  <si>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</si>
  <si>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</si>
  <si>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</si>
  <si>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</si>
  <si>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</si>
  <si>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</si>
  <si>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</si>
  <si>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</si>
  <si>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</si>
  <si>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</si>
  <si>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</si>
  <si>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</si>
  <si>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</si>
  <si>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</si>
  <si>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</si>
  <si>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</si>
  <si>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</si>
  <si>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</si>
  <si>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</si>
  <si>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</si>
  <si>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</si>
  <si>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</si>
  <si>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</si>
  <si>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</si>
  <si>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</si>
  <si>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</si>
  <si>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</si>
  <si>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</si>
  <si>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</si>
  <si>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</si>
  <si>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</si>
  <si>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</si>
  <si>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</si>
  <si>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</si>
  <si>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</si>
  <si>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</si>
  <si>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</si>
  <si>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</si>
  <si>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</si>
  <si>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</si>
  <si>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</si>
  <si>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</si>
  <si>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</si>
  <si>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</si>
  <si>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</si>
  <si>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</si>
  <si>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</si>
  <si>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</si>
  <si>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</si>
  <si>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</si>
  <si>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</si>
  <si>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</si>
  <si>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</si>
  <si>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</si>
  <si>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</si>
  <si>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</si>
  <si>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</si>
  <si>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</si>
  <si>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</si>
  <si>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</si>
  <si>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</si>
  <si>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</si>
  <si>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</si>
  <si>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</si>
  <si>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</si>
  <si>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</si>
  <si>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</si>
  <si>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</si>
  <si>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</si>
  <si>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</si>
  <si>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</si>
  <si>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</si>
  <si>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</si>
  <si>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</si>
  <si>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</si>
  <si>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</si>
  <si>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</si>
  <si>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</si>
  <si>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</si>
  <si>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</si>
  <si>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t>企业</t>
  </si>
  <si>
    <t>1层</t>
    <phoneticPr fontId="134" type="noConversion"/>
  </si>
  <si>
    <t>4层</t>
    <phoneticPr fontId="134" type="noConversion"/>
  </si>
  <si>
    <t>是</t>
  </si>
  <si>
    <t>地上</t>
  </si>
  <si>
    <t>办公</t>
    <phoneticPr fontId="7" type="noConversion"/>
  </si>
  <si>
    <t>商业</t>
    <phoneticPr fontId="7" type="noConversion"/>
  </si>
  <si>
    <t>成新度</t>
  </si>
  <si>
    <t>押一</t>
  </si>
  <si>
    <t>钢混</t>
  </si>
  <si>
    <t>非生产用房</t>
  </si>
  <si>
    <t>否</t>
  </si>
  <si>
    <t>收益法-商业</t>
  </si>
  <si>
    <t>收益法-商业</t>
    <phoneticPr fontId="16" type="noConversion"/>
  </si>
  <si>
    <t>成本法</t>
  </si>
  <si>
    <t>收益法</t>
  </si>
  <si>
    <t>利息：取LPR加浮动点数</t>
  </si>
  <si>
    <t>商务金融用地</t>
  </si>
  <si>
    <t>估价对象容积率</t>
  </si>
  <si>
    <t>与级别开发程度不一致</t>
  </si>
  <si>
    <t>通路</t>
  </si>
  <si>
    <t>通电</t>
  </si>
  <si>
    <t>通讯</t>
  </si>
  <si>
    <t>通上水</t>
  </si>
  <si>
    <t>通下水</t>
  </si>
  <si>
    <t>平整</t>
  </si>
  <si>
    <t>中心城区以外</t>
  </si>
  <si>
    <t>不临65条商业街</t>
  </si>
  <si>
    <t>一般</t>
  </si>
  <si>
    <t>较好</t>
  </si>
  <si>
    <t>好</t>
  </si>
  <si>
    <t>楼层修正</t>
  </si>
  <si>
    <t>未包含在土地购买价格中</t>
  </si>
  <si>
    <t>全部缴纳</t>
  </si>
  <si>
    <t>已包含在土地取得成本中</t>
  </si>
  <si>
    <t>成本法-商业</t>
  </si>
  <si>
    <t>成本法-商业</t>
    <phoneticPr fontId="16" type="noConversion"/>
  </si>
  <si>
    <t>总价</t>
  </si>
  <si>
    <t>总价</t>
    <phoneticPr fontId="134" type="noConversion"/>
  </si>
  <si>
    <t>单价</t>
    <phoneticPr fontId="134" type="noConversion"/>
  </si>
  <si>
    <t>6层</t>
    <phoneticPr fontId="134" type="noConversion"/>
  </si>
  <si>
    <t>成本比率</t>
  </si>
  <si>
    <t>自定义容积率</t>
  </si>
  <si>
    <t>面积</t>
    <phoneticPr fontId="134" type="noConversion"/>
  </si>
  <si>
    <t>一审单价</t>
    <phoneticPr fontId="134" type="noConversion"/>
  </si>
  <si>
    <t>二审单价</t>
    <phoneticPr fontId="134" type="noConversion"/>
  </si>
  <si>
    <t>一审总价</t>
    <phoneticPr fontId="134" type="noConversion"/>
  </si>
  <si>
    <t>二审总价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</si>
</sst>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估价对象为北京市房地产，为所有。根据《国有土地使用证》[]，估价对象（分摊）出让国有建设用地使用权面积为0平方米，建筑面积为5033.37平方米。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估价对象为北京市房地产,属开发建设的，该项目尚在开发建设中。根据《国有土地使用证》[]，估价对象（分摊）出让国有建设用地使用权面积为0平方米，规划建筑面积为5033.37平方米。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2023年2月2日</v>
      </c>
    </row>
    <row r="13" spans="1:2" s="1203" customFormat="1">
      <c r="A13" s="1201" t="s">
        <v>529</v>
      </c>
      <c r="B13" s="1202" t="str">
        <f>'预评函-1'!A18</f>
        <v>本次估价的“房地产价值”是指在正常市场情况下，在价值时点2023年2月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5176</v>
      </c>
    </row>
    <row r="21" spans="1:2" s="1203" customFormat="1">
      <c r="A21" s="1201" t="s">
        <v>537</v>
      </c>
      <c r="B21" s="1202">
        <f ca="1">'预评函-2'!D7</f>
        <v>17151</v>
      </c>
    </row>
    <row r="22" spans="1:2" s="1203" customFormat="1">
      <c r="A22" s="1201" t="s">
        <v>538</v>
      </c>
      <c r="B22" s="1202" t="str">
        <f ca="1">'预评函-2'!D6</f>
        <v>伍仟壹佰柒拾陆万元整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5176</v>
      </c>
    </row>
    <row r="31" spans="1:2" s="1203" customFormat="1">
      <c r="A31" s="1201" t="s">
        <v>576</v>
      </c>
      <c r="B31" s="1202">
        <f ca="1">'预评函-2'!D15</f>
        <v>17151</v>
      </c>
    </row>
    <row r="32" spans="1:2" s="1203" customFormat="1">
      <c r="A32" s="1201" t="s">
        <v>543</v>
      </c>
      <c r="B32" s="1202" t="str">
        <f ca="1">'预评函-2'!D14</f>
        <v>伍仟壹佰柒拾陆万元整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5033.37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3628</v>
      </c>
    </row>
    <row r="48" spans="1:2" s="1203" customFormat="1">
      <c r="A48" s="1201" t="s">
        <v>549</v>
      </c>
      <c r="B48" s="1202">
        <f ca="1">'预评函-3'!E4</f>
        <v>12022</v>
      </c>
    </row>
    <row r="49" spans="1:2" s="1203" customFormat="1">
      <c r="A49" s="1201" t="s">
        <v>550</v>
      </c>
      <c r="B49" s="1202" t="str">
        <f ca="1">'预评函-3'!D5</f>
        <v>叁仟陆佰贰拾捌万元整</v>
      </c>
    </row>
    <row r="50" spans="1:2" s="1203" customFormat="1">
      <c r="A50" s="1201" t="s">
        <v>574</v>
      </c>
      <c r="B50" s="1202" t="str">
        <f>'预评函-3'!F2</f>
        <v>在建建筑物价值</v>
      </c>
    </row>
    <row r="51" spans="1:2" s="1203" customFormat="1">
      <c r="A51" s="1201" t="s">
        <v>551</v>
      </c>
      <c r="B51" s="1202">
        <f ca="1">'预评函-3'!F4</f>
        <v>1548</v>
      </c>
    </row>
    <row r="52" spans="1:2" s="1203" customFormat="1">
      <c r="A52" s="1201" t="s">
        <v>552</v>
      </c>
      <c r="B52" s="1202">
        <f ca="1">'预评函-3'!G4</f>
        <v>5129</v>
      </c>
    </row>
    <row r="53" spans="1:2" s="1203" customFormat="1">
      <c r="A53" s="1201" t="s">
        <v>580</v>
      </c>
      <c r="B53" s="1202" t="str">
        <f ca="1">'预评函-3'!F5</f>
        <v>壹仟伍佰肆拾捌万元整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3" t="str">
        <f>项目基本情况!B1</f>
        <v>北京市房地产抵押价值预评估</v>
      </c>
      <c r="C37" s="3483"/>
      <c r="D37" s="3483"/>
      <c r="E37" s="3483"/>
      <c r="F37" s="3483"/>
      <c r="G37" s="3483"/>
      <c r="H37" s="3483"/>
      <c r="I37" s="348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估价对象为北京市房地产，为所有。根据《国有土地使用证》[]，估价对象（分摊）出让国有建设用地使用权面积为0平方米，建筑面积为5033.37平方米。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估价对象为北京市房地产,属开发建设的，该项目尚在开发建设中。根据《国有土地使用证》[]，估价对象（分摊）出让国有建设用地使用权面积为0平方米，规划建筑面积为5033.37平方米。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2023年2月2日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8"/>
      <c r="C2" s="3488"/>
      <c r="D2" s="3488"/>
      <c r="E2" s="3488"/>
    </row>
    <row r="3" spans="1:5" ht="18">
      <c r="A3" s="3489" t="str">
        <f>IF(项目基本情况!B9="房地产市场价值","估价结果一览表（市场价值不需“结果表-1”）","估价结果一览表")</f>
        <v>估价结果一览表</v>
      </c>
      <c r="B3" s="3489"/>
      <c r="C3" s="3489"/>
      <c r="D3" s="3489"/>
      <c r="E3" s="3489"/>
    </row>
    <row r="4" spans="1:5" ht="19.5" thickBot="1">
      <c r="A4" s="1493"/>
      <c r="B4" s="3487" t="s">
        <v>917</v>
      </c>
      <c r="C4" s="3487"/>
      <c r="D4" s="3487"/>
      <c r="E4" s="1493"/>
    </row>
    <row r="5" spans="1:5" ht="16.5" thickTop="1">
      <c r="A5" s="1491"/>
      <c r="B5" s="3485" t="s">
        <v>909</v>
      </c>
      <c r="C5" s="1494" t="s">
        <v>910</v>
      </c>
      <c r="D5" s="850">
        <f ca="1">结果表!H101</f>
        <v>5176</v>
      </c>
      <c r="E5" s="1491"/>
    </row>
    <row r="6" spans="1:5" ht="15.75">
      <c r="A6" s="1491"/>
      <c r="B6" s="3485"/>
      <c r="C6" s="1494" t="s">
        <v>911</v>
      </c>
      <c r="D6" s="850" t="str">
        <f ca="1">NUMBERSTRING(INT(D5*10000),2)&amp;"元整"</f>
        <v>伍仟壹佰柒拾陆万元整</v>
      </c>
      <c r="E6" s="1491"/>
    </row>
    <row r="7" spans="1:5" ht="15.75">
      <c r="A7" s="1491"/>
      <c r="B7" s="3490"/>
      <c r="C7" s="1495" t="s">
        <v>912</v>
      </c>
      <c r="D7" s="851">
        <f ca="1">结果表!H102</f>
        <v>17151</v>
      </c>
      <c r="E7" s="1491"/>
    </row>
    <row r="8" spans="1:5" ht="15.75">
      <c r="A8" s="1491"/>
      <c r="B8" s="3491" t="str">
        <f>结果表!E103</f>
        <v>2.估价师知悉的法定优先受偿款</v>
      </c>
      <c r="C8" s="1496" t="s">
        <v>913</v>
      </c>
      <c r="D8" s="851">
        <f>结果表!H103</f>
        <v>0</v>
      </c>
      <c r="E8" s="1491"/>
    </row>
    <row r="9" spans="1:5" ht="15.75">
      <c r="A9" s="1491"/>
      <c r="B9" s="349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4" t="str">
        <f>结果表!E107</f>
        <v>3.房地产抵押价值</v>
      </c>
      <c r="C13" s="1499" t="s">
        <v>910</v>
      </c>
      <c r="D13" s="853">
        <f ca="1">结果表!H107</f>
        <v>5176</v>
      </c>
      <c r="E13" s="1491"/>
    </row>
    <row r="14" spans="1:5" ht="15.75">
      <c r="A14" s="1491"/>
      <c r="B14" s="3485"/>
      <c r="C14" s="1494" t="s">
        <v>911</v>
      </c>
      <c r="D14" s="850" t="str">
        <f ca="1">NUMBERSTRING(INT(D13*10000),2)&amp;"元整"</f>
        <v>伍仟壹佰柒拾陆万元整</v>
      </c>
      <c r="E14" s="1491"/>
    </row>
    <row r="15" spans="1:5" ht="15">
      <c r="A15" s="1491"/>
      <c r="B15" s="3490"/>
      <c r="C15" s="1495" t="s">
        <v>921</v>
      </c>
      <c r="D15" s="859">
        <f ca="1">结果表!H108</f>
        <v>17151</v>
      </c>
      <c r="E15" s="1491"/>
    </row>
    <row r="16" spans="1:5" ht="15">
      <c r="A16" s="1491"/>
      <c r="B16" s="3491" t="str">
        <f>结果表!E109</f>
        <v>——</v>
      </c>
      <c r="C16" s="1499" t="s">
        <v>922</v>
      </c>
      <c r="D16" s="1500" t="str">
        <f>结果表!H109</f>
        <v>——</v>
      </c>
      <c r="E16" s="1491"/>
    </row>
    <row r="17" spans="1:5" ht="15.75">
      <c r="A17" s="1491"/>
      <c r="B17" s="3492"/>
      <c r="C17" s="1494" t="s">
        <v>923</v>
      </c>
      <c r="D17" s="850" t="e">
        <f>NUMBERSTRING(INT(D16*10000),2)&amp;"元整"</f>
        <v>#VALUE!</v>
      </c>
      <c r="E17" s="1491"/>
    </row>
    <row r="18" spans="1:5" ht="15">
      <c r="A18" s="1491"/>
      <c r="B18" s="3493"/>
      <c r="C18" s="1495" t="s">
        <v>912</v>
      </c>
      <c r="D18" s="859" t="str">
        <f>结果表!H110</f>
        <v>——</v>
      </c>
      <c r="E18" s="1491"/>
    </row>
    <row r="19" spans="1:5" ht="15.75">
      <c r="A19" s="1491"/>
      <c r="B19" s="3484" t="str">
        <f>结果表!E111</f>
        <v>——</v>
      </c>
      <c r="C19" s="1499" t="s">
        <v>910</v>
      </c>
      <c r="D19" s="851" t="str">
        <f>结果表!H111</f>
        <v>——</v>
      </c>
      <c r="E19" s="1491"/>
    </row>
    <row r="20" spans="1:5" ht="15.75">
      <c r="A20" s="1491"/>
      <c r="B20" s="3485"/>
      <c r="C20" s="1494" t="s">
        <v>923</v>
      </c>
      <c r="D20" s="850" t="e">
        <f>NUMBERSTRING(INT(D19*10000),2)&amp;"元整"</f>
        <v>#VALUE!</v>
      </c>
      <c r="E20" s="1491"/>
    </row>
    <row r="21" spans="1:5" ht="15.75" thickBot="1">
      <c r="A21" s="1491"/>
      <c r="B21" s="348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1" t="str">
        <f>IF(项目基本情况!B9="房地产市场价值","估价结果一览表","结果表-2")</f>
        <v>结果表-2</v>
      </c>
      <c r="B1" s="3501"/>
      <c r="C1" s="3501"/>
      <c r="D1" s="3501"/>
      <c r="E1" s="3501"/>
      <c r="F1" s="3501"/>
      <c r="G1" s="3501"/>
      <c r="H1" s="3501"/>
      <c r="I1" s="3501"/>
    </row>
    <row r="2" spans="1:9" ht="30" customHeight="1" thickTop="1">
      <c r="A2" s="3502" t="s">
        <v>928</v>
      </c>
      <c r="B2" s="3502" t="s">
        <v>929</v>
      </c>
      <c r="C2" s="3502" t="s">
        <v>930</v>
      </c>
      <c r="D2" s="3502" t="str">
        <f>结果表!D116</f>
        <v>出让国有建设用地使用权价值</v>
      </c>
      <c r="E2" s="3502"/>
      <c r="F2" s="3502" t="str">
        <f>结果表!F116</f>
        <v>在建建筑物价值</v>
      </c>
      <c r="G2" s="3502"/>
      <c r="H2" s="3502" t="str">
        <f>IF(项目基本情况!B9="房地产市场价值","房地产市场价值","房地产价值")</f>
        <v>房地产价值</v>
      </c>
      <c r="I2" s="3502"/>
    </row>
    <row r="3" spans="1:9" ht="15">
      <c r="A3" s="3497"/>
      <c r="B3" s="3497"/>
      <c r="C3" s="3497"/>
      <c r="D3" s="854" t="s">
        <v>925</v>
      </c>
      <c r="E3" s="854" t="s">
        <v>931</v>
      </c>
      <c r="F3" s="854" t="s">
        <v>925</v>
      </c>
      <c r="G3" s="854" t="s">
        <v>926</v>
      </c>
      <c r="H3" s="854" t="s">
        <v>925</v>
      </c>
      <c r="I3" s="854" t="s">
        <v>926</v>
      </c>
    </row>
    <row r="4" spans="1:9" ht="15">
      <c r="A4" s="1505" t="str">
        <f>项目基本情况!S2</f>
        <v>北京市房地产</v>
      </c>
      <c r="B4" s="854">
        <f>项目基本情况!C17</f>
        <v>5033.37</v>
      </c>
      <c r="C4" s="854">
        <f>项目基本情况!C18</f>
        <v>0</v>
      </c>
      <c r="D4" s="854">
        <f ca="1">结果表!D118</f>
        <v>3628</v>
      </c>
      <c r="E4" s="854">
        <f ca="1">结果表!E118</f>
        <v>12022</v>
      </c>
      <c r="F4" s="854">
        <f ca="1">结果表!F118</f>
        <v>1548</v>
      </c>
      <c r="G4" s="854">
        <f ca="1">结果表!G118</f>
        <v>5129</v>
      </c>
      <c r="H4" s="854">
        <f ca="1">结果表!H118</f>
        <v>5176</v>
      </c>
      <c r="I4" s="854">
        <f ca="1">结果表!I118</f>
        <v>17151</v>
      </c>
    </row>
    <row r="5" spans="1:9" ht="30" customHeight="1">
      <c r="A5" s="3497" t="s">
        <v>927</v>
      </c>
      <c r="B5" s="3497"/>
      <c r="C5" s="3497"/>
      <c r="D5" s="3497" t="str">
        <f ca="1">结果表!D119</f>
        <v>叁仟陆佰贰拾捌万元整</v>
      </c>
      <c r="E5" s="3497"/>
      <c r="F5" s="3497" t="str">
        <f ca="1">结果表!F119</f>
        <v>壹仟伍佰肆拾捌万元整</v>
      </c>
      <c r="G5" s="3497"/>
      <c r="H5" s="3497" t="str">
        <f ca="1">结果表!H119</f>
        <v>伍仟壹佰柒拾陆万元整</v>
      </c>
      <c r="I5" s="3497"/>
    </row>
    <row r="6" spans="1:9" ht="15.75">
      <c r="A6" s="3496" t="str">
        <f>结果表!A120</f>
        <v>估价师知悉的法定优先受偿款</v>
      </c>
      <c r="B6" s="3496"/>
      <c r="C6" s="3496"/>
      <c r="D6" s="3496">
        <f>结果表!D120</f>
        <v>0</v>
      </c>
      <c r="E6" s="3496"/>
      <c r="F6" s="3496"/>
      <c r="G6" s="3496"/>
      <c r="H6" s="3496"/>
      <c r="I6" s="3496"/>
    </row>
    <row r="7" spans="1:9" ht="15">
      <c r="A7" s="3497" t="s">
        <v>927</v>
      </c>
      <c r="B7" s="3497"/>
      <c r="C7" s="3497"/>
      <c r="D7" s="3498" t="str">
        <f>结果表!D121</f>
        <v>零元整</v>
      </c>
      <c r="E7" s="3499"/>
      <c r="F7" s="3499"/>
      <c r="G7" s="3499"/>
      <c r="H7" s="3499"/>
      <c r="I7" s="3500"/>
    </row>
    <row r="8" spans="1:9" ht="15.75">
      <c r="A8" s="3496" t="str">
        <f>结果表!A122</f>
        <v>房地产抵押价值</v>
      </c>
      <c r="B8" s="3496"/>
      <c r="C8" s="3496"/>
      <c r="D8" s="3496">
        <f ca="1">结果表!D122</f>
        <v>5176</v>
      </c>
      <c r="E8" s="3496"/>
      <c r="F8" s="3496"/>
      <c r="G8" s="3496"/>
      <c r="H8" s="3496"/>
      <c r="I8" s="3496"/>
    </row>
    <row r="9" spans="1:9" ht="15">
      <c r="A9" s="3497" t="s">
        <v>927</v>
      </c>
      <c r="B9" s="3497"/>
      <c r="C9" s="3497"/>
      <c r="D9" s="3497" t="str">
        <f ca="1">结果表!D123</f>
        <v>伍仟壹佰柒拾陆万元整</v>
      </c>
      <c r="E9" s="3497"/>
      <c r="F9" s="3497"/>
      <c r="G9" s="3497"/>
      <c r="H9" s="3497"/>
      <c r="I9" s="3497"/>
    </row>
    <row r="10" spans="1:9" ht="15.75">
      <c r="A10" s="3496" t="str">
        <f>结果表!A124</f>
        <v/>
      </c>
      <c r="B10" s="3496"/>
      <c r="C10" s="3496"/>
      <c r="D10" s="3496" t="str">
        <f>结果表!D124</f>
        <v>——</v>
      </c>
      <c r="E10" s="3496"/>
      <c r="F10" s="3496"/>
      <c r="G10" s="3496"/>
      <c r="H10" s="3496"/>
      <c r="I10" s="3496"/>
    </row>
    <row r="11" spans="1:9" ht="15">
      <c r="A11" s="3497" t="s">
        <v>927</v>
      </c>
      <c r="B11" s="3497"/>
      <c r="C11" s="3497"/>
      <c r="D11" s="3497" t="e">
        <f>结果表!D125</f>
        <v>#VALUE!</v>
      </c>
      <c r="E11" s="3497"/>
      <c r="F11" s="3497"/>
      <c r="G11" s="3497"/>
      <c r="H11" s="3497"/>
      <c r="I11" s="3497"/>
    </row>
    <row r="12" spans="1:9" ht="15.75">
      <c r="A12" s="3496" t="str">
        <f>结果表!A126</f>
        <v/>
      </c>
      <c r="B12" s="3496"/>
      <c r="C12" s="3496"/>
      <c r="D12" s="3496" t="str">
        <f>结果表!D126</f>
        <v>——</v>
      </c>
      <c r="E12" s="3496"/>
      <c r="F12" s="3496"/>
      <c r="G12" s="3496"/>
      <c r="H12" s="3496"/>
      <c r="I12" s="3496"/>
    </row>
    <row r="13" spans="1:9" ht="15.75" thickBot="1">
      <c r="A13" s="3494" t="s">
        <v>927</v>
      </c>
      <c r="B13" s="3494"/>
      <c r="C13" s="3494"/>
      <c r="D13" s="3494" t="e">
        <f>结果表!D127</f>
        <v>#VALUE!</v>
      </c>
      <c r="E13" s="3494"/>
      <c r="F13" s="3494"/>
      <c r="G13" s="3494"/>
      <c r="H13" s="3494"/>
      <c r="I13" s="3494"/>
    </row>
    <row r="14" spans="1:9" ht="15" thickTop="1">
      <c r="A14" s="3495" t="s">
        <v>932</v>
      </c>
      <c r="B14" s="3495"/>
      <c r="C14" s="3495"/>
      <c r="D14" s="3495"/>
      <c r="E14" s="3495"/>
      <c r="F14" s="3495"/>
      <c r="G14" s="3495"/>
      <c r="H14" s="3495"/>
      <c r="I14" s="349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9" t="s">
        <v>949</v>
      </c>
      <c r="B1" s="3509"/>
      <c r="C1" s="3509"/>
      <c r="D1" s="3509"/>
    </row>
    <row r="2" spans="1:4" ht="18">
      <c r="A2" s="3510" t="s">
        <v>933</v>
      </c>
      <c r="B2" s="3510"/>
      <c r="C2" s="3510"/>
      <c r="D2" s="351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0" t="s">
        <v>939</v>
      </c>
      <c r="B6" s="3510"/>
      <c r="C6" s="3510"/>
      <c r="D6" s="351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1" t="s">
        <v>942</v>
      </c>
      <c r="B11" s="3503"/>
      <c r="C11" s="3503"/>
      <c r="D11" s="3503"/>
    </row>
    <row r="12" spans="1:4" ht="15.75">
      <c r="A12" s="35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8"/>
      <c r="C12" s="3508"/>
      <c r="D12" s="3508"/>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8"/>
      <c r="C13" s="3508"/>
      <c r="D13" s="3508"/>
    </row>
    <row r="14" spans="1:4" ht="15.75" customHeight="1">
      <c r="A14" s="3503" t="str">
        <f>IF(项目基本情况!B8="抵押","4.本次评估估价师所知悉的法定优先受偿款情况说明如下：","——")</f>
        <v>4.本次评估估价师所知悉的法定优先受偿款情况说明如下：</v>
      </c>
      <c r="B14" s="3508"/>
      <c r="C14" s="3508"/>
      <c r="D14" s="3508"/>
    </row>
    <row r="15" spans="1:4" ht="42" customHeight="1">
      <c r="A15" s="35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3"/>
      <c r="C15" s="3503"/>
      <c r="D15" s="3503"/>
    </row>
    <row r="16" spans="1:4" ht="30" customHeight="1">
      <c r="A16" s="3505" t="s">
        <v>943</v>
      </c>
      <c r="B16" s="3505"/>
      <c r="C16" s="3505"/>
      <c r="D16" s="3505"/>
    </row>
    <row r="17" spans="1:4" ht="144" customHeight="1">
      <c r="A17" s="3505" t="s">
        <v>944</v>
      </c>
      <c r="B17" s="3505"/>
      <c r="C17" s="3505"/>
      <c r="D17" s="3505"/>
    </row>
    <row r="18" spans="1:4" ht="15.75" customHeight="1">
      <c r="A18" s="3503" t="str">
        <f>IF(项目基本情况!B8="抵押",结果表!K120,"——")</f>
        <v>故，本次评估不存在估价师知悉的法定优先受偿款</v>
      </c>
      <c r="B18" s="3503"/>
      <c r="C18" s="3503"/>
      <c r="D18" s="3503"/>
    </row>
    <row r="19" spans="1:4" ht="46.5" customHeight="1">
      <c r="A19" s="35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3"/>
      <c r="C20" s="3503"/>
      <c r="D20" s="3503"/>
    </row>
    <row r="21" spans="1:4" ht="57.75" customHeight="1">
      <c r="A21" s="35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6"/>
      <c r="C21" s="3506"/>
      <c r="D21" s="3506"/>
    </row>
    <row r="22" spans="1:4" ht="18.75" customHeight="1">
      <c r="A22" s="3507" t="s">
        <v>945</v>
      </c>
      <c r="B22" s="3507"/>
      <c r="C22" s="3507"/>
      <c r="D22" s="350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4">
        <v>42551</v>
      </c>
      <c r="D31" s="35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7" t="s">
        <v>956</v>
      </c>
      <c r="B15" s="3512" t="s">
        <v>109</v>
      </c>
      <c r="C15" s="3513"/>
    </row>
    <row r="16" spans="1:7" ht="13.5">
      <c r="A16" s="3518"/>
      <c r="B16" s="3512" t="s">
        <v>42</v>
      </c>
      <c r="C16" s="3513"/>
    </row>
    <row r="17" spans="1:3" ht="13.5">
      <c r="A17" s="3518"/>
      <c r="B17" s="3515" t="s">
        <v>957</v>
      </c>
      <c r="C17" s="1532" t="s">
        <v>956</v>
      </c>
    </row>
    <row r="18" spans="1:3" ht="13.5">
      <c r="A18" s="3518"/>
      <c r="B18" s="3515"/>
      <c r="C18" s="1532" t="s">
        <v>958</v>
      </c>
    </row>
    <row r="19" spans="1:3" ht="13.5">
      <c r="A19" s="3518"/>
      <c r="B19" s="3515"/>
      <c r="C19" s="1532" t="s">
        <v>959</v>
      </c>
    </row>
    <row r="20" spans="1:3" ht="13.5">
      <c r="A20" s="3519"/>
      <c r="B20" s="3514" t="s">
        <v>960</v>
      </c>
      <c r="C20" s="3513"/>
    </row>
    <row r="21" spans="1:3" ht="13.5">
      <c r="A21" s="1533" t="s">
        <v>961</v>
      </c>
      <c r="B21" s="1534"/>
      <c r="C21" s="1535"/>
    </row>
    <row r="22" spans="1:3" ht="13.5">
      <c r="A22" s="3516" t="s">
        <v>962</v>
      </c>
      <c r="B22" s="3514" t="s">
        <v>963</v>
      </c>
      <c r="C22" s="3513"/>
    </row>
    <row r="23" spans="1:3" ht="13.5">
      <c r="A23" s="3516"/>
      <c r="B23" s="3514" t="s">
        <v>964</v>
      </c>
      <c r="C23" s="3513"/>
    </row>
    <row r="24" spans="1:3" ht="13.5">
      <c r="A24" s="3516"/>
      <c r="B24" s="3514" t="s">
        <v>965</v>
      </c>
      <c r="C24" s="3513"/>
    </row>
    <row r="25" spans="1:3" ht="13.5">
      <c r="A25" s="3516"/>
      <c r="B25" s="3515" t="s">
        <v>966</v>
      </c>
      <c r="C25" s="1532" t="s">
        <v>967</v>
      </c>
    </row>
    <row r="26" spans="1:3" ht="13.5">
      <c r="A26" s="3516"/>
      <c r="B26" s="3515"/>
      <c r="C26" s="1532" t="s">
        <v>968</v>
      </c>
    </row>
    <row r="27" spans="1:3" ht="13.5">
      <c r="A27" s="3516"/>
      <c r="B27" s="3515"/>
      <c r="C27" s="1532" t="s">
        <v>969</v>
      </c>
    </row>
    <row r="28" spans="1:3" ht="13.5">
      <c r="A28" s="3516"/>
      <c r="B28" s="3515"/>
      <c r="C28" s="1532" t="s">
        <v>970</v>
      </c>
    </row>
    <row r="29" spans="1:3" ht="13.5">
      <c r="A29" s="3516"/>
      <c r="B29" s="3515"/>
      <c r="C29" s="1532" t="s">
        <v>971</v>
      </c>
    </row>
    <row r="30" spans="1:3" ht="13.5">
      <c r="A30" s="3516"/>
      <c r="B30" s="3515"/>
      <c r="C30" s="1532" t="s">
        <v>972</v>
      </c>
    </row>
    <row r="31" spans="1:3" ht="13.5">
      <c r="A31" s="3516"/>
      <c r="B31" s="3515"/>
      <c r="C31" s="1532" t="s">
        <v>973</v>
      </c>
    </row>
    <row r="32" spans="1:3" ht="13.5">
      <c r="A32" s="3516"/>
      <c r="B32" s="3515"/>
      <c r="C32" s="1532" t="s">
        <v>974</v>
      </c>
    </row>
    <row r="33" spans="1:3" ht="13.5">
      <c r="A33" s="3516"/>
      <c r="B33" s="351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45011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0" t="s">
        <v>2160</v>
      </c>
      <c r="B17" s="3520"/>
      <c r="C17" s="3520"/>
      <c r="D17" s="3520"/>
      <c r="E17" s="3520"/>
      <c r="F17" s="3520"/>
      <c r="G17" s="3520"/>
      <c r="H17" s="3520"/>
    </row>
    <row r="18" spans="1:8" ht="24" customHeight="1">
      <c r="A18" s="3521" t="s">
        <v>2161</v>
      </c>
      <c r="B18" s="3521"/>
      <c r="C18" s="3521"/>
      <c r="D18" s="2343"/>
      <c r="E18" s="3522" t="s">
        <v>2162</v>
      </c>
      <c r="F18" s="3521"/>
      <c r="G18" s="352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3" sqref="F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2580</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2581</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3394</v>
      </c>
      <c r="C19" s="1547"/>
    </row>
    <row r="20" spans="1:3">
      <c r="A20" s="1546" t="s">
        <v>1048</v>
      </c>
      <c r="B20" s="1546" t="s">
        <v>3417</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3"/>
      <c r="B54" s="1554" t="s">
        <v>385</v>
      </c>
      <c r="C54" s="1551" t="s">
        <v>583</v>
      </c>
    </row>
    <row r="55" spans="1:4">
      <c r="A55" s="3523"/>
      <c r="B55" s="1554" t="s">
        <v>386</v>
      </c>
      <c r="C55" s="1551" t="s">
        <v>584</v>
      </c>
    </row>
    <row r="56" spans="1:4">
      <c r="A56" s="3523"/>
      <c r="B56" s="1554" t="s">
        <v>387</v>
      </c>
      <c r="C56" s="1551" t="s">
        <v>588</v>
      </c>
    </row>
    <row r="57" spans="1:4">
      <c r="A57" s="352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24" t="s">
        <v>2583</v>
      </c>
      <c r="J2" s="3524"/>
      <c r="K2" s="3524"/>
      <c r="L2" s="3524"/>
      <c r="M2" s="3524"/>
      <c r="N2" s="3524"/>
      <c r="O2" s="3524"/>
      <c r="P2" s="3524"/>
      <c r="Q2" s="3524"/>
      <c r="R2" s="3524"/>
    </row>
    <row r="3" spans="1:18">
      <c r="A3" s="3020" t="s">
        <v>2504</v>
      </c>
      <c r="B3" s="3021">
        <f>项目基本情况!D3</f>
        <v>44959</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3.87</v>
      </c>
      <c r="D5" s="3025">
        <f>IF(ISERROR(ROUND(POWER(1+E5,A5-C5)*(POWER(1+E5,C5)-1)/(POWER(1+E5,A5)-1),3)),0,ROUND(POWER(1+E5,A5-C5)*(POWER(1+E5,C5)-1)/(POWER(1+E5,A5)-1),4))</f>
        <v>0.1779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13.88</v>
      </c>
      <c r="D6" s="3025">
        <f>IF(ISERROR(ROUND(POWER(1+E6,A6-C6)*(POWER(1+E6,C6)-1)/(POWER(1+E6,A6)-1),3)),0,ROUND(POWER(1+E6,A6-C6)*(POWER(1+E6,C6)-1)/(POWER(1+E6,A6)-1),4))</f>
        <v>0.48849999999999999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33.9</v>
      </c>
      <c r="D7" s="3025">
        <f>IF(ISERROR(ROUND(POWER(1+E7,A7-C7)*(POWER(1+E7,C7)-1)/(POWER(1+E7,A7)-1),3)),0,ROUND(POWER(1+E7,A7-C7)*(POWER(1+E7,C7)-1)/(POWER(1+E7,A7)-1),4))</f>
        <v>0.78590000000000004</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25" sqref="F2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3" t="str">
        <f>IF(B10="北京市","北京市",C10)&amp;F10&amp;IF(结果表!G1="在建","出让国有建设用地使用权及在建建筑物",IF(结果表!G1="土地","出让国有建设用地使用权",))&amp;B9&amp;"预评估"</f>
        <v>北京市房地产抵押价值预评估</v>
      </c>
      <c r="C1" s="3534"/>
      <c r="D1" s="3534"/>
      <c r="E1" s="3534"/>
      <c r="F1" s="3534"/>
      <c r="G1" s="3534"/>
      <c r="H1" s="3534"/>
      <c r="I1" s="353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44959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36"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37"/>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3338</v>
      </c>
      <c r="B13" s="2407" t="s">
        <v>2190</v>
      </c>
      <c r="C13" s="856"/>
      <c r="D13" s="856">
        <v>56129</v>
      </c>
      <c r="E13" s="856">
        <v>59781</v>
      </c>
      <c r="F13" s="856"/>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30.6</v>
      </c>
      <c r="E15" s="2410">
        <f>IF(A13="出让",IF(E13="","",ROUNDDOWN(MIN((E13-$D$3)/365,E14),2)),E14)</f>
        <v>40.6</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43"/>
      <c r="C16" s="3544"/>
      <c r="D16" s="3545"/>
      <c r="E16" s="2413" t="s">
        <v>2194</v>
      </c>
      <c r="F16" s="3546"/>
      <c r="G16" s="3547"/>
      <c r="H16" s="3547"/>
      <c r="I16" s="3548"/>
      <c r="J16" s="2439"/>
      <c r="K16" s="2617"/>
      <c r="L16" s="2451"/>
      <c r="M16" s="2451"/>
      <c r="N16" s="2509"/>
      <c r="O16" s="2451"/>
      <c r="P16" s="2509"/>
      <c r="Q16" s="2439"/>
      <c r="R16" s="2439"/>
    </row>
    <row r="17" spans="1:28">
      <c r="A17" s="313" t="s">
        <v>2195</v>
      </c>
      <c r="B17" s="302" t="s">
        <v>2196</v>
      </c>
      <c r="C17" s="8">
        <f>'数据-汇总表'!E3</f>
        <v>5033.37</v>
      </c>
      <c r="D17" s="2322" t="s">
        <v>2197</v>
      </c>
      <c r="E17" s="3549" t="s">
        <v>2198</v>
      </c>
      <c r="F17" s="3550"/>
      <c r="G17" s="3550"/>
      <c r="H17" s="3550"/>
      <c r="I17" s="3551"/>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52" t="s">
        <v>2202</v>
      </c>
      <c r="F18" s="3553"/>
      <c r="G18" s="3553"/>
      <c r="H18" s="3553"/>
      <c r="I18" s="3554"/>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39" t="s">
        <v>2206</v>
      </c>
      <c r="C20" s="3540"/>
      <c r="D20" s="3541" t="s">
        <v>2207</v>
      </c>
      <c r="E20" s="3542"/>
      <c r="F20" s="2647" t="s">
        <v>1056</v>
      </c>
      <c r="G20" s="2664"/>
      <c r="H20" s="2664"/>
      <c r="I20" s="2664"/>
      <c r="J20" s="2439"/>
      <c r="K20" s="353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3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3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7"/>
      <c r="B30" s="302" t="s">
        <v>2218</v>
      </c>
      <c r="C30" s="3528"/>
      <c r="D30" s="3529"/>
      <c r="E30" s="2664"/>
      <c r="F30" s="2664"/>
      <c r="G30" s="2664"/>
      <c r="H30" s="2664"/>
      <c r="I30" s="2664"/>
      <c r="J30" s="2439"/>
      <c r="K30" s="2616"/>
      <c r="L30" s="2613"/>
      <c r="M30" s="2613"/>
      <c r="N30" s="2439"/>
      <c r="O30" s="2450"/>
      <c r="P30" s="2439"/>
      <c r="Q30" s="2439"/>
      <c r="R30" s="2439"/>
      <c r="S30" s="2439"/>
      <c r="T30" s="2439"/>
      <c r="U30" s="2439"/>
      <c r="V30" s="2439"/>
    </row>
    <row r="31" spans="1:28">
      <c r="A31" s="353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5" t="s">
        <v>2228</v>
      </c>
      <c r="T34" s="2428" t="str">
        <f>NUMBERSTRING(7-K34,1)&amp;"通"</f>
        <v>七通</v>
      </c>
      <c r="U34" s="2439"/>
      <c r="V34" s="2439"/>
    </row>
    <row r="35" spans="1:30">
      <c r="A35" s="2429"/>
      <c r="B35" s="3532" t="s">
        <v>2229</v>
      </c>
      <c r="C35" s="3532"/>
      <c r="D35" s="3532"/>
      <c r="E35" s="353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t="s">
        <v>304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264</v>
      </c>
      <c r="C38" s="2432" t="s">
        <v>264</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5033.37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5033.37</v>
      </c>
      <c r="H5" s="13">
        <f t="shared" ref="H5:AT5" si="0">SUM(H13:H656)</f>
        <v>5033.37</v>
      </c>
      <c r="I5" s="13">
        <f t="shared" si="0"/>
        <v>3017.9</v>
      </c>
      <c r="J5" s="13">
        <f t="shared" si="0"/>
        <v>0</v>
      </c>
      <c r="K5" s="13">
        <f t="shared" si="0"/>
        <v>2015.47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5033.37</v>
      </c>
      <c r="BA5" s="15">
        <f t="shared" si="1"/>
        <v>5033.37</v>
      </c>
      <c r="BB5" s="15">
        <f t="shared" si="1"/>
        <v>3017.9</v>
      </c>
      <c r="BC5" s="15">
        <f t="shared" si="1"/>
        <v>2015.47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3385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0</v>
      </c>
      <c r="F13" s="29"/>
      <c r="G13" s="30">
        <f>H13+AC13+AT13</f>
        <v>5033.37</v>
      </c>
      <c r="H13" s="17">
        <f>SUMIF(I$12:AB$12,"总值",I13:AB13)</f>
        <v>5033.37</v>
      </c>
      <c r="I13" s="1626">
        <f>Sheet1!D5</f>
        <v>3017.9</v>
      </c>
      <c r="J13" s="1626"/>
      <c r="K13" s="1626">
        <f>Sheet1!D4</f>
        <v>2015.47</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5033.37</v>
      </c>
      <c r="BA13" s="13">
        <f>SUM(BB13:BK13)</f>
        <v>5033.37</v>
      </c>
      <c r="BB13" s="13">
        <f>IF($D13="是",I13-J13,0)</f>
        <v>3017.9</v>
      </c>
      <c r="BC13" s="13">
        <f>IF($D13="是",K13-L13,0)</f>
        <v>2015.47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D44" sqref="D4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4" t="s">
        <v>1131</v>
      </c>
      <c r="B2" s="3564"/>
      <c r="C2" s="3564"/>
      <c r="D2" s="796" t="s">
        <v>1107</v>
      </c>
      <c r="E2" s="1639" t="s">
        <v>1108</v>
      </c>
      <c r="F2" s="2659"/>
      <c r="G2" s="2650"/>
      <c r="H2" s="2651"/>
      <c r="I2" s="2325" t="s">
        <v>1132</v>
      </c>
      <c r="J2" s="2659"/>
      <c r="K2" s="2659"/>
      <c r="L2" s="2659"/>
      <c r="M2" s="2659"/>
      <c r="N2" s="2661"/>
      <c r="O2" s="2659"/>
      <c r="P2" s="2659"/>
    </row>
    <row r="3" spans="1:16" ht="15.75" thickBot="1">
      <c r="A3" s="3565" t="s">
        <v>1105</v>
      </c>
      <c r="B3" s="3565"/>
      <c r="C3" s="3565"/>
      <c r="D3" s="43">
        <f>'数据-基础表'!AY6</f>
        <v>0</v>
      </c>
      <c r="E3" s="43">
        <f>'数据-基础表'!AZ5</f>
        <v>5033.37</v>
      </c>
      <c r="F3" s="2659"/>
      <c r="G3" s="1145"/>
      <c r="H3" s="1026" t="s">
        <v>1106</v>
      </c>
      <c r="I3" s="855" t="e">
        <f>ROUND('数据-基础表'!B3/'数据-基础表'!A3,2)</f>
        <v>#DIV/0!</v>
      </c>
      <c r="J3" s="2659"/>
      <c r="K3" s="2659"/>
      <c r="L3" s="2659"/>
      <c r="M3" s="2659"/>
      <c r="N3" s="2661"/>
      <c r="O3" s="2659"/>
      <c r="P3" s="2659"/>
    </row>
    <row r="4" spans="1:16" ht="15">
      <c r="A4" s="3566"/>
      <c r="B4" s="3567"/>
      <c r="C4" s="3568"/>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69" t="s">
        <v>1110</v>
      </c>
      <c r="C5" s="3569"/>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69" t="s">
        <v>1111</v>
      </c>
      <c r="C6" s="3569"/>
      <c r="D6" s="45">
        <f>ROUND($D$3*E6/$E$3,2)</f>
        <v>0</v>
      </c>
      <c r="E6" s="46">
        <f>E3-E5</f>
        <v>5033.37</v>
      </c>
      <c r="F6" s="2659"/>
      <c r="G6" s="2653" t="s">
        <v>1112</v>
      </c>
      <c r="H6" s="1146" t="s">
        <v>1113</v>
      </c>
      <c r="I6" s="2654" t="e">
        <f>ROUND(F31/D31,2)</f>
        <v>#DIV/0!</v>
      </c>
      <c r="J6" s="2659"/>
      <c r="K6" s="2659"/>
      <c r="L6" s="2659"/>
      <c r="M6" s="2659"/>
      <c r="N6" s="2659"/>
      <c r="O6" s="2659"/>
      <c r="P6" s="2659"/>
    </row>
    <row r="7" spans="1:16" ht="15.75" thickBot="1">
      <c r="A7" s="3561"/>
      <c r="B7" s="3562"/>
      <c r="C7" s="3563"/>
      <c r="D7" s="1641" t="s">
        <v>1107</v>
      </c>
      <c r="E7" s="1645" t="s">
        <v>1114</v>
      </c>
      <c r="F7" s="2659"/>
      <c r="G7" s="2655" t="s">
        <v>1115</v>
      </c>
      <c r="H7" s="2656"/>
      <c r="I7" s="2657">
        <v>2.9</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5033.37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5033.37</v>
      </c>
      <c r="F16" s="2659"/>
      <c r="G16" s="2660"/>
      <c r="H16" s="1648" t="s">
        <v>1135</v>
      </c>
      <c r="I16" s="1649"/>
      <c r="J16" s="1139"/>
      <c r="K16" s="3558" t="s">
        <v>1135</v>
      </c>
      <c r="L16" s="3559"/>
      <c r="M16" s="3559"/>
      <c r="N16" s="3559"/>
      <c r="O16" s="3559"/>
      <c r="P16" s="3560"/>
    </row>
    <row r="17" spans="1:19" ht="15">
      <c r="A17" s="1650" t="s">
        <v>1136</v>
      </c>
      <c r="B17" s="1651" t="s">
        <v>1137</v>
      </c>
      <c r="C17" s="1652" t="s">
        <v>1138</v>
      </c>
      <c r="D17" s="1653" t="s">
        <v>1126</v>
      </c>
      <c r="E17" s="1654" t="s">
        <v>1127</v>
      </c>
      <c r="F17" s="1655"/>
      <c r="G17" s="1656"/>
      <c r="H17" s="1657" t="s">
        <v>1139</v>
      </c>
      <c r="I17" s="1658" t="s">
        <v>1124</v>
      </c>
      <c r="J17" s="1139"/>
      <c r="K17" s="3555" t="s">
        <v>1140</v>
      </c>
      <c r="L17" s="3556"/>
      <c r="M17" s="3557"/>
      <c r="N17" s="3555" t="s">
        <v>1141</v>
      </c>
      <c r="O17" s="3556"/>
      <c r="P17" s="355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0</v>
      </c>
      <c r="E19" s="53">
        <f t="shared" ref="E19:E26" si="1">SUM(F19:G19)</f>
        <v>3017.9</v>
      </c>
      <c r="F19" s="2795">
        <f>'数据-基础表'!I13</f>
        <v>3017.9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3017.9</v>
      </c>
    </row>
    <row r="20" spans="1:19">
      <c r="A20" s="1670"/>
      <c r="B20" s="47" t="s">
        <v>1153</v>
      </c>
      <c r="C20" s="3417" t="s">
        <v>3387</v>
      </c>
      <c r="D20" s="45">
        <f t="shared" ref="D20:D26" si="6">ROUND($D$3*E20/$E$3,2)</f>
        <v>0</v>
      </c>
      <c r="E20" s="53">
        <f t="shared" si="1"/>
        <v>2015.47</v>
      </c>
      <c r="F20" s="2795">
        <f>'数据-基础表'!K13</f>
        <v>2015.47</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2015.47</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5033.37</v>
      </c>
      <c r="F27" s="1140">
        <f>IF(SUM(F19:F26)=E8,SUM(F19:F26),"地上面积有误")</f>
        <v>5033.37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5033.37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5033.37</v>
      </c>
      <c r="F31" s="677">
        <f>F27+F30</f>
        <v>5033.37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K6" activePane="bottomRight" state="frozen"/>
      <selection activeCell="C50" sqref="C50"/>
      <selection pane="topRight" activeCell="C50" sqref="C50"/>
      <selection pane="bottomLeft" activeCell="C50" sqref="C50"/>
      <selection pane="bottomRight" activeCell="L16" sqref="L1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44959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IF(B6="","",SUMIF(项目基本情况!C$12:H$12,C6,项目基本情况!C$13:H$13))</f>
        <v>59781</v>
      </c>
      <c r="F6" s="64">
        <f>SUMIF(项目基本情况!C$12:I$12,C6,项目基本情况!C$15:I$15)</f>
        <v>40.6</v>
      </c>
      <c r="G6" s="65">
        <f>IF(ISERROR(ROUND(POWER(1+H6,D6-F6)*(POWER(1+H6,F6)-1)/(POWER(1+H6,D6)-1),3)),0,ROUND(POWER(1+H6,D6-F6)*(POWER(1+H6,F6)-1)/(POWER(1+H6,D6)-1),3))</f>
        <v>0.94399999999999995</v>
      </c>
      <c r="H6" s="732">
        <v>0.05</v>
      </c>
      <c r="I6" s="732">
        <v>5.5E-2</v>
      </c>
      <c r="J6" s="66">
        <v>7.0000000000000007E-2</v>
      </c>
      <c r="K6" s="1030">
        <f>SUMIF('数据-汇总表'!C$19:C$33,A6,'数据-汇总表'!E$19:E$33)</f>
        <v>3017.9</v>
      </c>
      <c r="L6" s="733">
        <v>4000</v>
      </c>
      <c r="M6" s="67">
        <f t="shared" ref="M6:M14" si="0">ROUND(K6*L6/10000,0)</f>
        <v>1207</v>
      </c>
      <c r="N6" s="731">
        <f>ROUND(1-(2023-2016)/60,2)</f>
        <v>0.88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3</v>
      </c>
      <c r="V6" s="70">
        <v>2.5000000000000001E-2</v>
      </c>
      <c r="W6" s="70">
        <v>0.1</v>
      </c>
      <c r="X6" s="1040"/>
      <c r="Y6" s="71">
        <f>N6</f>
        <v>0.88</v>
      </c>
      <c r="Z6" s="72"/>
      <c r="AA6" s="66"/>
      <c r="AB6" s="66"/>
      <c r="AC6" s="1040"/>
      <c r="AD6" s="73"/>
      <c r="AE6" s="1041">
        <f ca="1">IF(AN6="",0,SUMIF(INDIRECT("'"&amp;AN6&amp;"'"&amp;"!E:E"),$AE$5,INDIRECT("'"&amp;AN6&amp;"'"&amp;"!F:F")))</f>
        <v>40.6</v>
      </c>
      <c r="AF6" s="1348"/>
      <c r="AG6" s="138">
        <f>IF(AF6="",0,AE6-AF6)</f>
        <v>0</v>
      </c>
      <c r="AH6" s="74"/>
      <c r="AI6" s="76">
        <v>365</v>
      </c>
      <c r="AJ6" s="77"/>
      <c r="AK6" s="78">
        <v>0.01</v>
      </c>
      <c r="AL6" s="79">
        <v>1E-3</v>
      </c>
      <c r="AM6" s="80">
        <v>0.01</v>
      </c>
      <c r="AN6" s="1715" t="s">
        <v>3396</v>
      </c>
      <c r="AO6" s="52">
        <f ca="1">SUMIF(INDIRECT("'"&amp;AN6&amp;"'"&amp;"!A:A"),"总价",INDIRECT("'"&amp;AN6&amp;"'"&amp;"!B:B"))</f>
        <v>5235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商业</v>
      </c>
      <c r="B7" s="1713" t="str">
        <f t="shared" ref="B7:B13" si="1">IF(A7=0,"","经营性")</f>
        <v>经营性</v>
      </c>
      <c r="C7" s="1714" t="s">
        <v>673</v>
      </c>
      <c r="D7" s="858">
        <f>SUMIF(项目基本情况!C$12:I$12,C7,项目基本情况!C$14:I$14)</f>
        <v>40</v>
      </c>
      <c r="E7" s="857">
        <f>IF(B7="","",SUMIF(项目基本情况!C$12:H$12,C7,项目基本情况!C$13:H$13))</f>
        <v>56129</v>
      </c>
      <c r="F7" s="64">
        <f>SUMIF(项目基本情况!C$12:I$12,C7,项目基本情况!C$15:I$15)</f>
        <v>30.6</v>
      </c>
      <c r="G7" s="65">
        <f t="shared" ref="G7:G11" si="2">IF(ISERROR(ROUND(POWER(1+H7,D7-F7)*(POWER(1+H7,F7)-1)/(POWER(1+H7,D7)-1),3)),0,ROUND(POWER(1+H7,D7-F7)*(POWER(1+H7,F7)-1)/(POWER(1+H7,D7)-1),3))</f>
        <v>0.91300000000000003</v>
      </c>
      <c r="H7" s="732">
        <v>5.5E-2</v>
      </c>
      <c r="I7" s="732">
        <v>0.06</v>
      </c>
      <c r="J7" s="66">
        <v>7.4999999999999997E-2</v>
      </c>
      <c r="K7" s="1030">
        <f>SUMIF('数据-汇总表'!C$19:C$33,A7,'数据-汇总表'!E$19:E$33)</f>
        <v>2015.47</v>
      </c>
      <c r="L7" s="733">
        <v>4000</v>
      </c>
      <c r="M7" s="67">
        <f t="shared" si="0"/>
        <v>806</v>
      </c>
      <c r="N7" s="731">
        <f>N6</f>
        <v>0.88</v>
      </c>
      <c r="O7" s="67" t="str">
        <f t="shared" ref="O7:O14" si="3">IF($N$5="成新度","——",ROUND(M7*N7,0))</f>
        <v>——</v>
      </c>
      <c r="P7" s="68" t="str">
        <f t="shared" ref="P7:P14" si="4">IF($N$5="成新度","——",M7-O7)</f>
        <v>——</v>
      </c>
      <c r="Q7" s="734">
        <v>0.2</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v>5</v>
      </c>
      <c r="V7" s="70">
        <v>2.5000000000000001E-2</v>
      </c>
      <c r="W7" s="70">
        <v>0.2</v>
      </c>
      <c r="X7" s="1040"/>
      <c r="Y7" s="71">
        <f>N6</f>
        <v>0.88</v>
      </c>
      <c r="Z7" s="72"/>
      <c r="AA7" s="66"/>
      <c r="AB7" s="66"/>
      <c r="AC7" s="1040"/>
      <c r="AD7" s="73"/>
      <c r="AE7" s="1041">
        <f t="shared" ref="AE7:AE13" ca="1" si="6">IF(AN7="",0,SUMIF(INDIRECT("'"&amp;AN7&amp;"'"&amp;"!E:E"),$AE$5,INDIRECT("'"&amp;AN7&amp;"'"&amp;"!F:F")))</f>
        <v>30.6</v>
      </c>
      <c r="AF7" s="1348"/>
      <c r="AG7" s="138">
        <f t="shared" ref="AG7:AG13" si="7">IF(AF7="",0,AE7-AF7)</f>
        <v>0</v>
      </c>
      <c r="AH7" s="74"/>
      <c r="AI7" s="76">
        <v>365</v>
      </c>
      <c r="AJ7" s="77"/>
      <c r="AK7" s="78">
        <v>0.01</v>
      </c>
      <c r="AL7" s="79">
        <v>1E-3</v>
      </c>
      <c r="AM7" s="80">
        <v>0.01</v>
      </c>
      <c r="AN7" s="1715" t="s">
        <v>3393</v>
      </c>
      <c r="AO7" s="52">
        <f t="shared" ref="AO7:AO13" ca="1" si="8">SUMIF(INDIRECT("'"&amp;AN7&amp;"'"&amp;"!A:A"),"总价",INDIRECT("'"&amp;AN7&amp;"'"&amp;"!B:B"))</f>
        <v>4247</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0.93200000000000005</v>
      </c>
      <c r="H16" s="90">
        <f>ROUND(SUMPRODUCT(H6:H13,K6:K13)/SUMPRODUCT((H6:H13&gt;0)*(K6:K13)),3)</f>
        <v>5.1999999999999998E-2</v>
      </c>
      <c r="I16" s="91"/>
      <c r="J16" s="91"/>
      <c r="K16" s="92">
        <f>SUM(K6:K15)</f>
        <v>5033.37</v>
      </c>
      <c r="L16" s="93">
        <f>ROUND(M16*10000/SUM(K6:K14),0)</f>
        <v>3999</v>
      </c>
      <c r="M16" s="93">
        <f>SUM(M6:M14)</f>
        <v>2013</v>
      </c>
      <c r="N16" s="94">
        <f>ROUND(SUMPRODUCT(M6:M14,N6:N14)/M16,3)</f>
        <v>0.88</v>
      </c>
      <c r="O16" s="93">
        <f>SUM(O6:O14)</f>
        <v>0</v>
      </c>
      <c r="P16" s="93">
        <f>SUM(P6:P14)</f>
        <v>0</v>
      </c>
      <c r="Q16" s="95">
        <f>ROUND(SUMPRODUCT(Q6:Q13,K6:K13)/SUMPRODUCT((Q6:Q13&gt;0)*(K6:K13)),2)</f>
        <v>0.17</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3397</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0" t="s">
        <v>2286</v>
      </c>
      <c r="B1" s="3571"/>
      <c r="C1" s="3571"/>
      <c r="D1" s="3571"/>
      <c r="E1" s="3571"/>
      <c r="F1" s="3571"/>
      <c r="G1" s="357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2"/>
  <sheetViews>
    <sheetView tabSelected="1" view="pageBreakPreview" topLeftCell="A4" zoomScale="80" zoomScaleNormal="80" zoomScaleSheetLayoutView="80" workbookViewId="0">
      <selection activeCell="A15" sqref="A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5033.37</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44959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9686</v>
      </c>
      <c r="C5" s="2512">
        <f ca="1">IF(B5=D14,结果表!H102,ROUND(B5*10000/$B$1,0))</f>
        <v>19244</v>
      </c>
      <c r="D5" s="2512" t="e">
        <f ca="1">ROUND(B5*10000/$B$2,0)</f>
        <v>#DIV/0!</v>
      </c>
      <c r="E5" s="2686"/>
      <c r="F5" s="2687"/>
      <c r="G5" s="2687"/>
      <c r="H5" s="2688"/>
      <c r="I5" s="2688"/>
      <c r="J5" s="2688"/>
      <c r="K5" s="2688"/>
    </row>
    <row r="6" spans="1:11" ht="16.5">
      <c r="A6" s="2512" t="s">
        <v>656</v>
      </c>
      <c r="B6" s="2512">
        <f ca="1">SUM(G14:G23)</f>
        <v>9686</v>
      </c>
      <c r="C6" s="2512">
        <f ca="1">IF(B6=G14,结果表!H108,ROUND(B6*10000/$B$1,0))</f>
        <v>19244</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3017.9</v>
      </c>
      <c r="C14" s="2518">
        <f>结果表!C118</f>
        <v>0</v>
      </c>
      <c r="D14" s="2518">
        <f ca="1">结果表!H118</f>
        <v>5176</v>
      </c>
      <c r="E14" s="2518">
        <f ca="1">ROUND(D14*10000/B14,0)</f>
        <v>17151</v>
      </c>
      <c r="F14" s="2518" t="e">
        <f ca="1">ROUND(D14*10000/C14,0)</f>
        <v>#DIV/0!</v>
      </c>
      <c r="G14" s="2518">
        <f ca="1">D14</f>
        <v>5176</v>
      </c>
      <c r="H14" s="2518"/>
      <c r="I14" s="2518"/>
      <c r="J14" s="2687"/>
      <c r="K14" s="2688"/>
    </row>
    <row r="15" spans="1:11" ht="16.5">
      <c r="A15" s="2517" t="s">
        <v>649</v>
      </c>
      <c r="B15" s="2519">
        <f>'结果表-商业'!B118</f>
        <v>2015.47</v>
      </c>
      <c r="C15" s="2519">
        <f>'结果表-商业'!C118</f>
        <v>0</v>
      </c>
      <c r="D15" s="2519">
        <f ca="1">'结果表-商业'!H118</f>
        <v>4510</v>
      </c>
      <c r="E15" s="2518">
        <f t="shared" ref="E15:E23" ca="1" si="0">ROUND(D15*10000/B15,0)</f>
        <v>22377</v>
      </c>
      <c r="F15" s="2518" t="e">
        <f t="shared" ref="F15:F23" ca="1" si="1">ROUND(D15*10000/C15,0)</f>
        <v>#DIV/0!</v>
      </c>
      <c r="G15" s="1331">
        <f ca="1">D15</f>
        <v>4510</v>
      </c>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row r="30" spans="1:11">
      <c r="C30" s="2513">
        <v>4015</v>
      </c>
      <c r="D30" s="2513">
        <f ca="1">E14</f>
        <v>17151</v>
      </c>
      <c r="E30" s="2513">
        <f ca="1">ROUND(C30*D30/10000,0)</f>
        <v>6886</v>
      </c>
    </row>
    <row r="31" spans="1:11">
      <c r="C31" s="2513">
        <v>2015</v>
      </c>
      <c r="D31" s="2513">
        <f ca="1">E15</f>
        <v>22377</v>
      </c>
      <c r="E31" s="2513">
        <f ca="1">ROUND(C31*D31/10000,0)</f>
        <v>4509</v>
      </c>
    </row>
    <row r="32" spans="1:11">
      <c r="E32" s="2513">
        <f ca="1">SUM(E30:E31)</f>
        <v>11395</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70" zoomScaleNormal="100" zoomScaleSheetLayoutView="70" zoomScalePageLayoutView="80" workbookViewId="0">
      <selection activeCell="J99" sqref="J9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3395</v>
      </c>
      <c r="D4" s="1756" t="s">
        <v>3396</v>
      </c>
      <c r="E4" s="3612" t="s">
        <v>1267</v>
      </c>
      <c r="F4" s="3613"/>
      <c r="G4" s="3613"/>
      <c r="H4" s="3613"/>
      <c r="I4" s="361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6" t="s">
        <v>1268</v>
      </c>
      <c r="B5" s="3573">
        <v>25</v>
      </c>
      <c r="C5" s="3589"/>
      <c r="D5" s="3609"/>
      <c r="E5" s="131" t="s">
        <v>1269</v>
      </c>
      <c r="F5" s="1757"/>
      <c r="G5" s="1757"/>
      <c r="H5" s="1757"/>
      <c r="I5" s="1373"/>
    </row>
    <row r="6" spans="1:12" ht="12.75">
      <c r="A6" s="3586"/>
      <c r="B6" s="3573"/>
      <c r="C6" s="3590"/>
      <c r="D6" s="3609"/>
      <c r="E6" s="131" t="s">
        <v>1270</v>
      </c>
      <c r="F6" s="1757"/>
      <c r="G6" s="1757"/>
      <c r="H6" s="1757"/>
      <c r="I6" s="1373"/>
    </row>
    <row r="7" spans="1:12" ht="12.75">
      <c r="A7" s="3586"/>
      <c r="B7" s="3573"/>
      <c r="C7" s="3591"/>
      <c r="D7" s="3609"/>
      <c r="E7" s="131" t="s">
        <v>1271</v>
      </c>
      <c r="F7" s="1757"/>
      <c r="G7" s="1757"/>
      <c r="H7" s="1757"/>
      <c r="I7" s="1373"/>
    </row>
    <row r="8" spans="1:12" ht="12.75">
      <c r="A8" s="3586" t="s">
        <v>1272</v>
      </c>
      <c r="B8" s="3573">
        <v>15</v>
      </c>
      <c r="C8" s="3589"/>
      <c r="D8" s="3609"/>
      <c r="E8" s="131" t="s">
        <v>1273</v>
      </c>
      <c r="F8" s="1757"/>
      <c r="G8" s="1757"/>
      <c r="H8" s="1757"/>
      <c r="I8" s="1373"/>
    </row>
    <row r="9" spans="1:12" ht="12.75">
      <c r="A9" s="3586"/>
      <c r="B9" s="3573"/>
      <c r="C9" s="3591"/>
      <c r="D9" s="3609"/>
      <c r="E9" s="131" t="s">
        <v>1274</v>
      </c>
      <c r="F9" s="1757"/>
      <c r="G9" s="1757"/>
      <c r="H9" s="1757"/>
      <c r="I9" s="1373"/>
    </row>
    <row r="10" spans="1:12" ht="12.75">
      <c r="A10" s="3586" t="s">
        <v>1275</v>
      </c>
      <c r="B10" s="3573">
        <v>15</v>
      </c>
      <c r="C10" s="3589"/>
      <c r="D10" s="3609"/>
      <c r="E10" s="131" t="s">
        <v>1276</v>
      </c>
      <c r="F10" s="1757"/>
      <c r="G10" s="1757"/>
      <c r="H10" s="1757"/>
      <c r="I10" s="1373"/>
    </row>
    <row r="11" spans="1:12" ht="12.75">
      <c r="A11" s="3586"/>
      <c r="B11" s="3573"/>
      <c r="C11" s="3591"/>
      <c r="D11" s="3609"/>
      <c r="E11" s="131" t="s">
        <v>1277</v>
      </c>
      <c r="F11" s="1757"/>
      <c r="G11" s="1757"/>
      <c r="H11" s="1757"/>
      <c r="I11" s="1373"/>
    </row>
    <row r="12" spans="1:12" ht="12.75">
      <c r="A12" s="3586" t="s">
        <v>1278</v>
      </c>
      <c r="B12" s="3573">
        <v>15</v>
      </c>
      <c r="C12" s="3589"/>
      <c r="D12" s="3609"/>
      <c r="E12" s="131" t="s">
        <v>1279</v>
      </c>
      <c r="F12" s="1757"/>
      <c r="G12" s="1757"/>
      <c r="H12" s="1757"/>
      <c r="I12" s="1373"/>
    </row>
    <row r="13" spans="1:12" ht="12.75">
      <c r="A13" s="3586"/>
      <c r="B13" s="3573"/>
      <c r="C13" s="3591"/>
      <c r="D13" s="3609"/>
      <c r="E13" s="131" t="s">
        <v>1280</v>
      </c>
      <c r="F13" s="1757"/>
      <c r="G13" s="1757"/>
      <c r="H13" s="1757"/>
      <c r="I13" s="1373"/>
    </row>
    <row r="14" spans="1:12" ht="12.75">
      <c r="A14" s="3586" t="s">
        <v>1281</v>
      </c>
      <c r="B14" s="3573">
        <v>30</v>
      </c>
      <c r="C14" s="3589">
        <v>5</v>
      </c>
      <c r="D14" s="3609">
        <v>5</v>
      </c>
      <c r="E14" s="131" t="s">
        <v>1282</v>
      </c>
      <c r="F14" s="1757"/>
      <c r="G14" s="1757"/>
      <c r="H14" s="1757"/>
      <c r="I14" s="1373"/>
    </row>
    <row r="15" spans="1:12" ht="12.75">
      <c r="A15" s="3586"/>
      <c r="B15" s="3573"/>
      <c r="C15" s="3590"/>
      <c r="D15" s="3609"/>
      <c r="E15" s="131" t="s">
        <v>1283</v>
      </c>
      <c r="F15" s="1757"/>
      <c r="G15" s="1757"/>
      <c r="H15" s="1757"/>
      <c r="I15" s="1373"/>
    </row>
    <row r="16" spans="1:12" ht="12.75">
      <c r="A16" s="3586"/>
      <c r="B16" s="3573"/>
      <c r="C16" s="3591"/>
      <c r="D16" s="360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96" t="s">
        <v>2131</v>
      </c>
      <c r="F18" s="3597"/>
      <c r="G18" s="3597"/>
      <c r="H18" s="3597"/>
      <c r="I18" s="3597"/>
      <c r="K18" s="302" t="s">
        <v>1289</v>
      </c>
      <c r="L18" s="302">
        <f>IF(C1="",'数据-汇总表'!E3,SUMIF(项目类型,C1,'数据-汇总表'!E17:E26)+SUMIF(项目类型,C1,'数据-汇总表'!I17:I26))</f>
        <v>3017.9</v>
      </c>
      <c r="M18" s="302">
        <f>IF(C1="",'数据-汇总表'!E3,SUMIF(项目类型,C1,'数据-汇总表'!E17:E26))</f>
        <v>3017.9</v>
      </c>
    </row>
    <row r="19" spans="1:36" ht="15">
      <c r="A19" s="1761" t="s">
        <v>1290</v>
      </c>
      <c r="B19" s="1762" t="s">
        <v>1291</v>
      </c>
      <c r="C19" s="134">
        <f ca="1">SUMIF(INDIRECT("'"&amp;C4&amp;"'"&amp;"!A:A"),结果表!B19,INDIRECT("'"&amp;C4&amp;"'"&amp;"!B:B"))</f>
        <v>5116</v>
      </c>
      <c r="D19" s="135">
        <f ca="1">SUMIF(INDIRECT("'"&amp;D4&amp;"'"&amp;"!A:A"),结果表!B19,INDIRECT("'"&amp;D4&amp;"'"&amp;"!B:B"))</f>
        <v>5235</v>
      </c>
      <c r="E19" s="1761" t="s">
        <v>1292</v>
      </c>
      <c r="F19" s="1762" t="s">
        <v>1291</v>
      </c>
      <c r="G19" s="136">
        <f ca="1">ROUND(C19*$C$18+D19*$D$18,0)</f>
        <v>5176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16952</v>
      </c>
      <c r="D20" s="138">
        <f ca="1">SUMIF(INDIRECT("'"&amp;D4&amp;"'"&amp;"!A:A"),结果表!B20,INDIRECT("'"&amp;D4&amp;"'"&amp;"!B:B"))</f>
        <v>17346</v>
      </c>
      <c r="E20" s="1764"/>
      <c r="F20" s="1026" t="s">
        <v>1295</v>
      </c>
      <c r="G20" s="139">
        <f ca="1">ROUND(C20*$C$18+D20*$D$18,0)</f>
        <v>17149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2.3260359655981278E-2</v>
      </c>
      <c r="E22" s="129"/>
      <c r="F22" s="129"/>
      <c r="G22" s="129"/>
      <c r="H22" s="129"/>
      <c r="I22" s="129"/>
    </row>
    <row r="23" spans="1:36" ht="13.5" thickBot="1">
      <c r="A23" s="1747"/>
      <c r="B23" s="1747"/>
      <c r="C23" s="1747"/>
      <c r="D23" s="1747"/>
      <c r="E23" s="129"/>
      <c r="F23" s="129"/>
      <c r="G23" s="129"/>
      <c r="H23" s="129"/>
      <c r="I23" s="129"/>
    </row>
    <row r="24" spans="1:36" ht="14.25">
      <c r="A24" s="3580" t="s">
        <v>1299</v>
      </c>
      <c r="B24" s="1762" t="s">
        <v>1291</v>
      </c>
      <c r="C24" s="136">
        <f>IF(B30=0,0,D30)</f>
        <v>0</v>
      </c>
      <c r="D24" s="1769"/>
      <c r="E24" s="129"/>
      <c r="F24" s="129"/>
      <c r="G24" s="129"/>
      <c r="H24" s="129"/>
      <c r="I24" s="129"/>
    </row>
    <row r="25" spans="1:36" ht="14.25">
      <c r="A25" s="358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5176</v>
      </c>
      <c r="D32" s="1775" t="s">
        <v>3418</v>
      </c>
      <c r="E32" s="129"/>
      <c r="F32" s="129"/>
      <c r="G32" s="129"/>
      <c r="H32" s="129"/>
      <c r="I32" s="129"/>
    </row>
    <row r="33" spans="1:15" ht="15">
      <c r="A33" s="786" t="s">
        <v>1306</v>
      </c>
      <c r="B33" s="1776"/>
      <c r="C33" s="1777" t="s">
        <v>3422</v>
      </c>
      <c r="D33" s="1778" t="s">
        <v>3395</v>
      </c>
      <c r="E33" s="1779" t="s">
        <v>1307</v>
      </c>
      <c r="F33" s="1780" t="str">
        <f>IF(D32="楼面单价","取值（单价）","取值（总价）")</f>
        <v>取值（总价）</v>
      </c>
      <c r="G33" s="129"/>
      <c r="H33" s="129"/>
      <c r="I33" s="129"/>
    </row>
    <row r="34" spans="1:15" ht="15">
      <c r="A34" s="1781"/>
      <c r="B34" s="1782" t="s">
        <v>1308</v>
      </c>
      <c r="C34" s="148">
        <f ca="1">IF(C33="自定义",F34,C32-C35)</f>
        <v>3628</v>
      </c>
      <c r="D34" s="861">
        <f ca="1">IF(C33="自定义",ROUND(C34/C32,3),IF(C33="收益比率",SUMIF(INDIRECT("'"&amp;D33&amp;"'"&amp;"!b:b"),"土地收益比率",INDIRECT("'"&amp;D33&amp;"'"&amp;"!c:c")),SUMIF(INDIRECT("'"&amp;D33&amp;"'"&amp;"!b:b"),"土地成本比率",INDIRECT("'"&amp;D33&amp;"'"&amp;"!c:c"))))</f>
        <v>0.70100000000000007</v>
      </c>
      <c r="E34" s="1783" t="s">
        <v>1309</v>
      </c>
      <c r="F34" s="1330"/>
      <c r="G34" s="129"/>
      <c r="H34" s="129"/>
      <c r="I34" s="129"/>
    </row>
    <row r="35" spans="1:15" ht="15.75" thickBot="1">
      <c r="A35" s="1784"/>
      <c r="B35" s="1785" t="s">
        <v>1310</v>
      </c>
      <c r="C35" s="1170">
        <f ca="1">IF(C33="自定义",F35,ROUND(C32*D35,0))</f>
        <v>1548</v>
      </c>
      <c r="D35" s="1171">
        <f ca="1">IF(C33="自定义",ROUND(C35/C32,3),IF(C33="收益比率",SUMIF(INDIRECT("'"&amp;D33&amp;"'"&amp;"!b:b"),"建筑物收益比率",INDIRECT("'"&amp;D33&amp;"'"&amp;"!c:c")),SUMIF(INDIRECT("'"&amp;D33&amp;"'"&amp;"!b:b"),"建筑物成本比率",INDIRECT("'"&amp;D33&amp;"'"&amp;"!c:c"))))</f>
        <v>0.29899999999999999</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7" t="s">
        <v>1326</v>
      </c>
      <c r="B45" s="3578"/>
      <c r="C45" s="3579"/>
      <c r="D45" s="155">
        <f ca="1">ROUND(H101*F45,0)</f>
        <v>5176</v>
      </c>
      <c r="E45" s="156" t="s">
        <v>1327</v>
      </c>
      <c r="F45" s="157">
        <v>1</v>
      </c>
      <c r="G45" s="158" t="s">
        <v>1328</v>
      </c>
      <c r="H45" s="129"/>
      <c r="I45" s="129"/>
      <c r="J45" s="3655" t="s">
        <v>1329</v>
      </c>
      <c r="K45" s="3655"/>
      <c r="L45" s="3655"/>
      <c r="M45" s="3655"/>
      <c r="N45" s="3655"/>
      <c r="O45" s="3655"/>
    </row>
    <row r="46" spans="1:15" ht="14.25" customHeight="1">
      <c r="A46" s="3574" t="s">
        <v>1330</v>
      </c>
      <c r="B46" s="3575"/>
      <c r="C46" s="3575"/>
      <c r="D46" s="3575"/>
      <c r="E46" s="3575"/>
      <c r="F46" s="3575"/>
      <c r="G46" s="3576"/>
      <c r="H46" s="1806"/>
      <c r="I46" s="159"/>
      <c r="J46" s="2523">
        <v>1</v>
      </c>
      <c r="K46" s="3636" t="s">
        <v>1331</v>
      </c>
      <c r="L46" s="3636"/>
      <c r="M46" s="3656"/>
      <c r="N46" s="3656"/>
      <c r="O46" s="3656"/>
    </row>
    <row r="47" spans="1:15" ht="12" customHeight="1">
      <c r="A47" s="160" t="s">
        <v>1332</v>
      </c>
      <c r="B47" s="161"/>
      <c r="C47" s="162"/>
      <c r="D47" s="1087" t="s">
        <v>1333</v>
      </c>
      <c r="E47" s="302" t="s">
        <v>1334</v>
      </c>
      <c r="F47" s="163" t="s">
        <v>1335</v>
      </c>
      <c r="G47" s="2546" t="s">
        <v>1336</v>
      </c>
      <c r="H47" s="2547"/>
      <c r="I47" s="159"/>
      <c r="J47" s="2523">
        <v>2</v>
      </c>
      <c r="K47" s="3636" t="s">
        <v>1337</v>
      </c>
      <c r="L47" s="3636"/>
      <c r="M47" s="3657">
        <f>'数据-取费表'!B2</f>
        <v>44959</v>
      </c>
      <c r="N47" s="3657"/>
      <c r="O47" s="3657"/>
    </row>
    <row r="48" spans="1:15" ht="25.5">
      <c r="A48" s="3605" t="s">
        <v>1338</v>
      </c>
      <c r="B48" s="3588"/>
      <c r="C48" s="358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36" t="s">
        <v>1340</v>
      </c>
      <c r="L48" s="3636"/>
      <c r="M48" s="3658">
        <f ca="1">H101</f>
        <v>5176</v>
      </c>
      <c r="N48" s="3658"/>
      <c r="O48" s="3658"/>
    </row>
    <row r="49" spans="1:35" ht="25.5" customHeight="1">
      <c r="A49" s="2333" t="s">
        <v>1341</v>
      </c>
      <c r="B49" s="3572" t="s">
        <v>1342</v>
      </c>
      <c r="C49" s="3572"/>
      <c r="D49" s="1590">
        <v>0</v>
      </c>
      <c r="E49" s="324" t="s">
        <v>1343</v>
      </c>
      <c r="F49" s="2424" t="s">
        <v>28</v>
      </c>
      <c r="G49" s="3642"/>
      <c r="H49" s="2310" t="s">
        <v>2134</v>
      </c>
      <c r="I49" s="2311"/>
      <c r="J49" s="2523">
        <v>4</v>
      </c>
      <c r="K49" s="3636" t="str">
        <f>IF(项目基本情况!E8="房地产抵押价值","房地产抵押价值","抵押担保权已注销时的房地产抵押价值")</f>
        <v>房地产抵押价值</v>
      </c>
      <c r="L49" s="3636"/>
      <c r="M49" s="3658">
        <f ca="1">IF(项目基本情况!E8="房地产抵押价值",H107,H109)</f>
        <v>5176</v>
      </c>
      <c r="N49" s="3658"/>
      <c r="O49" s="3658"/>
    </row>
    <row r="50" spans="1:35" ht="25.5" customHeight="1">
      <c r="A50" s="2551"/>
      <c r="B50" s="3572" t="s">
        <v>1344</v>
      </c>
      <c r="C50" s="3572"/>
      <c r="D50" s="2552"/>
      <c r="E50" s="332"/>
      <c r="F50" s="2424"/>
      <c r="G50" s="3643"/>
      <c r="H50" s="2312" t="s">
        <v>2135</v>
      </c>
      <c r="I50" s="2311"/>
      <c r="J50" s="3655" t="s">
        <v>1345</v>
      </c>
      <c r="K50" s="3655"/>
      <c r="L50" s="3655"/>
      <c r="M50" s="3655"/>
      <c r="N50" s="3655"/>
      <c r="O50" s="3655"/>
    </row>
    <row r="51" spans="1:35" ht="20.45" customHeight="1">
      <c r="A51" s="2553"/>
      <c r="B51" s="3572" t="s">
        <v>1346</v>
      </c>
      <c r="C51" s="3572"/>
      <c r="D51" s="1087"/>
      <c r="E51" s="327"/>
      <c r="F51" s="2424"/>
      <c r="G51" s="3644"/>
      <c r="H51" s="2312" t="s">
        <v>2136</v>
      </c>
      <c r="I51" s="2311"/>
      <c r="J51" s="2524" t="s">
        <v>1347</v>
      </c>
      <c r="K51" s="3636" t="s">
        <v>1348</v>
      </c>
      <c r="L51" s="3636"/>
      <c r="M51" s="2524" t="s">
        <v>1349</v>
      </c>
      <c r="N51" s="2524" t="s">
        <v>1350</v>
      </c>
      <c r="O51" s="2524" t="s">
        <v>1351</v>
      </c>
    </row>
    <row r="52" spans="1:35" ht="24" customHeight="1">
      <c r="A52" s="2335" t="s">
        <v>1352</v>
      </c>
      <c r="B52" s="3572" t="s">
        <v>1353</v>
      </c>
      <c r="C52" s="3572"/>
      <c r="D52" s="1087">
        <f ca="1">ROUND(D45*'数据-取费表'!B41/(1+'数据-取费表'!C42),0)</f>
        <v>271</v>
      </c>
      <c r="E52" s="2334" t="s">
        <v>1354</v>
      </c>
      <c r="F52" s="2554">
        <f>'数据-取费表'!B41</f>
        <v>5.5000000000000007E-2</v>
      </c>
      <c r="G52" s="2555"/>
      <c r="H52" s="2544"/>
      <c r="I52" s="1807"/>
      <c r="J52" s="2523">
        <v>1</v>
      </c>
      <c r="K52" s="3637" t="s">
        <v>1355</v>
      </c>
      <c r="L52" s="3637"/>
      <c r="M52" s="2525" t="b">
        <f>D48</f>
        <v>0</v>
      </c>
      <c r="N52" s="2523" t="str">
        <f>E48</f>
        <v>销售额×税（费）率</v>
      </c>
      <c r="O52" s="2526">
        <f>F48</f>
        <v>5.5000000000000007E-2</v>
      </c>
    </row>
    <row r="53" spans="1:35" ht="12" customHeight="1">
      <c r="A53" s="2335" t="s">
        <v>1356</v>
      </c>
      <c r="B53" s="3598" t="s">
        <v>2291</v>
      </c>
      <c r="C53" s="3599"/>
      <c r="D53" s="1087">
        <f ca="1">ROUND(D45*'数据-取费表'!B41/(1+'数据-取费表'!C42),0)</f>
        <v>271</v>
      </c>
      <c r="E53" s="2334" t="s">
        <v>1354</v>
      </c>
      <c r="F53" s="2554">
        <f>'数据-取费表'!B41</f>
        <v>5.5000000000000007E-2</v>
      </c>
      <c r="G53" s="2555"/>
      <c r="H53" s="2544"/>
      <c r="I53" s="1807"/>
      <c r="J53" s="2523">
        <v>2</v>
      </c>
      <c r="K53" s="3637" t="s">
        <v>1357</v>
      </c>
      <c r="L53" s="3637"/>
      <c r="M53" s="2525">
        <f t="shared" ref="M53:O54" ca="1" si="0">D55</f>
        <v>3</v>
      </c>
      <c r="N53" s="2523" t="str">
        <f t="shared" si="0"/>
        <v>销售额×税（费）率</v>
      </c>
      <c r="O53" s="2526" t="str">
        <f t="shared" si="0"/>
        <v>免征</v>
      </c>
    </row>
    <row r="54" spans="1:35" ht="12" customHeight="1">
      <c r="A54" s="2335" t="s">
        <v>1358</v>
      </c>
      <c r="B54" s="3598" t="s">
        <v>2292</v>
      </c>
      <c r="C54" s="3599"/>
      <c r="D54" s="1087">
        <f ca="1">C68</f>
        <v>271</v>
      </c>
      <c r="E54" s="327" t="s">
        <v>1359</v>
      </c>
      <c r="F54" s="2554">
        <f>'数据-取费表'!B41</f>
        <v>5.5000000000000007E-2</v>
      </c>
      <c r="G54" s="2555"/>
      <c r="H54" s="2556"/>
      <c r="I54" s="1807"/>
      <c r="J54" s="2523">
        <v>3</v>
      </c>
      <c r="K54" s="3637" t="s">
        <v>1360</v>
      </c>
      <c r="L54" s="3637"/>
      <c r="M54" s="2525">
        <f t="shared" ca="1" si="0"/>
        <v>2934</v>
      </c>
      <c r="N54" s="2523" t="str">
        <f t="shared" si="0"/>
        <v>增值额×税（费）率</v>
      </c>
      <c r="O54" s="2527" t="str">
        <f t="shared" si="0"/>
        <v>免征</v>
      </c>
    </row>
    <row r="55" spans="1:35" ht="24" customHeight="1">
      <c r="A55" s="3587" t="s">
        <v>1361</v>
      </c>
      <c r="B55" s="3588"/>
      <c r="C55" s="3588"/>
      <c r="D55" s="2324">
        <f ca="1">IF(H55="个人住宅",0,ROUND(D45*I55,0))</f>
        <v>3</v>
      </c>
      <c r="E55" s="2334" t="s">
        <v>1362</v>
      </c>
      <c r="F55" s="2554" t="str">
        <f>IF(H55="正常",I55,"免征")</f>
        <v>免征</v>
      </c>
      <c r="G55" s="2555"/>
      <c r="H55" s="2550"/>
      <c r="I55" s="165">
        <f>'数据-取费表'!B49</f>
        <v>5.0000000000000001E-4</v>
      </c>
      <c r="J55" s="2523">
        <f>IF(H59="非个人房产","",4)</f>
        <v>4</v>
      </c>
      <c r="K55" s="3637" t="str">
        <f>IF(H59="非个人房产","——","个人所得税")</f>
        <v>个人所得税</v>
      </c>
      <c r="L55" s="3637"/>
      <c r="M55" s="2528">
        <f ca="1">D59</f>
        <v>49</v>
      </c>
      <c r="N55" s="2040" t="str">
        <f>E59</f>
        <v>差额计税</v>
      </c>
      <c r="O55" s="2529">
        <f>F59</f>
        <v>0.01</v>
      </c>
    </row>
    <row r="56" spans="1:35" ht="24.75">
      <c r="A56" s="3587" t="s">
        <v>1363</v>
      </c>
      <c r="B56" s="3588"/>
      <c r="C56" s="3588"/>
      <c r="D56" s="2324">
        <f ca="1">IF(H56="个人住宅",D57,D58)</f>
        <v>2934</v>
      </c>
      <c r="E56" s="2334" t="s">
        <v>1364</v>
      </c>
      <c r="F56" s="2554" t="str">
        <f>IF(H56="正常",F58,"免征")</f>
        <v>免征</v>
      </c>
      <c r="G56" s="2557" t="s">
        <v>1365</v>
      </c>
      <c r="H56" s="2558"/>
      <c r="I56" s="1808"/>
      <c r="J56" s="2523" t="str">
        <f>IF(项目基本情况!K6="上海银行",IF(J55="",4,J55+1),"")</f>
        <v/>
      </c>
      <c r="K56" s="3660" t="str">
        <f>IF(项目基本情况!K6="上海银行","其他处置费用","")</f>
        <v/>
      </c>
      <c r="L56" s="3661"/>
      <c r="M56" s="2525" t="str">
        <f>IF(项目基本情况!K6="上海银行",M69,"")</f>
        <v/>
      </c>
      <c r="N56" s="3660" t="str">
        <f>IF(项目基本情况!K6="上海银行","包含处置中涉及的律师、诉讼、拍卖、评估等费用","")</f>
        <v/>
      </c>
      <c r="O56" s="3663"/>
    </row>
    <row r="57" spans="1:35" ht="12.75">
      <c r="A57" s="2335" t="s">
        <v>1341</v>
      </c>
      <c r="B57" s="3598" t="s">
        <v>1366</v>
      </c>
      <c r="C57" s="3599"/>
      <c r="D57" s="1590">
        <v>0</v>
      </c>
      <c r="E57" s="324" t="s">
        <v>1343</v>
      </c>
      <c r="F57" s="302"/>
      <c r="G57" s="2555"/>
      <c r="H57" s="2559"/>
      <c r="I57" s="1808"/>
      <c r="J57" s="3637">
        <f>IF(AND(J55="",J56=""),4,IF(项目基本情况!K6="上海银行",结果表!J56+1,结果表!J55+1))</f>
        <v>5</v>
      </c>
      <c r="K57" s="3637" t="s">
        <v>1367</v>
      </c>
      <c r="L57" s="2530" t="s">
        <v>1368</v>
      </c>
      <c r="M57" s="2531"/>
      <c r="N57" s="2532">
        <f ca="1">SUMIF(M52:M56,"&lt;9e307")</f>
        <v>2986</v>
      </c>
      <c r="O57" s="2533"/>
      <c r="P57" s="2690">
        <f ca="1">N57/M49</f>
        <v>0.57689335394126739</v>
      </c>
    </row>
    <row r="58" spans="1:35" ht="24.75">
      <c r="A58" s="2335" t="s">
        <v>1352</v>
      </c>
      <c r="B58" s="3598" t="s">
        <v>1369</v>
      </c>
      <c r="C58" s="3572"/>
      <c r="D58" s="2324">
        <f ca="1">IF(H58="转让取得",C81,C97)</f>
        <v>2934</v>
      </c>
      <c r="E58" s="2334" t="s">
        <v>1364</v>
      </c>
      <c r="F58" s="302" t="s">
        <v>28</v>
      </c>
      <c r="G58" s="2555"/>
      <c r="H58" s="2558"/>
      <c r="I58" s="1808"/>
      <c r="J58" s="3637"/>
      <c r="K58" s="3637"/>
      <c r="L58" s="2530" t="s">
        <v>1370</v>
      </c>
      <c r="M58" s="2534"/>
      <c r="N58" s="2535" t="str">
        <f ca="1">NUMBERSTRING(INT(N57*10000),2)&amp;"元整"</f>
        <v>贰仟玖佰捌拾陆万元整</v>
      </c>
      <c r="O58" s="2536"/>
    </row>
    <row r="59" spans="1:35" ht="24.75" thickBot="1">
      <c r="A59" s="3640" t="s">
        <v>1371</v>
      </c>
      <c r="B59" s="3641"/>
      <c r="C59" s="3641"/>
      <c r="D59" s="2560">
        <f ca="1">IF(H59="非个人房产","——",IF(H59="个人住宅（满五唯一有凭证）",0,IF(H59="个人其他（无凭证）",ROUND(D45*F59,0),ROUND(C67*F59,0))))</f>
        <v>49</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38">
        <f>J57+1</f>
        <v>6</v>
      </c>
      <c r="K59" s="3637" t="s">
        <v>1372</v>
      </c>
      <c r="L59" s="2523" t="s">
        <v>1368</v>
      </c>
      <c r="M59" s="2537"/>
      <c r="N59" s="2538">
        <f ca="1">M49-N57</f>
        <v>2190</v>
      </c>
      <c r="O59" s="2539"/>
    </row>
    <row r="60" spans="1:35" ht="12" customHeight="1">
      <c r="A60" s="1809"/>
      <c r="B60" s="1747"/>
      <c r="C60" s="1747"/>
      <c r="D60" s="1747"/>
      <c r="E60" s="1578"/>
      <c r="F60" s="1808"/>
      <c r="G60" s="1808"/>
      <c r="H60" s="1810"/>
      <c r="I60" s="129"/>
      <c r="J60" s="3639"/>
      <c r="K60" s="3637"/>
      <c r="L60" s="2530" t="s">
        <v>1370</v>
      </c>
      <c r="M60" s="2534"/>
      <c r="N60" s="2535" t="str">
        <f ca="1">NUMBERSTRING(INT(N59*10000),2)&amp;"元整"</f>
        <v>贰仟壹佰玖拾万元整</v>
      </c>
      <c r="O60" s="2536"/>
    </row>
    <row r="61" spans="1:35" ht="13.5" thickBot="1">
      <c r="A61" s="3585" t="s">
        <v>1373</v>
      </c>
      <c r="B61" s="3585"/>
      <c r="C61" s="3585"/>
      <c r="D61" s="3585"/>
      <c r="E61" s="3585"/>
      <c r="F61" s="1808"/>
      <c r="G61" s="1808"/>
      <c r="H61" s="1810"/>
      <c r="I61" s="129"/>
      <c r="J61" s="2523">
        <f>J59+1</f>
        <v>7</v>
      </c>
      <c r="K61" s="3637" t="s">
        <v>1374</v>
      </c>
      <c r="L61" s="3637"/>
      <c r="M61" s="2540"/>
      <c r="N61" s="2541">
        <f ca="1">ROUND(N59*10000/'数据-汇总表'!E3,0)</f>
        <v>4351</v>
      </c>
      <c r="O61" s="2542"/>
    </row>
    <row r="62" spans="1:35" ht="12.75">
      <c r="A62" s="3603" t="s">
        <v>1375</v>
      </c>
      <c r="B62" s="3604"/>
      <c r="C62" s="2021"/>
      <c r="D62" s="2021" t="s">
        <v>1376</v>
      </c>
      <c r="E62" s="166" t="s">
        <v>1377</v>
      </c>
      <c r="F62" s="1808"/>
      <c r="G62" s="1808"/>
      <c r="H62" s="1810"/>
      <c r="I62" s="129"/>
    </row>
    <row r="63" spans="1:35" ht="12.75">
      <c r="A63" s="173" t="s">
        <v>330</v>
      </c>
      <c r="B63" s="167" t="s">
        <v>1378</v>
      </c>
      <c r="C63" s="2564">
        <f ca="1">ROUND((C64+C65)/(1+'数据-取费表'!C42),0)</f>
        <v>4930</v>
      </c>
      <c r="D63" s="167"/>
      <c r="E63" s="168"/>
      <c r="F63" s="1808"/>
      <c r="G63" s="1808"/>
      <c r="H63" s="1810"/>
      <c r="I63" s="129"/>
      <c r="J63" s="3662" t="s">
        <v>1379</v>
      </c>
      <c r="K63" s="1332" t="s">
        <v>1380</v>
      </c>
      <c r="L63" s="1332">
        <f ca="1">IF(M49&gt;10000,M49*0.5%,IF(AND(M49&gt;1000,M49&lt;=10000),M49*1%,IF(AND(M49&gt;100,M49&lt;=1000),M49*3%,IF(AND(M49&gt;10,M49&lt;=100),M49*5%,M49*8%))))</f>
        <v>51.76</v>
      </c>
      <c r="M63" s="302">
        <f ca="1">ROUND(L63,1)</f>
        <v>51.8</v>
      </c>
      <c r="N63" s="2543"/>
      <c r="Z63" s="1752"/>
      <c r="AI63" s="1753"/>
    </row>
    <row r="64" spans="1:35" ht="14.25" customHeight="1">
      <c r="A64" s="169" t="s">
        <v>325</v>
      </c>
      <c r="B64" s="170" t="s">
        <v>1381</v>
      </c>
      <c r="C64" s="2565">
        <f ca="1">D45</f>
        <v>5176</v>
      </c>
      <c r="D64" s="170" t="s">
        <v>26</v>
      </c>
      <c r="E64" s="172"/>
      <c r="F64" s="1808"/>
      <c r="G64" s="1808"/>
      <c r="H64" s="1810"/>
      <c r="I64" s="129"/>
      <c r="J64" s="3662"/>
      <c r="K64" s="1332" t="s">
        <v>1382</v>
      </c>
      <c r="L64" s="1332">
        <f ca="1">IF(M49&gt;2000,M49*0.5%,IF(AND(M49&gt;1000,M49&lt;=2000),M49*0.6%,IF(AND(M49&gt;500,M49&lt;=1000),M49*0.7%,IF(AND(M49&gt;200,M49&lt;=500),M49*0.8%,IF(AND(M49&gt;100,M49&lt;=200),M49*0.9%,IF(AND(M49&gt;50,M49&lt;=100),M49*1%,IF(AND(M49&gt;20,M49&lt;=50),M49*1.5%,IF(AND(M49&gt;10,M49&lt;=20),M49*2%,IF(AND(M49&gt;1,M49&lt;=10),M49*2.5%)))))))))</f>
        <v>25.88</v>
      </c>
      <c r="M64" s="302">
        <f t="shared" ref="M64:M65" ca="1" si="1">ROUND(L64,1)</f>
        <v>25.9</v>
      </c>
      <c r="N64" s="2544" t="s">
        <v>1383</v>
      </c>
      <c r="Z64" s="1752"/>
      <c r="AI64" s="1753"/>
    </row>
    <row r="65" spans="1:35" ht="14.25" customHeight="1">
      <c r="A65" s="169" t="s">
        <v>326</v>
      </c>
      <c r="B65" s="170" t="s">
        <v>1384</v>
      </c>
      <c r="C65" s="2566"/>
      <c r="D65" s="170"/>
      <c r="E65" s="172"/>
      <c r="F65" s="1808"/>
      <c r="G65" s="1808"/>
      <c r="H65" s="1810"/>
      <c r="I65" s="129"/>
      <c r="J65" s="3662"/>
      <c r="K65" s="1332" t="s">
        <v>1385</v>
      </c>
      <c r="L65" s="1332">
        <f ca="1">IF(M49&gt;1000,M49*0.1%,IF(AND(M49&gt;500,M49&lt;=1000),M49*0.5%,IF(AND(M49&gt;50,M49&lt;=500),M49*1%,IF(AND(M49&gt;1,M49&lt;=50),M49*1.5%))))</f>
        <v>5.1760000000000002</v>
      </c>
      <c r="M65" s="302">
        <f t="shared" ca="1" si="1"/>
        <v>5.2</v>
      </c>
      <c r="N65" s="2544" t="s">
        <v>1383</v>
      </c>
      <c r="Z65" s="1752"/>
      <c r="AI65" s="1753"/>
    </row>
    <row r="66" spans="1:35" ht="14.25" customHeight="1">
      <c r="A66" s="173" t="s">
        <v>327</v>
      </c>
      <c r="B66" s="174" t="s">
        <v>1386</v>
      </c>
      <c r="C66" s="2567"/>
      <c r="D66" s="174" t="s">
        <v>26</v>
      </c>
      <c r="E66" s="1338" t="s">
        <v>671</v>
      </c>
      <c r="F66" s="1808"/>
      <c r="G66" s="1808"/>
      <c r="H66" s="1810"/>
      <c r="I66" s="129"/>
      <c r="J66" s="3662"/>
      <c r="K66" s="1332" t="s">
        <v>1387</v>
      </c>
      <c r="L66" s="1332">
        <f ca="1">M49*0.5%</f>
        <v>25.88</v>
      </c>
      <c r="M66" s="302">
        <f ca="1">IF(L66&gt;0.5,0.5,ROUND(L66,0))</f>
        <v>0.5</v>
      </c>
      <c r="N66" s="2544" t="s">
        <v>1388</v>
      </c>
      <c r="Z66" s="1752"/>
      <c r="AI66" s="1753"/>
    </row>
    <row r="67" spans="1:35" ht="14.25" customHeight="1">
      <c r="A67" s="173" t="s">
        <v>328</v>
      </c>
      <c r="B67" s="174" t="s">
        <v>1389</v>
      </c>
      <c r="C67" s="2568">
        <f ca="1">C63-C66</f>
        <v>4930</v>
      </c>
      <c r="D67" s="170" t="s">
        <v>26</v>
      </c>
      <c r="E67" s="172"/>
      <c r="F67" s="1808"/>
      <c r="G67" s="1808"/>
      <c r="H67" s="1810"/>
      <c r="I67" s="129"/>
      <c r="J67" s="3662"/>
      <c r="K67" s="1332" t="s">
        <v>1390</v>
      </c>
      <c r="L67" s="1332">
        <f ca="1">IF(M49&gt;=10000,(8.25+(M49-10000)*0.01%),IF(AND(M49&gt;=8000,M49&lt;10000),(7.85+(M49-8000)*0.02%),IF(AND(M49&gt;=5000,M49&lt;8000),(6.65+(M49-5000)*0.04%),IF(AND(M49&gt;=2000,M49&lt;5000),(4.25+(PM49-2000)*0.08%),IF(AND(M49&gt;=1000,M49&lt;2000),(2.75+(M49-1000)*0.15%),IF(AND(M49&gt;=100,M49&lt;1000),(0.5+(M49-100)*0.25%),IF(AND(M49&gt;0,M49&lt;100),M49*0.5%)))))))</f>
        <v>6.7204000000000006</v>
      </c>
      <c r="M67" s="302">
        <f ca="1">ROUND(L67*0.9,1)</f>
        <v>6</v>
      </c>
      <c r="N67" s="2543"/>
      <c r="Z67" s="1752"/>
      <c r="AI67" s="1753"/>
    </row>
    <row r="68" spans="1:35" ht="14.25" customHeight="1" thickBot="1">
      <c r="A68" s="176" t="s">
        <v>329</v>
      </c>
      <c r="B68" s="177" t="s">
        <v>1391</v>
      </c>
      <c r="C68" s="2569">
        <f ca="1">IF(C67&lt;=0,0,ROUND(C67*D68,0))</f>
        <v>271</v>
      </c>
      <c r="D68" s="2570">
        <f>'数据-取费表'!B41</f>
        <v>5.5000000000000007E-2</v>
      </c>
      <c r="E68" s="178"/>
      <c r="F68" s="1808"/>
      <c r="G68" s="1808"/>
      <c r="H68" s="1810"/>
      <c r="I68" s="129"/>
      <c r="J68" s="3662"/>
      <c r="K68" s="1332" t="s">
        <v>1392</v>
      </c>
      <c r="L68" s="1332">
        <f ca="1">IF(M49&gt;10000,M49*0.5%,IF(AND(M49&gt;5000,M49&lt;=10000),M49*1%,IF(AND(M49&gt;1000,M49&lt;=5000),M49*2%,IF(AND(M49&gt;200,M49&lt;=1000),M49*3%,M49*5%))))</f>
        <v>51.76</v>
      </c>
      <c r="M68" s="302">
        <f ca="1">ROUND(L68,1)</f>
        <v>51.8</v>
      </c>
      <c r="N68" s="2543"/>
      <c r="Z68" s="1752"/>
      <c r="AI68" s="1753"/>
    </row>
    <row r="69" spans="1:35" s="1772" customFormat="1" ht="16.5" customHeight="1">
      <c r="A69" s="1811"/>
      <c r="B69" s="1812"/>
      <c r="C69" s="1813"/>
      <c r="D69" s="1814"/>
      <c r="E69" s="1815"/>
      <c r="F69" s="1578"/>
      <c r="G69" s="1578"/>
      <c r="H69" s="1577"/>
      <c r="I69" s="1747"/>
      <c r="J69" s="3662"/>
      <c r="K69" s="1332" t="s">
        <v>1393</v>
      </c>
      <c r="L69" s="1332"/>
      <c r="M69" s="302">
        <f ca="1">ROUND(SUM(M63:M68),0)</f>
        <v>141</v>
      </c>
      <c r="N69" s="2545">
        <f ca="1">M69/M49</f>
        <v>2.7241112828438947E-2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4" t="s">
        <v>1394</v>
      </c>
      <c r="B70" s="3625"/>
      <c r="C70" s="3625"/>
      <c r="D70" s="3625"/>
      <c r="E70" s="3625"/>
      <c r="F70" s="3625"/>
      <c r="G70" s="3625"/>
      <c r="H70" s="362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3" t="s">
        <v>1375</v>
      </c>
      <c r="B71" s="360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4930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8" t="s">
        <v>1402</v>
      </c>
      <c r="F76" s="3572"/>
      <c r="G76" s="3572"/>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25</v>
      </c>
      <c r="D78" s="2577">
        <f>'数据-取费表'!B43</f>
        <v>5.000000000000001E-3</v>
      </c>
      <c r="E78" s="3582" t="s">
        <v>1406</v>
      </c>
      <c r="F78" s="3583"/>
      <c r="G78" s="3583"/>
      <c r="H78" s="359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4905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196.2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2934</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4" t="s">
        <v>1410</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3" t="s">
        <v>1375</v>
      </c>
      <c r="B84" s="360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4930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64" t="s">
        <v>2129</v>
      </c>
      <c r="H90" s="366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9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25</v>
      </c>
      <c r="D93" s="2577">
        <f>'数据-取费表'!B43</f>
        <v>5.000000000000001E-3</v>
      </c>
      <c r="E93" s="3582" t="s">
        <v>1406</v>
      </c>
      <c r="F93" s="3583"/>
      <c r="G93" s="3583"/>
      <c r="H93" s="359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3" t="s">
        <v>1426</v>
      </c>
      <c r="F94" s="3594"/>
      <c r="G94" s="3594"/>
      <c r="H94" s="359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4905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196.2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2934</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6" t="s">
        <v>1428</v>
      </c>
      <c r="B100" s="3567"/>
      <c r="C100" s="3567"/>
      <c r="D100" s="3584"/>
      <c r="E100" s="3567" t="s">
        <v>1429</v>
      </c>
      <c r="F100" s="3567"/>
      <c r="G100" s="3567"/>
      <c r="H100" s="3584"/>
      <c r="I100" s="129"/>
    </row>
    <row r="101" spans="1:35" ht="18.75" customHeight="1">
      <c r="A101" s="3645" t="s">
        <v>1430</v>
      </c>
      <c r="B101" s="3646"/>
      <c r="C101" s="2585" t="str">
        <f>C4</f>
        <v>成本法</v>
      </c>
      <c r="D101" s="2586" t="str">
        <f>D4</f>
        <v>收益法</v>
      </c>
      <c r="E101" s="3659" t="s">
        <v>1431</v>
      </c>
      <c r="F101" s="3616"/>
      <c r="G101" s="1827" t="s">
        <v>1432</v>
      </c>
      <c r="H101" s="2595">
        <f ca="1">H118</f>
        <v>5176</v>
      </c>
      <c r="I101" s="129"/>
    </row>
    <row r="102" spans="1:35" ht="18.75" customHeight="1">
      <c r="A102" s="3618" t="s">
        <v>1433</v>
      </c>
      <c r="B102" s="2584" t="s">
        <v>1432</v>
      </c>
      <c r="C102" s="2585">
        <f ca="1">IF(D32="楼面单价",ROUND(C19,0),C19)</f>
        <v>5116</v>
      </c>
      <c r="D102" s="2586">
        <f ca="1">IF(D32="楼面单价",ROUND(D19,0),D19)</f>
        <v>5235</v>
      </c>
      <c r="E102" s="3659"/>
      <c r="F102" s="3616"/>
      <c r="G102" s="1827" t="s">
        <v>1434</v>
      </c>
      <c r="H102" s="2555">
        <f ca="1">I118</f>
        <v>17151</v>
      </c>
      <c r="I102" s="129"/>
    </row>
    <row r="103" spans="1:35" ht="42.75" customHeight="1">
      <c r="A103" s="3618"/>
      <c r="B103" s="2584" t="s">
        <v>1434</v>
      </c>
      <c r="C103" s="2587">
        <f ca="1">C20</f>
        <v>16952</v>
      </c>
      <c r="D103" s="2588">
        <f ca="1">D20</f>
        <v>17346</v>
      </c>
      <c r="E103" s="3653" t="s">
        <v>1435</v>
      </c>
      <c r="F103" s="3654"/>
      <c r="G103" s="1828" t="s">
        <v>1436</v>
      </c>
      <c r="H103" s="2595">
        <f>IF(D36="正常操作",H104+H105+H106,H105+H106)</f>
        <v>0</v>
      </c>
      <c r="I103" s="129"/>
    </row>
    <row r="104" spans="1:35" ht="18.75" customHeight="1">
      <c r="A104" s="3618" t="s">
        <v>1437</v>
      </c>
      <c r="B104" s="2589" t="s">
        <v>1432</v>
      </c>
      <c r="C104" s="2590">
        <f ca="1">H118</f>
        <v>5176</v>
      </c>
      <c r="D104" s="2591"/>
      <c r="E104" s="1674" t="s">
        <v>1438</v>
      </c>
      <c r="F104" s="1666"/>
      <c r="G104" s="1828" t="s">
        <v>1436</v>
      </c>
      <c r="H104" s="2596">
        <f>IF(D36="同一抵押权人同一抵押物续贷",C36&amp;"（续贷，未扣减，详见特别提示）",C36)</f>
        <v>0</v>
      </c>
      <c r="I104" s="129"/>
    </row>
    <row r="105" spans="1:35" ht="18.75" customHeight="1" thickBot="1">
      <c r="A105" s="3619"/>
      <c r="B105" s="2592" t="s">
        <v>1434</v>
      </c>
      <c r="C105" s="2593">
        <f ca="1">I118</f>
        <v>17151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5" t="str">
        <f>IF(项目基本情况!E8="已注销","——","3.房地产抵押价值")</f>
        <v>3.房地产抵押价值</v>
      </c>
      <c r="F107" s="3616"/>
      <c r="G107" s="1827" t="s">
        <v>1432</v>
      </c>
      <c r="H107" s="2595">
        <f ca="1">IF(E107="——","——",H101-H103)</f>
        <v>5176</v>
      </c>
      <c r="I107" s="129"/>
    </row>
    <row r="108" spans="1:35" ht="18.75" customHeight="1">
      <c r="A108" s="129"/>
      <c r="B108" s="129"/>
      <c r="C108" s="129"/>
      <c r="D108" s="129"/>
      <c r="E108" s="3615"/>
      <c r="F108" s="3616"/>
      <c r="G108" s="1827" t="s">
        <v>1434</v>
      </c>
      <c r="H108" s="2555">
        <f ca="1">IF(H107=H101,H102,ROUND(H107*10000/'数据-汇总表'!E3,0))</f>
        <v>17151</v>
      </c>
      <c r="I108" s="129"/>
    </row>
    <row r="109" spans="1:35" ht="18.75" customHeight="1">
      <c r="A109" s="129"/>
      <c r="B109" s="129"/>
      <c r="C109" s="129"/>
      <c r="D109" s="129"/>
      <c r="E109" s="3615" t="str">
        <f>IF(项目基本情况!E8="已注销及未注销","4.抵押担保权已注销时的房地产抵押价值",IF(项目基本情况!E8="已注销","3.抵押担保权已注销时的房地产抵押价值","——"))</f>
        <v>——</v>
      </c>
      <c r="F109" s="3616"/>
      <c r="G109" s="1827" t="s">
        <v>1432</v>
      </c>
      <c r="H109" s="2598" t="str">
        <f>IF(E109="——","——",H101-H105-H106)</f>
        <v>——</v>
      </c>
      <c r="I109" s="129"/>
    </row>
    <row r="110" spans="1:35" ht="18.75" customHeight="1">
      <c r="A110" s="129"/>
      <c r="B110" s="129"/>
      <c r="C110" s="129"/>
      <c r="D110" s="129"/>
      <c r="E110" s="3615"/>
      <c r="F110" s="3616"/>
      <c r="G110" s="1827" t="s">
        <v>1434</v>
      </c>
      <c r="H110" s="2555" t="str">
        <f>IF(H109="——","——",ROUND(H109*10000/'数据-汇总表'!E3,0))</f>
        <v>——</v>
      </c>
      <c r="I110" s="129"/>
    </row>
    <row r="111" spans="1:35" ht="18.75" customHeight="1">
      <c r="A111" s="129"/>
      <c r="B111" s="129"/>
      <c r="C111" s="129"/>
      <c r="D111" s="129"/>
      <c r="E111" s="3647" t="str">
        <f>IF(项目基本情况!E9="抵押净值",IF(OR(项目基本情况!E8="已注销",项目基本情况!E8="房地产抵押价值"),"4.抵押净值","5.抵押净值"),"——")</f>
        <v>——</v>
      </c>
      <c r="F111" s="3617"/>
      <c r="G111" s="1827" t="s">
        <v>1432</v>
      </c>
      <c r="H111" s="2595" t="str">
        <f>IF(E111="——","——",N59)</f>
        <v>——</v>
      </c>
      <c r="I111" s="129"/>
    </row>
    <row r="112" spans="1:35" ht="18.75" customHeight="1" thickBot="1">
      <c r="A112" s="129"/>
      <c r="B112" s="129"/>
      <c r="C112" s="129"/>
      <c r="D112" s="129"/>
      <c r="E112" s="3648"/>
      <c r="F112" s="3649"/>
      <c r="G112" s="1830" t="s">
        <v>1434</v>
      </c>
      <c r="H112" s="2599" t="str">
        <f>IF(E111="——","——",N61)</f>
        <v>——</v>
      </c>
      <c r="I112" s="129"/>
    </row>
    <row r="113" spans="1:27" ht="18.75" customHeight="1">
      <c r="A113" s="129"/>
      <c r="B113" s="129"/>
      <c r="C113" s="129"/>
      <c r="D113" s="129"/>
      <c r="E113" s="3620" t="s">
        <v>1440</v>
      </c>
      <c r="F113" s="3620"/>
      <c r="G113" s="3620"/>
      <c r="H113" s="3620"/>
      <c r="I113" s="129"/>
    </row>
    <row r="114" spans="1:27" ht="3.75" customHeight="1">
      <c r="A114" s="1747"/>
      <c r="B114" s="1747"/>
      <c r="C114" s="1747"/>
      <c r="D114" s="1747"/>
      <c r="E114" s="1809"/>
      <c r="F114" s="1809"/>
      <c r="G114" s="1809"/>
      <c r="H114" s="1809"/>
      <c r="I114" s="1747"/>
    </row>
    <row r="115" spans="1:27" ht="18.75" customHeight="1">
      <c r="A115" s="3630" t="s">
        <v>1442</v>
      </c>
      <c r="B115" s="3631"/>
      <c r="C115" s="3631"/>
      <c r="D115" s="3631"/>
      <c r="E115" s="3631"/>
      <c r="F115" s="3631"/>
      <c r="G115" s="3631"/>
      <c r="H115" s="3631"/>
      <c r="I115" s="3632"/>
    </row>
    <row r="116" spans="1:27" ht="27" customHeight="1">
      <c r="A116" s="3586" t="s">
        <v>1443</v>
      </c>
      <c r="B116" s="3621" t="s">
        <v>1444</v>
      </c>
      <c r="C116" s="3621" t="s">
        <v>1445</v>
      </c>
      <c r="D116" s="3634" t="s">
        <v>1446</v>
      </c>
      <c r="E116" s="3635"/>
      <c r="F116" s="3629" t="s">
        <v>1447</v>
      </c>
      <c r="G116" s="3629"/>
      <c r="H116" s="3586" t="s">
        <v>1448</v>
      </c>
      <c r="I116" s="3586"/>
    </row>
    <row r="117" spans="1:27" ht="18.75" customHeight="1">
      <c r="A117" s="3586"/>
      <c r="B117" s="3622"/>
      <c r="C117" s="362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3017.9</v>
      </c>
      <c r="C118" s="2329">
        <f>M19</f>
        <v>0</v>
      </c>
      <c r="D118" s="2329">
        <f ca="1">ROUND(IF(D32="总价",C34,E118*B118/10000),0)</f>
        <v>3628</v>
      </c>
      <c r="E118" s="2329">
        <f ca="1">ROUND(IF(C33="自定义",IF(D32="楼面单价",C34,D118*10000/B118),I118-G118),0)</f>
        <v>12022</v>
      </c>
      <c r="F118" s="2329">
        <f ca="1">ROUND(IF(D32="总价",C35,G118*B118/10000),0)</f>
        <v>1548</v>
      </c>
      <c r="G118" s="2329">
        <f ca="1">ROUND(IF(D32="楼面单价",C35,F118*10000/B118),0)</f>
        <v>5129</v>
      </c>
      <c r="H118" s="2329">
        <f ca="1">ROUND(IF(D32="总价",C32,I118*B118/10000),0)</f>
        <v>5176</v>
      </c>
      <c r="I118" s="2329">
        <f ca="1">ROUND(IF(D32="楼面单价",C32,H118*10000/B118),0)</f>
        <v>17151</v>
      </c>
    </row>
    <row r="119" spans="1:27" ht="18.75" customHeight="1">
      <c r="A119" s="3586" t="s">
        <v>1452</v>
      </c>
      <c r="B119" s="3586"/>
      <c r="C119" s="3586"/>
      <c r="D119" s="3626" t="str">
        <f ca="1">NUMBERSTRING(INT(D118*10000),2)&amp;"元整"</f>
        <v>叁仟陆佰贰拾捌万元整</v>
      </c>
      <c r="E119" s="3628"/>
      <c r="F119" s="3626" t="str">
        <f ca="1">NUMBERSTRING(INT(F118*10000),2)&amp;"元整"</f>
        <v>壹仟伍佰肆拾捌万元整</v>
      </c>
      <c r="G119" s="3628"/>
      <c r="H119" s="3626" t="str">
        <f ca="1">NUMBERSTRING(INT(H118*10000),2)&amp;"元整"</f>
        <v>伍仟壹佰柒拾陆万元整</v>
      </c>
      <c r="I119" s="3628"/>
    </row>
    <row r="120" spans="1:27" ht="18.75" customHeight="1">
      <c r="A120" s="3650" t="str">
        <f>IF(项目基本情况!B9="房地产市场价值","",MID(E103,3,LEN(E103)-2))</f>
        <v>估价师知悉的法定优先受偿款</v>
      </c>
      <c r="B120" s="3651"/>
      <c r="C120" s="3652"/>
      <c r="D120" s="3650">
        <f>H103</f>
        <v>0</v>
      </c>
      <c r="E120" s="3651"/>
      <c r="F120" s="3651"/>
      <c r="G120" s="3651"/>
      <c r="H120" s="3651"/>
      <c r="I120" s="365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26" t="s">
        <v>1452</v>
      </c>
      <c r="B121" s="3627"/>
      <c r="C121" s="3628"/>
      <c r="D121" s="3626" t="str">
        <f>IF(D120=0,"零元整",NUMBERSTRING(INT(D120*10000),2)&amp;"元整")</f>
        <v>零元整</v>
      </c>
      <c r="E121" s="3627"/>
      <c r="F121" s="3627"/>
      <c r="G121" s="3627"/>
      <c r="H121" s="3627"/>
      <c r="I121" s="3628"/>
      <c r="AA121" s="725"/>
    </row>
    <row r="122" spans="1:27" ht="18.75" customHeight="1">
      <c r="A122" s="3617" t="str">
        <f>IF(项目基本情况!B9="房地产市场价值","",MID(E107,3,LEN(E107)-2))</f>
        <v>房地产抵押价值</v>
      </c>
      <c r="B122" s="3617"/>
      <c r="C122" s="3617"/>
      <c r="D122" s="3650">
        <f ca="1">H107</f>
        <v>5176</v>
      </c>
      <c r="E122" s="3651"/>
      <c r="F122" s="3651"/>
      <c r="G122" s="3651"/>
      <c r="H122" s="3651"/>
      <c r="I122" s="3652"/>
      <c r="AA122" s="725"/>
    </row>
    <row r="123" spans="1:27" ht="18.75" customHeight="1">
      <c r="A123" s="3586" t="s">
        <v>1452</v>
      </c>
      <c r="B123" s="3586"/>
      <c r="C123" s="3586"/>
      <c r="D123" s="3626" t="str">
        <f ca="1">NUMBERSTRING(INT(D122*10000),2)&amp;"元整"</f>
        <v>伍仟壹佰柒拾陆万元整</v>
      </c>
      <c r="E123" s="3627"/>
      <c r="F123" s="3627"/>
      <c r="G123" s="3627"/>
      <c r="H123" s="3627"/>
      <c r="I123" s="3628"/>
      <c r="AA123" s="725"/>
    </row>
    <row r="124" spans="1:27" ht="18.75" customHeight="1">
      <c r="A124" s="3617" t="str">
        <f>IF(项目基本情况!B9="房地产市场价值","",MID(E109,3,LEN(E109)-2))</f>
        <v/>
      </c>
      <c r="B124" s="3617"/>
      <c r="C124" s="3617"/>
      <c r="D124" s="3650" t="str">
        <f>H109</f>
        <v>——</v>
      </c>
      <c r="E124" s="3651"/>
      <c r="F124" s="3651"/>
      <c r="G124" s="3651"/>
      <c r="H124" s="3651"/>
      <c r="I124" s="3652"/>
      <c r="AA124" s="725"/>
    </row>
    <row r="125" spans="1:27" ht="18.75" customHeight="1">
      <c r="A125" s="3586" t="s">
        <v>1452</v>
      </c>
      <c r="B125" s="3586"/>
      <c r="C125" s="3586"/>
      <c r="D125" s="3626" t="e">
        <f>NUMBERSTRING(INT(D124*10000),2)&amp;"元整"</f>
        <v>#VALUE!</v>
      </c>
      <c r="E125" s="3627"/>
      <c r="F125" s="3627"/>
      <c r="G125" s="3627"/>
      <c r="H125" s="3627"/>
      <c r="I125" s="3628"/>
      <c r="AA125" s="725"/>
    </row>
    <row r="126" spans="1:27" ht="18.75" customHeight="1">
      <c r="A126" s="3617" t="str">
        <f>IF(项目基本情况!B9="房地产市场价值","",MID(E111,3,LEN(E111)-2))</f>
        <v/>
      </c>
      <c r="B126" s="3617"/>
      <c r="C126" s="3617"/>
      <c r="D126" s="3650" t="str">
        <f>H111</f>
        <v>——</v>
      </c>
      <c r="E126" s="3651"/>
      <c r="F126" s="3651"/>
      <c r="G126" s="3651"/>
      <c r="H126" s="3651"/>
      <c r="I126" s="3652"/>
      <c r="AA126" s="725"/>
    </row>
    <row r="127" spans="1:27" ht="18.75" customHeight="1">
      <c r="A127" s="3586" t="s">
        <v>1452</v>
      </c>
      <c r="B127" s="3586"/>
      <c r="C127" s="3586"/>
      <c r="D127" s="3626" t="e">
        <f>NUMBERSTRING(INT(D126*10000),2)&amp;"元整"</f>
        <v>#VALUE!</v>
      </c>
      <c r="E127" s="3627"/>
      <c r="F127" s="3627"/>
      <c r="G127" s="3627"/>
      <c r="H127" s="3627"/>
      <c r="I127" s="3628"/>
      <c r="AA127" s="725"/>
    </row>
    <row r="128" spans="1:27" ht="21.75" customHeight="1">
      <c r="A128" s="3633" t="s">
        <v>1453</v>
      </c>
      <c r="B128" s="3633"/>
      <c r="C128" s="3633"/>
      <c r="D128" s="3633"/>
      <c r="E128" s="3633"/>
      <c r="F128" s="3633"/>
      <c r="G128" s="3633"/>
      <c r="H128" s="3633"/>
      <c r="I128" s="363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1" zoomScale="70" zoomScaleNormal="70" zoomScaleSheetLayoutView="70" workbookViewId="0">
      <selection activeCell="D20" sqref="D2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21</v>
      </c>
      <c r="C1" s="198"/>
      <c r="D1" s="198"/>
      <c r="E1" s="198"/>
      <c r="F1" s="198"/>
      <c r="G1" s="1126">
        <f>MATCH(B1,'数据-取费表'!A6:A16,0)+5</f>
        <v>6</v>
      </c>
    </row>
    <row r="2" spans="1:9" s="200" customFormat="1" ht="18" customHeight="1">
      <c r="A2" s="201" t="s">
        <v>1462</v>
      </c>
      <c r="B2" s="202">
        <f ca="1">IF(D2="——",C52,C52-E2)</f>
        <v>5116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16952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2633</v>
      </c>
      <c r="D5" s="211" t="s">
        <v>1469</v>
      </c>
      <c r="E5" s="212" t="s">
        <v>1470</v>
      </c>
      <c r="F5" s="212" t="s">
        <v>1471</v>
      </c>
      <c r="G5" s="213"/>
    </row>
    <row r="6" spans="1:9" s="214" customFormat="1" ht="13.5" customHeight="1">
      <c r="A6" s="778" t="s">
        <v>1472</v>
      </c>
      <c r="B6" s="215" t="s">
        <v>1473</v>
      </c>
      <c r="C6" s="216">
        <f>基准地价修正!B2</f>
        <v>2555</v>
      </c>
      <c r="D6" s="217"/>
      <c r="E6" s="218"/>
      <c r="F6" s="218"/>
      <c r="G6" s="219"/>
    </row>
    <row r="7" spans="1:9" s="214" customFormat="1" ht="13.5" customHeight="1">
      <c r="A7" s="778" t="s">
        <v>1474</v>
      </c>
      <c r="B7" s="215" t="s">
        <v>1475</v>
      </c>
      <c r="C7" s="220">
        <f>ROUND(C6*F7,0)</f>
        <v>78</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6" t="s">
        <v>3413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3017.9</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3017.9</v>
      </c>
      <c r="E19" s="211">
        <f>'数据-取费表'!B31</f>
        <v>200</v>
      </c>
      <c r="F19" s="231"/>
      <c r="G19" s="1856" t="s">
        <v>3415</v>
      </c>
    </row>
    <row r="20" spans="1:7" s="214" customFormat="1" ht="13.5" customHeight="1">
      <c r="A20" s="255" t="s">
        <v>1493</v>
      </c>
      <c r="B20" s="210" t="s">
        <v>1494</v>
      </c>
      <c r="C20" s="232">
        <f ca="1">ROUND((C5+C19)*F20,0)</f>
        <v>53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225</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223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403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403</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3587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1321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1207</v>
      </c>
      <c r="D34" s="217"/>
      <c r="E34" s="220"/>
      <c r="F34" s="257">
        <f ca="1">IF('数据-取费表'!B24=0,1,IF(B1="",'数据-取费表'!N16,INDIRECT("'数据-取费表'!n"&amp;$G$1)))</f>
        <v>1</v>
      </c>
      <c r="G34" s="219" t="s">
        <v>1526</v>
      </c>
    </row>
    <row r="35" spans="1:7" ht="13.5" customHeight="1">
      <c r="A35" s="780" t="s">
        <v>351</v>
      </c>
      <c r="B35" s="215" t="s">
        <v>1527</v>
      </c>
      <c r="C35" s="220">
        <f ca="1">ROUND(C34*F35,0)</f>
        <v>36</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60</v>
      </c>
      <c r="D37" s="217">
        <f ca="1">D19</f>
        <v>3017.9</v>
      </c>
      <c r="E37" s="249">
        <f>'数据-取费表'!B35</f>
        <v>200</v>
      </c>
      <c r="F37" s="259"/>
      <c r="G37" s="261" t="s">
        <v>1532</v>
      </c>
    </row>
    <row r="38" spans="1:7" ht="13.5" customHeight="1">
      <c r="A38" s="780" t="s">
        <v>354</v>
      </c>
      <c r="B38" s="215" t="s">
        <v>1533</v>
      </c>
      <c r="C38" s="220">
        <f ca="1">ROUND(C34*F38,0)</f>
        <v>18</v>
      </c>
      <c r="D38" s="220"/>
      <c r="E38" s="220"/>
      <c r="F38" s="259">
        <f>'数据-取费表'!B36</f>
        <v>1.4999999999999999E-2</v>
      </c>
      <c r="G38" s="219" t="s">
        <v>1528</v>
      </c>
    </row>
    <row r="39" spans="1:7" s="214" customFormat="1" ht="13.5" customHeight="1">
      <c r="A39" s="255" t="s">
        <v>1534</v>
      </c>
      <c r="B39" s="210" t="s">
        <v>1535</v>
      </c>
      <c r="C39" s="232">
        <f ca="1">ROUND(C33*F20,0)</f>
        <v>26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56</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55</v>
      </c>
      <c r="D42" s="238"/>
      <c r="E42" s="238"/>
      <c r="F42" s="239"/>
      <c r="G42" s="3666" t="s">
        <v>1544</v>
      </c>
    </row>
    <row r="43" spans="1:7" ht="13.5" customHeight="1">
      <c r="A43" s="780" t="s">
        <v>347</v>
      </c>
      <c r="B43" s="215" t="s">
        <v>1545</v>
      </c>
      <c r="C43" s="238">
        <f ca="1">ROUND(IF('数据-取费表'!B22&lt;=1,C39*F22*'数据-取费表'!B21/2,C39*(POWER((1+F22),'数据-取费表'!B21/2)-1)),0)</f>
        <v>1</v>
      </c>
      <c r="D43" s="238"/>
      <c r="E43" s="238"/>
      <c r="F43" s="239"/>
      <c r="G43" s="3667"/>
    </row>
    <row r="44" spans="1:7" ht="13.5" customHeight="1">
      <c r="A44" s="780" t="s">
        <v>348</v>
      </c>
      <c r="B44" s="215" t="s">
        <v>1546</v>
      </c>
      <c r="C44" s="238">
        <f ca="1">ROUND(IF('数据-取费表'!B22&lt;=1,C40*F22*'数据-取费表'!B21/2,C40*(POWER((1+F22),'数据-取费表'!B21/2)-1)),4)</f>
        <v>8.0000000000000004E-4</v>
      </c>
      <c r="D44" s="238"/>
      <c r="E44" s="238"/>
      <c r="F44" s="239"/>
      <c r="G44" s="3668"/>
    </row>
    <row r="45" spans="1:7" s="214" customFormat="1" ht="13.5" customHeight="1">
      <c r="A45" s="255" t="s">
        <v>1547</v>
      </c>
      <c r="B45" s="244" t="s">
        <v>1513</v>
      </c>
      <c r="C45" s="245">
        <f ca="1">C46</f>
        <v>202</v>
      </c>
      <c r="D45" s="235">
        <f ca="1">C47</f>
        <v>3.0000000000000001E-3</v>
      </c>
      <c r="E45" s="236" t="s">
        <v>1539</v>
      </c>
      <c r="F45" s="246">
        <f ca="1">F27</f>
        <v>0.15</v>
      </c>
      <c r="G45" s="247" t="s">
        <v>1548</v>
      </c>
    </row>
    <row r="46" spans="1:7" s="214" customFormat="1" ht="13.5" customHeight="1">
      <c r="A46" s="780" t="s">
        <v>346</v>
      </c>
      <c r="B46" s="248" t="s">
        <v>1549</v>
      </c>
      <c r="C46" s="249">
        <f ca="1">ROUND((C33+C39)*F27,0)</f>
        <v>202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1737</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1529</v>
      </c>
      <c r="D51" s="232"/>
      <c r="E51" s="232"/>
      <c r="F51" s="264"/>
      <c r="G51" s="234" t="s">
        <v>1560</v>
      </c>
    </row>
    <row r="52" spans="1:7" s="208" customFormat="1" ht="16.5" thickBot="1">
      <c r="A52" s="265" t="s">
        <v>1561</v>
      </c>
      <c r="B52" s="266"/>
      <c r="C52" s="267">
        <f ca="1">C31+C51</f>
        <v>5116</v>
      </c>
      <c r="D52" s="266"/>
      <c r="E52" s="266"/>
      <c r="F52" s="266"/>
      <c r="G52" s="268"/>
    </row>
    <row r="55" spans="1:7" ht="15">
      <c r="B55" s="270" t="s">
        <v>1562</v>
      </c>
      <c r="C55" s="271"/>
    </row>
    <row r="56" spans="1:7">
      <c r="B56" s="273" t="s">
        <v>802</v>
      </c>
      <c r="C56" s="275">
        <f ca="1">1-C57</f>
        <v>0.70100000000000007</v>
      </c>
    </row>
    <row r="57" spans="1:7">
      <c r="B57" s="273" t="s">
        <v>803</v>
      </c>
      <c r="C57" s="274">
        <f ca="1">ROUND(C51/C52,3)</f>
        <v>0.29899999999999999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2735.6959999999999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5435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5033.37</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1006674</v>
      </c>
      <c r="D19" s="849">
        <f ca="1">D9+D10</f>
        <v>5033.37</v>
      </c>
      <c r="E19" s="211">
        <f>'数据-取费表'!B31</f>
        <v>200</v>
      </c>
      <c r="F19" s="231"/>
      <c r="G19" s="1856"/>
    </row>
    <row r="20" spans="1:7" s="214" customFormat="1" ht="13.5" customHeight="1">
      <c r="A20" s="255" t="s">
        <v>1574</v>
      </c>
      <c r="B20" s="210" t="s">
        <v>1575</v>
      </c>
      <c r="C20" s="232">
        <f ca="1">ROUND((C5+C19)*F20,0)</f>
        <v>20133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86124</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85288</v>
      </c>
      <c r="D24" s="238"/>
      <c r="E24" s="238"/>
      <c r="F24" s="239"/>
      <c r="G24" s="240" t="s">
        <v>1586</v>
      </c>
    </row>
    <row r="25" spans="1:7" s="214" customFormat="1" ht="24">
      <c r="A25" s="780" t="s">
        <v>1476</v>
      </c>
      <c r="B25" s="215" t="s">
        <v>1587</v>
      </c>
      <c r="C25" s="1128">
        <f ca="1">ROUND(IF('数据-取费表'!B22&lt;=1,C20*F22*'数据-取费表'!B22/2,C20*(POWER((1+F22),'数据-取费表'!B22/2)-1)),0)</f>
        <v>836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174557</v>
      </c>
      <c r="D27" s="235">
        <f ca="1">C29</f>
        <v>3.3999999999999998E-3</v>
      </c>
      <c r="E27" s="236" t="s">
        <v>1514</v>
      </c>
      <c r="F27" s="246">
        <f ca="1">IF(B1="",'数据-取费表'!Q16,INDIRECT("'数据-取费表'!q"&amp;$G$1))</f>
        <v>0.17</v>
      </c>
      <c r="G27" s="247" t="s">
        <v>1515</v>
      </c>
    </row>
    <row r="28" spans="1:7" s="214" customFormat="1" ht="13.5" customHeight="1">
      <c r="A28" s="780" t="s">
        <v>346</v>
      </c>
      <c r="B28" s="248" t="s">
        <v>1516</v>
      </c>
      <c r="C28" s="249">
        <f ca="1">ROUND((C5+C19+C20)*F27,0)</f>
        <v>174557</v>
      </c>
      <c r="D28" s="235"/>
      <c r="E28" s="236"/>
      <c r="F28" s="246"/>
      <c r="G28" s="247"/>
    </row>
    <row r="29" spans="1:7" s="214" customFormat="1" ht="13.5" customHeight="1">
      <c r="A29" s="780" t="s">
        <v>347</v>
      </c>
      <c r="B29" s="248" t="s">
        <v>1517</v>
      </c>
      <c r="C29" s="238">
        <f ca="1">ROUND(C21*F27,4)</f>
        <v>3.3999999999999998E-3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1394291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22046160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20133480</v>
      </c>
      <c r="D34" s="217"/>
      <c r="E34" s="220"/>
      <c r="F34" s="257"/>
      <c r="G34" s="219"/>
    </row>
    <row r="35" spans="1:7" ht="13.5" customHeight="1">
      <c r="A35" s="780" t="s">
        <v>351</v>
      </c>
      <c r="B35" s="215" t="s">
        <v>1527</v>
      </c>
      <c r="C35" s="220">
        <f ca="1">ROUND(C34*F35,0)</f>
        <v>604004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1006674</v>
      </c>
      <c r="D37" s="217">
        <f ca="1">D19</f>
        <v>5033.37</v>
      </c>
      <c r="E37" s="249">
        <f>'数据-取费表'!B35</f>
        <v>200</v>
      </c>
      <c r="F37" s="259"/>
      <c r="G37" s="261"/>
    </row>
    <row r="38" spans="1:7" ht="13.5" customHeight="1">
      <c r="A38" s="780" t="s">
        <v>354</v>
      </c>
      <c r="B38" s="215" t="s">
        <v>1533</v>
      </c>
      <c r="C38" s="220">
        <f ca="1">ROUND(C34*F38,0)</f>
        <v>302002</v>
      </c>
      <c r="D38" s="220"/>
      <c r="E38" s="220"/>
      <c r="F38" s="259">
        <f>'数据-取费表'!B36</f>
        <v>1.4999999999999999E-2</v>
      </c>
      <c r="G38" s="219" t="s">
        <v>1528</v>
      </c>
    </row>
    <row r="39" spans="1:7" s="214" customFormat="1" ht="13.5" customHeight="1">
      <c r="A39" s="255" t="s">
        <v>1534</v>
      </c>
      <c r="B39" s="210" t="s">
        <v>1535</v>
      </c>
      <c r="C39" s="232">
        <f ca="1">ROUND(C33*F20,0)</f>
        <v>440923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933214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914916</v>
      </c>
      <c r="D42" s="238"/>
      <c r="E42" s="238"/>
      <c r="F42" s="239"/>
      <c r="G42" s="3666" t="s">
        <v>1591</v>
      </c>
    </row>
    <row r="43" spans="1:7" ht="13.5" customHeight="1">
      <c r="A43" s="780" t="s">
        <v>347</v>
      </c>
      <c r="B43" s="215" t="s">
        <v>1545</v>
      </c>
      <c r="C43" s="238">
        <f ca="1">ROUND(IF('数据-取费表'!B22&lt;=1,C39*F22*'数据-取费表'!B20/2,C39*(POWER((1+F22),'数据-取费表'!B20/2)-1)),0)</f>
        <v>18298</v>
      </c>
      <c r="D43" s="238"/>
      <c r="E43" s="238"/>
      <c r="F43" s="239"/>
      <c r="G43" s="3667"/>
    </row>
    <row r="44" spans="1:7" ht="13.5" customHeight="1">
      <c r="A44" s="780" t="s">
        <v>348</v>
      </c>
      <c r="B44" s="215" t="s">
        <v>1546</v>
      </c>
      <c r="C44" s="238">
        <f ca="1">ROUND(IF('数据-取费表'!B22&lt;=1,C40*F22*'数据-取费表'!B20/2,C40*(POWER((1+F22),'数据-取费表'!B20/2)-1)),4)</f>
        <v>8.0000000000000004E-4</v>
      </c>
      <c r="D44" s="238"/>
      <c r="E44" s="238"/>
      <c r="F44" s="239"/>
      <c r="G44" s="3668"/>
    </row>
    <row r="45" spans="1:7" s="214" customFormat="1" ht="13.5" customHeight="1">
      <c r="A45" s="255" t="s">
        <v>1547</v>
      </c>
      <c r="B45" s="244" t="s">
        <v>1513</v>
      </c>
      <c r="C45" s="245">
        <f ca="1">C46</f>
        <v>3822804</v>
      </c>
      <c r="D45" s="235">
        <f ca="1">C47</f>
        <v>3.3999999999999998E-3</v>
      </c>
      <c r="E45" s="236" t="s">
        <v>1539</v>
      </c>
      <c r="F45" s="246">
        <f ca="1">F27</f>
        <v>0.17</v>
      </c>
      <c r="G45" s="247" t="s">
        <v>1548</v>
      </c>
    </row>
    <row r="46" spans="1:7" s="214" customFormat="1" ht="13.5" customHeight="1">
      <c r="A46" s="780" t="s">
        <v>346</v>
      </c>
      <c r="B46" s="248" t="s">
        <v>1549</v>
      </c>
      <c r="C46" s="249">
        <f ca="1">ROUND((C33+C39)*F27,0)</f>
        <v>3822804</v>
      </c>
      <c r="D46" s="263"/>
      <c r="E46" s="236"/>
      <c r="F46" s="246"/>
      <c r="G46" s="247"/>
    </row>
    <row r="47" spans="1:7" s="214" customFormat="1" ht="13.5" customHeight="1">
      <c r="A47" s="780" t="s">
        <v>347</v>
      </c>
      <c r="B47" s="248" t="s">
        <v>1550</v>
      </c>
      <c r="C47" s="238">
        <f ca="1">ROUND(C40*F27,4)</f>
        <v>3.3999999999999998E-3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29503033</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25962669</v>
      </c>
      <c r="D51" s="232"/>
      <c r="E51" s="232"/>
      <c r="F51" s="264"/>
      <c r="G51" s="234" t="s">
        <v>1560</v>
      </c>
    </row>
    <row r="52" spans="1:7" s="208" customFormat="1" ht="16.5" thickBot="1">
      <c r="A52" s="265" t="s">
        <v>1561</v>
      </c>
      <c r="B52" s="266"/>
      <c r="C52" s="267">
        <f ca="1">C31+C51</f>
        <v>27356960</v>
      </c>
      <c r="D52" s="266"/>
      <c r="E52" s="266"/>
      <c r="F52" s="266"/>
      <c r="G52" s="268"/>
    </row>
    <row r="55" spans="1:7" ht="15">
      <c r="B55" s="270" t="s">
        <v>1562</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5033.37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5033.37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5033.37</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0.17</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L40" zoomScale="70" zoomScaleNormal="70" zoomScaleSheetLayoutView="70" workbookViewId="0">
      <selection activeCell="O46" sqref="O46:R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5235</v>
      </c>
      <c r="C2" s="1387" t="s">
        <v>805</v>
      </c>
      <c r="D2" s="1387"/>
      <c r="E2" s="1388"/>
      <c r="F2" s="1389"/>
      <c r="G2" s="2706"/>
      <c r="H2" s="2695"/>
      <c r="I2" s="2695"/>
      <c r="J2" s="2695"/>
      <c r="K2" s="2696"/>
      <c r="L2" s="2695"/>
      <c r="M2" s="2695"/>
    </row>
    <row r="3" spans="1:37" ht="18" customHeight="1" thickBot="1">
      <c r="A3" s="1390" t="s">
        <v>806</v>
      </c>
      <c r="B3" s="1391">
        <f ca="1">IF(ISERROR(B2*10000/F43),0,ROUND(B2*10000/F43,0))</f>
        <v>17346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297</v>
      </c>
      <c r="D5" s="1364" t="s">
        <v>693</v>
      </c>
      <c r="E5" s="1071"/>
      <c r="F5" s="1072"/>
      <c r="G5" s="1384"/>
      <c r="H5" s="299">
        <v>1</v>
      </c>
      <c r="I5" s="300" t="s">
        <v>692</v>
      </c>
      <c r="J5" s="1070">
        <f ca="1">J6+J10+J12</f>
        <v>0</v>
      </c>
      <c r="K5" s="1364" t="s">
        <v>693</v>
      </c>
      <c r="L5" s="1071"/>
      <c r="M5" s="1072"/>
    </row>
    <row r="6" spans="1:37" ht="18" customHeight="1">
      <c r="A6" s="1069" t="s">
        <v>398</v>
      </c>
      <c r="B6" s="3671" t="s">
        <v>694</v>
      </c>
      <c r="C6" s="1074">
        <f ca="1">ROUND(F6*F8*F7*(1-F9)/10000,0)</f>
        <v>297</v>
      </c>
      <c r="D6" s="155" t="s">
        <v>2109</v>
      </c>
      <c r="E6" s="302" t="s">
        <v>696</v>
      </c>
      <c r="F6" s="303">
        <f ca="1">INDIRECT("'数据-取费表'!u"&amp;$G$1)</f>
        <v>3</v>
      </c>
      <c r="G6" s="1384"/>
      <c r="H6" s="1069" t="s">
        <v>398</v>
      </c>
      <c r="I6" s="3671" t="s">
        <v>694</v>
      </c>
      <c r="J6" s="301">
        <f ca="1">ROUND(M6*M8*M7*(1-M9)/10000,0)</f>
        <v>0</v>
      </c>
      <c r="K6" s="155" t="s">
        <v>2108</v>
      </c>
      <c r="L6" s="302" t="s">
        <v>696</v>
      </c>
      <c r="M6" s="303">
        <f ca="1">INDIRECT("'数据-取费表'!z"&amp;$G$1)</f>
        <v>0</v>
      </c>
    </row>
    <row r="7" spans="1:37" ht="18" customHeight="1">
      <c r="A7" s="1073"/>
      <c r="B7" s="3672"/>
      <c r="C7" s="1075"/>
      <c r="D7" s="307"/>
      <c r="E7" s="1076" t="s">
        <v>697</v>
      </c>
      <c r="F7" s="303">
        <f ca="1">IF(INDIRECT("'数据-取费表'!ah"&amp;$G$1)="",INDIRECT("'数据-取费表'!k"&amp;$G$1),INDIRECT("'数据-取费表'!ah"&amp;$G$1))</f>
        <v>3017.9</v>
      </c>
      <c r="G7" s="1384"/>
      <c r="H7" s="304"/>
      <c r="I7" s="3672"/>
      <c r="J7" s="306"/>
      <c r="K7" s="307"/>
      <c r="L7" s="302" t="s">
        <v>697</v>
      </c>
      <c r="M7" s="303">
        <f ca="1">F7</f>
        <v>3017.9</v>
      </c>
    </row>
    <row r="8" spans="1:37" ht="18" customHeight="1">
      <c r="A8" s="304"/>
      <c r="B8" s="3672"/>
      <c r="C8" s="306"/>
      <c r="D8" s="307"/>
      <c r="E8" s="302" t="s">
        <v>698</v>
      </c>
      <c r="F8" s="303">
        <f ca="1">INDIRECT("'数据-取费表'!ai"&amp;$G$1)</f>
        <v>365</v>
      </c>
      <c r="G8" s="1384"/>
      <c r="H8" s="304"/>
      <c r="I8" s="3672"/>
      <c r="J8" s="306"/>
      <c r="K8" s="307"/>
      <c r="L8" s="302" t="s">
        <v>698</v>
      </c>
      <c r="M8" s="303">
        <f ca="1">INDIRECT("'数据-取费表'!ai"&amp;$G$1)</f>
        <v>365</v>
      </c>
    </row>
    <row r="9" spans="1:37" ht="18" customHeight="1">
      <c r="A9" s="304"/>
      <c r="B9" s="3673"/>
      <c r="C9" s="306"/>
      <c r="D9" s="307"/>
      <c r="E9" s="302" t="s">
        <v>699</v>
      </c>
      <c r="F9" s="312">
        <f ca="1">INDIRECT("'数据-取费表'!w"&amp;$G$1)</f>
        <v>0.1</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1529</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1207</v>
      </c>
      <c r="D14" s="1345" t="s">
        <v>708</v>
      </c>
      <c r="E14" s="1342"/>
      <c r="F14" s="319"/>
      <c r="G14" s="1384"/>
      <c r="H14" s="982" t="s">
        <v>398</v>
      </c>
      <c r="I14" s="302" t="s">
        <v>709</v>
      </c>
      <c r="J14" s="21">
        <f ca="1">C29</f>
        <v>1737</v>
      </c>
      <c r="K14" s="12"/>
      <c r="L14" s="807"/>
      <c r="M14" s="808"/>
    </row>
    <row r="15" spans="1:37" s="1397" customFormat="1" ht="18" customHeight="1" thickBot="1">
      <c r="A15" s="982" t="s">
        <v>399</v>
      </c>
      <c r="B15" s="302" t="s">
        <v>710</v>
      </c>
      <c r="C15" s="21">
        <f ca="1">ROUND(C14*F15,0)</f>
        <v>36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17</v>
      </c>
      <c r="K16" s="1087" t="s">
        <v>715</v>
      </c>
      <c r="L16" s="1088"/>
      <c r="M16" s="1072"/>
    </row>
    <row r="17" spans="1:37" s="1397" customFormat="1" ht="18" customHeight="1">
      <c r="A17" s="982" t="s">
        <v>681</v>
      </c>
      <c r="B17" s="302" t="s">
        <v>716</v>
      </c>
      <c r="C17" s="21">
        <f ca="1">ROUND(F17*(F43+INDIRECT("'数据-取费表'!S"&amp;$G$1))/10000,0)</f>
        <v>60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18</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1321</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26</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17.37</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56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-17</v>
      </c>
      <c r="K25" s="1095" t="s">
        <v>753</v>
      </c>
      <c r="L25" s="1096"/>
      <c r="M25" s="1097"/>
    </row>
    <row r="26" spans="1:37">
      <c r="A26" s="982" t="s">
        <v>397</v>
      </c>
      <c r="B26" s="302" t="s">
        <v>754</v>
      </c>
      <c r="C26" s="21">
        <f ca="1">ROUND((C19+C20)*F26,0)</f>
        <v>202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1737</v>
      </c>
      <c r="D29" s="1092"/>
      <c r="E29" s="1090"/>
      <c r="F29" s="1093"/>
      <c r="G29" s="1396"/>
      <c r="H29" s="334" t="s">
        <v>396</v>
      </c>
      <c r="I29" s="335" t="s">
        <v>768</v>
      </c>
      <c r="J29" s="336">
        <f ca="1">ROUND(J26/(1+F40)^F41,0)</f>
        <v>0</v>
      </c>
      <c r="K29" s="337" t="s">
        <v>769</v>
      </c>
      <c r="L29" s="338"/>
      <c r="M29" s="339">
        <f ca="1">INDIRECT("'数据-取费表'!k"&amp;$G$1)</f>
        <v>3017.9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49.5</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15.56</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33.94</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17.37</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1.53</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2.97</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226</v>
      </c>
      <c r="D39" s="1095" t="s">
        <v>773</v>
      </c>
      <c r="E39" s="1096"/>
      <c r="F39" s="1097"/>
      <c r="G39" s="1384"/>
      <c r="H39" s="2700"/>
      <c r="I39" s="1398"/>
      <c r="J39" s="1399"/>
      <c r="K39" s="2704"/>
      <c r="L39" s="2700"/>
      <c r="M39" s="2700"/>
    </row>
    <row r="40" spans="1:18" ht="18" customHeight="1">
      <c r="A40" s="299" t="s">
        <v>395</v>
      </c>
      <c r="B40" s="300" t="s">
        <v>774</v>
      </c>
      <c r="C40" s="301">
        <f ca="1">ROUND(C39*(1-((1+F42)/(1+F40))^F41)/(F40-F42),0)</f>
        <v>5198</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40.6</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17224</v>
      </c>
      <c r="D43" s="337" t="s">
        <v>777</v>
      </c>
      <c r="E43" s="338" t="s">
        <v>778</v>
      </c>
      <c r="F43" s="339">
        <f ca="1">INDIRECT("'数据-取费表'!k"&amp;$G$1)</f>
        <v>3017.9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-5504</v>
      </c>
      <c r="D46" s="1406" t="str">
        <f>C2</f>
        <v>万元</v>
      </c>
      <c r="E46" s="1400"/>
      <c r="F46" s="1400"/>
      <c r="I46" s="1407" t="s">
        <v>810</v>
      </c>
      <c r="J46" s="1408"/>
      <c r="K46" s="1409"/>
      <c r="L46" s="1410">
        <f ca="1">IF(M47="住宅",0,IF(L48&gt;J51,L60,J60))</f>
        <v>37</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3390</v>
      </c>
      <c r="K47" s="1416" t="s">
        <v>816</v>
      </c>
      <c r="L47" s="1417">
        <f ca="1">INDIRECT("'数据-取费表'!d"&amp;$G$1)</f>
        <v>50</v>
      </c>
      <c r="M47" s="1380" t="str">
        <f>IF(ISNUMBER(FIND("住宅",C1)),"住宅","非住宅")</f>
        <v>非住宅</v>
      </c>
      <c r="O47" s="1418" t="s">
        <v>403</v>
      </c>
      <c r="P47" s="1419" t="s">
        <v>817</v>
      </c>
      <c r="Q47" s="1420">
        <f ca="1">C40+J29</f>
        <v>5198</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40.6</v>
      </c>
      <c r="O48" s="1418" t="s">
        <v>404</v>
      </c>
      <c r="P48" s="1419" t="s">
        <v>821</v>
      </c>
      <c r="Q48" s="1420">
        <f ca="1">J60</f>
        <v>37</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2016</v>
      </c>
      <c r="K49" s="1423" t="s">
        <v>824</v>
      </c>
      <c r="L49" s="1427"/>
      <c r="O49" s="1428" t="s">
        <v>405</v>
      </c>
      <c r="P49" s="1419" t="s">
        <v>825</v>
      </c>
      <c r="Q49" s="1420">
        <f ca="1">C29</f>
        <v>1737</v>
      </c>
      <c r="R49" s="1420" t="s">
        <v>818</v>
      </c>
    </row>
    <row r="50" spans="1:18" s="1384" customFormat="1" ht="13.5" thickBot="1">
      <c r="A50" s="976"/>
      <c r="B50" s="979"/>
      <c r="C50" s="1118"/>
      <c r="D50" s="953"/>
      <c r="E50" s="1056" t="s">
        <v>697</v>
      </c>
      <c r="F50" s="1057">
        <f ca="1">F7</f>
        <v>3017.9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2200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40.6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40.6</v>
      </c>
      <c r="K53" s="3669" t="s">
        <v>837</v>
      </c>
      <c r="L53" s="3670"/>
      <c r="O53" s="1418" t="s">
        <v>409</v>
      </c>
      <c r="P53" s="1419" t="s">
        <v>838</v>
      </c>
      <c r="Q53" s="1420">
        <f ca="1">Q47+Q48</f>
        <v>5235</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0.20699999999999999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1529</v>
      </c>
      <c r="D56" s="1447"/>
      <c r="E56" s="1448"/>
      <c r="F56" s="1440"/>
      <c r="I56" s="1449" t="s">
        <v>842</v>
      </c>
      <c r="J56" s="1450" t="s">
        <v>3392</v>
      </c>
      <c r="K56" s="1421" t="s">
        <v>843</v>
      </c>
      <c r="L56" s="1424" t="str">
        <f ca="1">IF(L48&lt;J51,"——",L48-J53)</f>
        <v>——</v>
      </c>
      <c r="O56" s="1418" t="s">
        <v>403</v>
      </c>
      <c r="P56" s="1419" t="s">
        <v>817</v>
      </c>
      <c r="Q56" s="1420">
        <f ca="1">C40+J29</f>
        <v>5198</v>
      </c>
      <c r="R56" s="1420" t="s">
        <v>818</v>
      </c>
    </row>
    <row r="57" spans="1:18" s="1384" customFormat="1" ht="24.75" thickBot="1">
      <c r="A57" s="1451"/>
      <c r="B57" s="950" t="s">
        <v>767</v>
      </c>
      <c r="C57" s="238">
        <f ca="1">C29</f>
        <v>1737</v>
      </c>
      <c r="D57" s="1452"/>
      <c r="E57" s="1453"/>
      <c r="F57" s="1454"/>
      <c r="I57" s="1455" t="s">
        <v>844</v>
      </c>
      <c r="J57" s="1456">
        <f ca="1">IF(OR(M47="住宅",J51&lt;L48,J56="是"),"——",J51-L48)</f>
        <v>12.399999999999999</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695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5198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17.37</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1.53</v>
      </c>
      <c r="D65" s="964" t="s">
        <v>743</v>
      </c>
      <c r="E65" s="950" t="s">
        <v>744</v>
      </c>
      <c r="F65" s="330">
        <f t="shared" ca="1" si="0"/>
        <v>1E-3</v>
      </c>
      <c r="I65" s="1462" t="s">
        <v>867</v>
      </c>
      <c r="J65" s="1463">
        <v>40</v>
      </c>
      <c r="K65" s="1463">
        <v>30</v>
      </c>
      <c r="L65" s="1463">
        <v>50</v>
      </c>
      <c r="M65" s="1465">
        <v>0.02</v>
      </c>
      <c r="O65" s="1418" t="s">
        <v>403</v>
      </c>
      <c r="P65" s="1419" t="s">
        <v>868</v>
      </c>
      <c r="Q65" s="1420">
        <f ca="1">C40+J29</f>
        <v>5198</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2200</v>
      </c>
      <c r="R67" s="1420" t="s">
        <v>870</v>
      </c>
    </row>
    <row r="68" spans="1:18" s="1384" customFormat="1" ht="16.5" thickBot="1">
      <c r="A68" s="947" t="s">
        <v>395</v>
      </c>
      <c r="B68" s="948" t="s">
        <v>774</v>
      </c>
      <c r="C68" s="301">
        <f ca="1">ROUND(C67*(1-((1+F70)/(1+F68))^F69)/(F68-F70),0)</f>
        <v>-306</v>
      </c>
      <c r="D68" s="965" t="s">
        <v>758</v>
      </c>
      <c r="E68" s="950" t="s">
        <v>759</v>
      </c>
      <c r="F68" s="312">
        <f ca="1">F40</f>
        <v>5.5E-2</v>
      </c>
      <c r="O68" s="1428" t="s">
        <v>406</v>
      </c>
      <c r="P68" s="1467" t="s">
        <v>871</v>
      </c>
      <c r="Q68" s="1420">
        <f ca="1">ROUND(Q69-Q70*Q71,0)</f>
        <v>119</v>
      </c>
      <c r="R68" s="1420" t="s">
        <v>414</v>
      </c>
    </row>
    <row r="69" spans="1:18" s="1384" customFormat="1" ht="13.5" thickBot="1">
      <c r="A69" s="951"/>
      <c r="B69" s="952"/>
      <c r="C69" s="306"/>
      <c r="D69" s="970" t="s">
        <v>762</v>
      </c>
      <c r="E69" s="950" t="s">
        <v>763</v>
      </c>
      <c r="F69" s="333">
        <f ca="1">F41</f>
        <v>40.6</v>
      </c>
      <c r="O69" s="1428" t="s">
        <v>411</v>
      </c>
      <c r="P69" s="1467" t="s">
        <v>872</v>
      </c>
      <c r="Q69" s="1420">
        <f ca="1">C39</f>
        <v>226</v>
      </c>
      <c r="R69" s="1420" t="s">
        <v>818</v>
      </c>
    </row>
    <row r="70" spans="1:18" s="1384" customFormat="1" ht="13.5" thickBot="1">
      <c r="A70" s="954"/>
      <c r="B70" s="955"/>
      <c r="C70" s="310"/>
      <c r="D70" s="966"/>
      <c r="E70" s="950" t="s">
        <v>766</v>
      </c>
      <c r="F70" s="1054"/>
      <c r="O70" s="1428" t="s">
        <v>412</v>
      </c>
      <c r="P70" s="1467" t="s">
        <v>873</v>
      </c>
      <c r="Q70" s="1420">
        <f ca="1">C13</f>
        <v>1529</v>
      </c>
      <c r="R70" s="1420" t="s">
        <v>818</v>
      </c>
    </row>
    <row r="71" spans="1:18" s="1384" customFormat="1" ht="13.5" thickBot="1">
      <c r="A71" s="971" t="s">
        <v>396</v>
      </c>
      <c r="B71" s="972" t="s">
        <v>776</v>
      </c>
      <c r="C71" s="336">
        <f ca="1">ROUND(C68*10000/F71,0)</f>
        <v>-1014</v>
      </c>
      <c r="D71" s="973" t="s">
        <v>777</v>
      </c>
      <c r="E71" s="974" t="s">
        <v>778</v>
      </c>
      <c r="F71" s="339">
        <f ca="1">F43</f>
        <v>3017.9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107</v>
      </c>
      <c r="D75" s="1384"/>
      <c r="E75" s="1384"/>
      <c r="F75" s="1384"/>
      <c r="K75" s="1402"/>
      <c r="L75" s="1384"/>
      <c r="O75" s="1418" t="s">
        <v>409</v>
      </c>
      <c r="P75" s="1419" t="s">
        <v>838</v>
      </c>
      <c r="Q75" s="1420">
        <f ca="1">Q65+Q66</f>
        <v>5198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0.52700000000000002</v>
      </c>
    </row>
    <row r="80" spans="1:18">
      <c r="B80" s="340" t="s">
        <v>800</v>
      </c>
      <c r="C80" s="274">
        <f ca="1">ROUND(C75/C39,3)</f>
        <v>0.47299999999999998</v>
      </c>
    </row>
    <row r="81" spans="2:3">
      <c r="B81" s="270" t="s">
        <v>801</v>
      </c>
      <c r="C81" s="238"/>
    </row>
    <row r="82" spans="2:3">
      <c r="B82" s="273" t="s">
        <v>802</v>
      </c>
      <c r="C82" s="275">
        <f ca="1">1-C83</f>
        <v>0.70599999999999996</v>
      </c>
    </row>
    <row r="83" spans="2:3">
      <c r="B83" s="273" t="s">
        <v>803</v>
      </c>
      <c r="C83" s="274">
        <f ca="1">ROUND(C13/C40,3)</f>
        <v>0.29399999999999998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1" t="s">
        <v>694</v>
      </c>
      <c r="C6" s="1074">
        <f ca="1">ROUND(F6*F8*F7*(1-F9),0)</f>
        <v>0</v>
      </c>
      <c r="D6" s="155" t="s">
        <v>2106</v>
      </c>
      <c r="E6" s="302" t="s">
        <v>696</v>
      </c>
      <c r="F6" s="303">
        <f ca="1">INDIRECT("'数据-取费表'!u"&amp;$G$1)</f>
        <v>0</v>
      </c>
      <c r="G6" s="1384"/>
      <c r="H6" s="1069" t="s">
        <v>398</v>
      </c>
      <c r="I6" s="3671" t="s">
        <v>694</v>
      </c>
      <c r="J6" s="301">
        <f ca="1">ROUND(M6*M8*M7*(1-M9),0)</f>
        <v>0</v>
      </c>
      <c r="K6" s="1376" t="s">
        <v>2107</v>
      </c>
      <c r="L6" s="302" t="s">
        <v>696</v>
      </c>
      <c r="M6" s="303">
        <f ca="1">INDIRECT("'数据-取费表'!z"&amp;$G$1)</f>
        <v>0</v>
      </c>
    </row>
    <row r="7" spans="1:37" ht="18" customHeight="1">
      <c r="A7" s="1073"/>
      <c r="B7" s="3672"/>
      <c r="C7" s="1075"/>
      <c r="D7" s="307"/>
      <c r="E7" s="1076" t="s">
        <v>697</v>
      </c>
      <c r="F7" s="303">
        <f ca="1">IF(INDIRECT("'数据-取费表'!ah"&amp;$G$1)="",INDIRECT("'数据-取费表'!k"&amp;$G$1),INDIRECT("'数据-取费表'!ah"&amp;$G$1))</f>
        <v>0</v>
      </c>
      <c r="G7" s="1384"/>
      <c r="H7" s="304"/>
      <c r="I7" s="3672"/>
      <c r="J7" s="306"/>
      <c r="K7" s="307"/>
      <c r="L7" s="302" t="s">
        <v>697</v>
      </c>
      <c r="M7" s="303">
        <f ca="1">F7</f>
        <v>0</v>
      </c>
    </row>
    <row r="8" spans="1:37" ht="18" customHeight="1">
      <c r="A8" s="304"/>
      <c r="B8" s="3672"/>
      <c r="C8" s="306"/>
      <c r="D8" s="307"/>
      <c r="E8" s="302" t="s">
        <v>698</v>
      </c>
      <c r="F8" s="303">
        <f ca="1">INDIRECT("'数据-取费表'!ai"&amp;$G$1)</f>
        <v>0</v>
      </c>
      <c r="G8" s="1384"/>
      <c r="H8" s="304"/>
      <c r="I8" s="3672"/>
      <c r="J8" s="306"/>
      <c r="K8" s="307"/>
      <c r="L8" s="302" t="s">
        <v>698</v>
      </c>
      <c r="M8" s="303">
        <f ca="1">INDIRECT("'数据-取费表'!ai"&amp;$G$1)</f>
        <v>0</v>
      </c>
    </row>
    <row r="9" spans="1:37" ht="18" customHeight="1">
      <c r="A9" s="304"/>
      <c r="B9" s="3673"/>
      <c r="C9" s="306"/>
      <c r="D9" s="307"/>
      <c r="E9" s="302" t="s">
        <v>699</v>
      </c>
      <c r="F9" s="312">
        <f ca="1">INDIRECT("'数据-取费表'!w"&amp;$G$1)</f>
        <v>0</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9" t="s">
        <v>837</v>
      </c>
      <c r="L53" s="367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2" priority="4">
      <formula>$L$48&gt;$J$51</formula>
    </cfRule>
  </conditionalFormatting>
  <conditionalFormatting sqref="I55 I60">
    <cfRule type="expression" dxfId="181" priority="5">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3365</v>
      </c>
      <c r="E2" s="3444"/>
      <c r="F2" s="2846"/>
      <c r="G2" s="2847"/>
      <c r="H2" s="2848"/>
      <c r="I2" s="2849"/>
      <c r="J2" s="3680" t="s">
        <v>2320</v>
      </c>
      <c r="K2" s="368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82" t="s">
        <v>2330</v>
      </c>
      <c r="K3" s="368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82" t="s">
        <v>2332</v>
      </c>
      <c r="K4" s="368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88" t="s">
        <v>2336</v>
      </c>
      <c r="B6" s="3689"/>
      <c r="C6" s="3690"/>
      <c r="D6" s="2870"/>
      <c r="E6" s="2871"/>
      <c r="F6" s="2872"/>
      <c r="G6" s="2873"/>
      <c r="H6" s="2848"/>
      <c r="I6" s="2849"/>
      <c r="J6" s="3674">
        <v>1</v>
      </c>
      <c r="K6" s="3675"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74"/>
      <c r="K7" s="3676"/>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91" t="s">
        <v>2350</v>
      </c>
      <c r="C8" s="3692"/>
      <c r="D8" s="2889" t="s">
        <v>2351</v>
      </c>
      <c r="E8" s="2890" t="s">
        <v>2352</v>
      </c>
      <c r="F8" s="2891" t="s">
        <v>2353</v>
      </c>
      <c r="G8" s="2892"/>
      <c r="H8" s="2848"/>
      <c r="I8" s="2849"/>
      <c r="J8" s="3674"/>
      <c r="K8" s="3676"/>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91" t="s">
        <v>2356</v>
      </c>
      <c r="C9" s="3692"/>
      <c r="D9" s="2889">
        <f>ROUND(D6*E9,0)</f>
        <v>0</v>
      </c>
      <c r="E9" s="2893"/>
      <c r="F9" s="2894" t="s">
        <v>2357</v>
      </c>
      <c r="G9" s="2873"/>
      <c r="H9" s="2848"/>
      <c r="I9" s="2849"/>
      <c r="J9" s="3674"/>
      <c r="K9" s="3676"/>
      <c r="L9" s="2883" t="s">
        <v>2358</v>
      </c>
      <c r="M9" s="2884"/>
      <c r="N9" s="2860"/>
      <c r="O9" s="2885"/>
      <c r="P9" s="2885"/>
      <c r="Q9" s="2886">
        <v>365</v>
      </c>
      <c r="R9" s="2887">
        <f t="shared" si="0"/>
        <v>0</v>
      </c>
      <c r="S9" s="2841"/>
      <c r="T9" s="2841"/>
      <c r="U9" s="2841"/>
      <c r="V9" s="2849"/>
    </row>
    <row r="10" spans="1:22" s="2853" customFormat="1" ht="13.15" customHeight="1">
      <c r="A10" s="2888">
        <v>2</v>
      </c>
      <c r="B10" s="3691" t="s">
        <v>2359</v>
      </c>
      <c r="C10" s="3692"/>
      <c r="D10" s="2889">
        <f>ROUND(D6*E10,0)</f>
        <v>0</v>
      </c>
      <c r="E10" s="2893"/>
      <c r="F10" s="2894" t="s">
        <v>2360</v>
      </c>
      <c r="G10" s="2873"/>
      <c r="H10" s="2848"/>
      <c r="I10" s="2849"/>
      <c r="J10" s="3674"/>
      <c r="K10" s="3676"/>
      <c r="L10" s="2883" t="s">
        <v>2361</v>
      </c>
      <c r="M10" s="2884"/>
      <c r="N10" s="2860"/>
      <c r="O10" s="2885"/>
      <c r="P10" s="2885"/>
      <c r="Q10" s="2886">
        <v>365</v>
      </c>
      <c r="R10" s="2887">
        <f t="shared" si="0"/>
        <v>0</v>
      </c>
      <c r="S10" s="2841"/>
      <c r="T10" s="2841"/>
      <c r="U10" s="2841"/>
      <c r="V10" s="2849"/>
    </row>
    <row r="11" spans="1:22" s="2853" customFormat="1" ht="13.15" customHeight="1">
      <c r="A11" s="2888">
        <v>3</v>
      </c>
      <c r="B11" s="3691" t="s">
        <v>2362</v>
      </c>
      <c r="C11" s="3692"/>
      <c r="D11" s="2889">
        <f>D12+D14+D15+D16</f>
        <v>0</v>
      </c>
      <c r="E11" s="2895" t="e">
        <f>D11/D6</f>
        <v>#DIV/0!</v>
      </c>
      <c r="F11" s="2891"/>
      <c r="G11" s="2892"/>
      <c r="H11" s="2848"/>
      <c r="I11" s="2849"/>
      <c r="J11" s="3674"/>
      <c r="K11" s="3676"/>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84" t="s">
        <v>2365</v>
      </c>
      <c r="C12" s="3685"/>
      <c r="D12" s="2897">
        <f>ROUND(D13*1.2%*(1-30%),0)</f>
        <v>0</v>
      </c>
      <c r="E12" s="2898">
        <v>1.2E-2</v>
      </c>
      <c r="F12" s="2891" t="s">
        <v>2366</v>
      </c>
      <c r="G12" s="2892"/>
      <c r="H12" s="2848"/>
      <c r="I12" s="2849"/>
      <c r="J12" s="3674"/>
      <c r="K12" s="3676"/>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74"/>
      <c r="K13" s="3676"/>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84" t="s">
        <v>2371</v>
      </c>
      <c r="C14" s="3685"/>
      <c r="D14" s="2897">
        <f>ROUND(E14*B5/10000,0)</f>
        <v>0</v>
      </c>
      <c r="E14" s="2886"/>
      <c r="F14" s="2891" t="s">
        <v>2372</v>
      </c>
      <c r="G14" s="2892"/>
      <c r="H14" s="2848"/>
      <c r="I14" s="2849"/>
      <c r="J14" s="3674"/>
      <c r="K14" s="3677"/>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84" t="s">
        <v>2375</v>
      </c>
      <c r="C15" s="3685"/>
      <c r="D15" s="2897">
        <f>ROUND(D6*E15,0)</f>
        <v>0</v>
      </c>
      <c r="E15" s="2898">
        <v>5.5E-2</v>
      </c>
      <c r="F15" s="2891" t="s">
        <v>2376</v>
      </c>
      <c r="G15" s="2873"/>
      <c r="H15" s="2848"/>
      <c r="I15" s="2849"/>
      <c r="J15" s="3674">
        <v>2</v>
      </c>
      <c r="K15" s="3675"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84" t="s">
        <v>2384</v>
      </c>
      <c r="C16" s="3685"/>
      <c r="D16" s="2908">
        <f>D6*E16</f>
        <v>0</v>
      </c>
      <c r="E16" s="2909"/>
      <c r="F16" s="2894" t="s">
        <v>2385</v>
      </c>
      <c r="G16" s="2873"/>
      <c r="H16" s="2848"/>
      <c r="I16" s="2849"/>
      <c r="J16" s="3674"/>
      <c r="K16" s="3676"/>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86" t="s">
        <v>2387</v>
      </c>
      <c r="C17" s="3687"/>
      <c r="D17" s="2911">
        <f>ROUND(D6*E17,0)</f>
        <v>0</v>
      </c>
      <c r="E17" s="2912"/>
      <c r="F17" s="2913" t="s">
        <v>2388</v>
      </c>
      <c r="G17" s="2873"/>
      <c r="H17" s="2848"/>
      <c r="I17" s="2849"/>
      <c r="J17" s="3674"/>
      <c r="K17" s="3676"/>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74"/>
      <c r="K18" s="3676"/>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74"/>
      <c r="K19" s="3677"/>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74">
        <v>3</v>
      </c>
      <c r="K20" s="3675"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74"/>
      <c r="K21" s="3676"/>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74"/>
      <c r="K22" s="3676"/>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74"/>
      <c r="K23" s="3676"/>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74"/>
      <c r="K24" s="3677"/>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7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7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80" t="s">
        <v>2320</v>
      </c>
      <c r="K32" s="368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82" t="s">
        <v>2330</v>
      </c>
      <c r="K33" s="368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82" t="s">
        <v>2332</v>
      </c>
      <c r="K34" s="368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74">
        <v>1</v>
      </c>
      <c r="K36" s="3675"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74"/>
      <c r="K37" s="3676"/>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74"/>
      <c r="K38" s="3676"/>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74"/>
      <c r="K39" s="3676"/>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74"/>
      <c r="K40" s="3677"/>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7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9482</v>
      </c>
      <c r="C2" s="1872" t="s">
        <v>1651</v>
      </c>
      <c r="D2" s="1873" t="s">
        <v>1652</v>
      </c>
      <c r="E2" s="2607">
        <f>SUM(E6:E13)</f>
        <v>5033.37</v>
      </c>
      <c r="F2" s="2707"/>
      <c r="G2" s="1489"/>
      <c r="H2" s="1489"/>
      <c r="I2" s="1489"/>
      <c r="J2" s="1489"/>
      <c r="K2" s="1489"/>
      <c r="L2" s="1489"/>
      <c r="M2" s="1489"/>
      <c r="N2" s="1489"/>
      <c r="O2" s="1489"/>
      <c r="P2" s="1489"/>
      <c r="Q2" s="1489"/>
      <c r="R2" s="1489"/>
      <c r="S2" s="1489"/>
    </row>
    <row r="3" spans="1:22" ht="15.75">
      <c r="A3" s="1870" t="s">
        <v>686</v>
      </c>
      <c r="B3" s="2601">
        <f ca="1">ROUND(B2*10000/E2,0)</f>
        <v>18838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93" t="s">
        <v>1654</v>
      </c>
      <c r="C5" s="369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5235</v>
      </c>
      <c r="C6" s="1872" t="s">
        <v>1651</v>
      </c>
      <c r="D6" s="2709"/>
      <c r="E6" s="2606">
        <f>IF(OR(A6=0,F6="否"),0,'数据-取费表'!K6+'数据-取费表'!S6)</f>
        <v>3017.9</v>
      </c>
      <c r="F6" s="1876" t="s">
        <v>1657</v>
      </c>
      <c r="G6" s="1489"/>
      <c r="H6" s="1489"/>
      <c r="I6" s="1489"/>
      <c r="J6" s="1489"/>
      <c r="K6" s="1489"/>
      <c r="L6" s="1489"/>
      <c r="M6" s="1489"/>
      <c r="N6" s="1489"/>
      <c r="O6" s="1489"/>
      <c r="P6" s="1489"/>
      <c r="Q6" s="1489"/>
      <c r="R6" s="1489"/>
      <c r="S6" s="1489"/>
    </row>
    <row r="7" spans="1:22">
      <c r="A7" s="2604" t="str">
        <f>'数据-取费表'!AN7</f>
        <v>收益法-商业</v>
      </c>
      <c r="B7" s="2602">
        <f ca="1">IF(F7="是",'数据-取费表'!AO7,0)</f>
        <v>4247</v>
      </c>
      <c r="C7" s="1872" t="s">
        <v>1651</v>
      </c>
      <c r="D7" s="2709"/>
      <c r="E7" s="2606">
        <f>IF(OR(A7=0,F7="否"),0,'数据-取费表'!K7+'数据-取费表'!S7)</f>
        <v>2015.47</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5033.37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3" t="s">
        <v>1667</v>
      </c>
      <c r="D4" s="3714"/>
      <c r="E4" s="3715" t="s">
        <v>1668</v>
      </c>
      <c r="F4" s="3716"/>
      <c r="G4" s="3713" t="s">
        <v>1669</v>
      </c>
      <c r="H4" s="3714"/>
      <c r="I4" s="3713" t="s">
        <v>1670</v>
      </c>
      <c r="J4" s="3714"/>
      <c r="K4" s="1889" t="s">
        <v>1671</v>
      </c>
      <c r="L4" s="2715"/>
      <c r="M4" s="2716"/>
      <c r="N4" s="2716"/>
      <c r="O4" s="2716"/>
      <c r="P4" s="3717" t="s">
        <v>1672</v>
      </c>
      <c r="Q4" s="3718"/>
      <c r="R4" s="3723" t="s">
        <v>1668</v>
      </c>
      <c r="S4" s="3724"/>
      <c r="T4" s="3723" t="s">
        <v>1669</v>
      </c>
      <c r="U4" s="3724"/>
      <c r="V4" s="3729" t="s">
        <v>1670</v>
      </c>
      <c r="W4" s="3729"/>
      <c r="X4" s="1355"/>
      <c r="Y4" s="3723" t="s">
        <v>1672</v>
      </c>
      <c r="Z4" s="3724"/>
      <c r="AA4" s="3710" t="s">
        <v>1668</v>
      </c>
      <c r="AB4" s="3710" t="s">
        <v>1669</v>
      </c>
      <c r="AC4" s="3710" t="s">
        <v>1670</v>
      </c>
    </row>
    <row r="5" spans="1:29" ht="15">
      <c r="A5" s="358"/>
      <c r="B5" s="359"/>
      <c r="C5" s="3732" t="s">
        <v>1673</v>
      </c>
      <c r="D5" s="3733"/>
      <c r="E5" s="3739" t="s">
        <v>1674</v>
      </c>
      <c r="F5" s="3740"/>
      <c r="G5" s="3732" t="s">
        <v>1675</v>
      </c>
      <c r="H5" s="3733"/>
      <c r="I5" s="3732" t="s">
        <v>1676</v>
      </c>
      <c r="J5" s="3733"/>
      <c r="K5" s="1890"/>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1890"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44959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34" t="s">
        <v>1680</v>
      </c>
      <c r="Q7" s="3736"/>
      <c r="R7" s="701" t="s">
        <v>20</v>
      </c>
      <c r="S7" s="702">
        <f t="shared" ref="S7:S15" si="0">F7</f>
        <v>0</v>
      </c>
      <c r="T7" s="701" t="s">
        <v>20</v>
      </c>
      <c r="U7" s="702">
        <f t="shared" ref="U7:U15" si="1">H7</f>
        <v>0</v>
      </c>
      <c r="V7" s="701" t="s">
        <v>20</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34" t="s">
        <v>1683</v>
      </c>
      <c r="Q8" s="3735"/>
      <c r="R8" s="701" t="s">
        <v>20</v>
      </c>
      <c r="S8" s="702">
        <f t="shared" si="0"/>
        <v>100</v>
      </c>
      <c r="T8" s="701" t="s">
        <v>20</v>
      </c>
      <c r="U8" s="702">
        <f t="shared" si="1"/>
        <v>100</v>
      </c>
      <c r="V8" s="701" t="s">
        <v>20</v>
      </c>
      <c r="W8" s="702">
        <f t="shared" si="2"/>
        <v>100</v>
      </c>
      <c r="X8" s="703"/>
      <c r="Y8" s="3734" t="s">
        <v>1683</v>
      </c>
      <c r="Z8" s="373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9"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9"/>
      <c r="Q11" s="1343" t="str">
        <f t="shared" si="6"/>
        <v>容积率</v>
      </c>
      <c r="R11" s="701" t="s">
        <v>18</v>
      </c>
      <c r="S11" s="702" t="e">
        <f t="shared" si="0"/>
        <v>#N/A</v>
      </c>
      <c r="T11" s="701" t="s">
        <v>18</v>
      </c>
      <c r="U11" s="702" t="e">
        <f t="shared" si="1"/>
        <v>#N/A</v>
      </c>
      <c r="V11" s="701" t="s">
        <v>18</v>
      </c>
      <c r="W11" s="702" t="e">
        <f t="shared" si="2"/>
        <v>#N/A</v>
      </c>
      <c r="X11" s="703"/>
      <c r="Y11" s="357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9"/>
      <c r="Q12" s="1343">
        <f t="shared" si="6"/>
        <v>111</v>
      </c>
      <c r="R12" s="701" t="s">
        <v>18</v>
      </c>
      <c r="S12" s="702">
        <f t="shared" si="0"/>
        <v>100</v>
      </c>
      <c r="T12" s="701" t="s">
        <v>18</v>
      </c>
      <c r="U12" s="702">
        <f t="shared" si="1"/>
        <v>100</v>
      </c>
      <c r="V12" s="701" t="s">
        <v>18</v>
      </c>
      <c r="W12" s="702">
        <f t="shared" si="2"/>
        <v>100</v>
      </c>
      <c r="X12" s="703"/>
      <c r="Y12" s="357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9"/>
      <c r="Q13" s="1343">
        <f t="shared" si="6"/>
        <v>111</v>
      </c>
      <c r="R13" s="701" t="s">
        <v>18</v>
      </c>
      <c r="S13" s="702">
        <f t="shared" si="0"/>
        <v>100</v>
      </c>
      <c r="T13" s="701" t="s">
        <v>18</v>
      </c>
      <c r="U13" s="702">
        <f t="shared" si="1"/>
        <v>100</v>
      </c>
      <c r="V13" s="701" t="s">
        <v>18</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9"/>
      <c r="Q14" s="1343">
        <f t="shared" si="6"/>
        <v>111</v>
      </c>
      <c r="R14" s="701" t="s">
        <v>18</v>
      </c>
      <c r="S14" s="702">
        <f t="shared" si="0"/>
        <v>100</v>
      </c>
      <c r="T14" s="701" t="s">
        <v>18</v>
      </c>
      <c r="U14" s="702">
        <f t="shared" si="1"/>
        <v>100</v>
      </c>
      <c r="V14" s="701" t="s">
        <v>18</v>
      </c>
      <c r="W14" s="702">
        <f t="shared" si="2"/>
        <v>100</v>
      </c>
      <c r="X14" s="703"/>
      <c r="Y14" s="357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7" t="s">
        <v>1691</v>
      </c>
      <c r="Q15" s="1352" t="str">
        <f t="shared" si="6"/>
        <v>居住社区成熟度</v>
      </c>
      <c r="R15" s="705" t="s">
        <v>18</v>
      </c>
      <c r="S15" s="706">
        <f t="shared" si="0"/>
        <v>100</v>
      </c>
      <c r="T15" s="705" t="s">
        <v>18</v>
      </c>
      <c r="U15" s="706">
        <f t="shared" si="1"/>
        <v>100</v>
      </c>
      <c r="V15" s="705" t="s">
        <v>18</v>
      </c>
      <c r="W15" s="706">
        <f t="shared" si="2"/>
        <v>100</v>
      </c>
      <c r="X15" s="1355"/>
      <c r="Y15" s="370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8"/>
      <c r="Q16" s="1352"/>
      <c r="R16" s="705"/>
      <c r="S16" s="706"/>
      <c r="T16" s="705"/>
      <c r="U16" s="706"/>
      <c r="V16" s="705"/>
      <c r="W16" s="706"/>
      <c r="X16" s="1355"/>
      <c r="Y16" s="370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8"/>
      <c r="Q17" s="1352" t="str">
        <f>B17</f>
        <v>交通便捷度</v>
      </c>
      <c r="R17" s="705" t="s">
        <v>18</v>
      </c>
      <c r="S17" s="706">
        <f>F17</f>
        <v>100</v>
      </c>
      <c r="T17" s="705" t="s">
        <v>18</v>
      </c>
      <c r="U17" s="706">
        <f>H17</f>
        <v>100</v>
      </c>
      <c r="V17" s="705" t="s">
        <v>18</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8"/>
      <c r="Q18" s="1352"/>
      <c r="R18" s="705"/>
      <c r="S18" s="706"/>
      <c r="T18" s="705"/>
      <c r="U18" s="706"/>
      <c r="V18" s="705"/>
      <c r="W18" s="706"/>
      <c r="X18" s="1355"/>
      <c r="Y18" s="370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8"/>
      <c r="Q19" s="1352" t="str">
        <f>B19</f>
        <v>公共配套设施</v>
      </c>
      <c r="R19" s="705" t="s">
        <v>18</v>
      </c>
      <c r="S19" s="706">
        <f>F19</f>
        <v>100</v>
      </c>
      <c r="T19" s="705" t="s">
        <v>18</v>
      </c>
      <c r="U19" s="706">
        <f>H19</f>
        <v>100</v>
      </c>
      <c r="V19" s="705" t="s">
        <v>18</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8"/>
      <c r="Q20" s="1352"/>
      <c r="R20" s="705"/>
      <c r="S20" s="706"/>
      <c r="T20" s="705"/>
      <c r="U20" s="706"/>
      <c r="V20" s="705"/>
      <c r="W20" s="706"/>
      <c r="X20" s="1355"/>
      <c r="Y20" s="370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8"/>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8"/>
      <c r="Q22" s="1352"/>
      <c r="R22" s="705"/>
      <c r="S22" s="706"/>
      <c r="T22" s="705"/>
      <c r="U22" s="706"/>
      <c r="V22" s="705"/>
      <c r="W22" s="706"/>
      <c r="X22" s="1355"/>
      <c r="Y22" s="370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8"/>
      <c r="Q23" s="1352" t="str">
        <f>B23</f>
        <v>自然及人文环境</v>
      </c>
      <c r="R23" s="705" t="s">
        <v>18</v>
      </c>
      <c r="S23" s="706">
        <f>F23</f>
        <v>100</v>
      </c>
      <c r="T23" s="705" t="s">
        <v>18</v>
      </c>
      <c r="U23" s="706">
        <f>H23</f>
        <v>100</v>
      </c>
      <c r="V23" s="705" t="s">
        <v>18</v>
      </c>
      <c r="W23" s="706">
        <f>J23</f>
        <v>100</v>
      </c>
      <c r="X23" s="1355"/>
      <c r="Y23" s="370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8"/>
      <c r="Q24" s="1352"/>
      <c r="R24" s="705"/>
      <c r="S24" s="706"/>
      <c r="T24" s="705"/>
      <c r="U24" s="706"/>
      <c r="V24" s="705"/>
      <c r="W24" s="706"/>
      <c r="X24" s="1355"/>
      <c r="Y24" s="370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8"/>
      <c r="Q26" s="1352" t="str">
        <f t="shared" si="11"/>
        <v>朝向</v>
      </c>
      <c r="R26" s="705" t="s">
        <v>18</v>
      </c>
      <c r="S26" s="706">
        <f t="shared" si="12"/>
        <v>100</v>
      </c>
      <c r="T26" s="705" t="s">
        <v>18</v>
      </c>
      <c r="U26" s="706">
        <f t="shared" si="13"/>
        <v>100</v>
      </c>
      <c r="V26" s="705" t="s">
        <v>18</v>
      </c>
      <c r="W26" s="706">
        <f t="shared" si="14"/>
        <v>100</v>
      </c>
      <c r="X26" s="1355"/>
      <c r="Y26" s="370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8"/>
      <c r="Q27" s="1343">
        <f t="shared" si="11"/>
        <v>111</v>
      </c>
      <c r="R27" s="701" t="s">
        <v>18</v>
      </c>
      <c r="S27" s="702">
        <f t="shared" si="12"/>
        <v>100</v>
      </c>
      <c r="T27" s="701" t="s">
        <v>18</v>
      </c>
      <c r="U27" s="702">
        <f t="shared" si="13"/>
        <v>100</v>
      </c>
      <c r="V27" s="701" t="s">
        <v>18</v>
      </c>
      <c r="W27" s="702">
        <f t="shared" si="14"/>
        <v>100</v>
      </c>
      <c r="X27" s="703"/>
      <c r="Y27" s="370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8"/>
      <c r="Q28" s="1352">
        <f t="shared" si="11"/>
        <v>111</v>
      </c>
      <c r="R28" s="705" t="s">
        <v>18</v>
      </c>
      <c r="S28" s="706">
        <f t="shared" si="12"/>
        <v>100</v>
      </c>
      <c r="T28" s="705" t="s">
        <v>18</v>
      </c>
      <c r="U28" s="706">
        <f t="shared" si="13"/>
        <v>100</v>
      </c>
      <c r="V28" s="705" t="s">
        <v>18</v>
      </c>
      <c r="W28" s="706">
        <f t="shared" si="14"/>
        <v>100</v>
      </c>
      <c r="X28" s="1355"/>
      <c r="Y28" s="370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8"/>
      <c r="Q29" s="1352">
        <f t="shared" si="11"/>
        <v>111</v>
      </c>
      <c r="R29" s="705" t="s">
        <v>18</v>
      </c>
      <c r="S29" s="706">
        <f t="shared" si="12"/>
        <v>100</v>
      </c>
      <c r="T29" s="705" t="s">
        <v>18</v>
      </c>
      <c r="U29" s="706">
        <f t="shared" si="13"/>
        <v>100</v>
      </c>
      <c r="V29" s="705" t="s">
        <v>18</v>
      </c>
      <c r="W29" s="706">
        <f t="shared" si="14"/>
        <v>100</v>
      </c>
      <c r="X29" s="1355"/>
      <c r="Y29" s="370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8"/>
      <c r="Q30" s="1352">
        <f t="shared" si="11"/>
        <v>111</v>
      </c>
      <c r="R30" s="705" t="s">
        <v>18</v>
      </c>
      <c r="S30" s="706">
        <f t="shared" si="12"/>
        <v>100</v>
      </c>
      <c r="T30" s="705" t="s">
        <v>18</v>
      </c>
      <c r="U30" s="706">
        <f t="shared" si="13"/>
        <v>100</v>
      </c>
      <c r="V30" s="705" t="s">
        <v>18</v>
      </c>
      <c r="W30" s="706">
        <f t="shared" si="14"/>
        <v>100</v>
      </c>
      <c r="X30" s="1355"/>
      <c r="Y30" s="370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8"/>
      <c r="Q31" s="1352">
        <f t="shared" si="11"/>
        <v>111</v>
      </c>
      <c r="R31" s="705" t="s">
        <v>18</v>
      </c>
      <c r="S31" s="706">
        <f t="shared" si="12"/>
        <v>100</v>
      </c>
      <c r="T31" s="705" t="s">
        <v>18</v>
      </c>
      <c r="U31" s="706">
        <f t="shared" si="13"/>
        <v>100</v>
      </c>
      <c r="V31" s="705" t="s">
        <v>18</v>
      </c>
      <c r="W31" s="706">
        <f t="shared" si="14"/>
        <v>100</v>
      </c>
      <c r="X31" s="1355"/>
      <c r="Y31" s="370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2" t="s">
        <v>1696</v>
      </c>
      <c r="Q32" s="1352" t="str">
        <f t="shared" si="11"/>
        <v>建筑类型</v>
      </c>
      <c r="R32" s="705" t="s">
        <v>18</v>
      </c>
      <c r="S32" s="706">
        <f t="shared" si="12"/>
        <v>100</v>
      </c>
      <c r="T32" s="705" t="s">
        <v>18</v>
      </c>
      <c r="U32" s="706">
        <f t="shared" si="13"/>
        <v>100</v>
      </c>
      <c r="V32" s="705" t="s">
        <v>18</v>
      </c>
      <c r="W32" s="706">
        <f t="shared" si="14"/>
        <v>100</v>
      </c>
      <c r="X32" s="1355"/>
      <c r="Y32" s="370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3"/>
      <c r="Q33" s="707" t="str">
        <f t="shared" si="11"/>
        <v>项目建筑规模</v>
      </c>
      <c r="R33" s="708" t="s">
        <v>18</v>
      </c>
      <c r="S33" s="709" t="e">
        <f t="shared" si="12"/>
        <v>#N/A</v>
      </c>
      <c r="T33" s="708" t="s">
        <v>18</v>
      </c>
      <c r="U33" s="709" t="e">
        <f t="shared" si="13"/>
        <v>#N/A</v>
      </c>
      <c r="V33" s="708" t="s">
        <v>18</v>
      </c>
      <c r="W33" s="709" t="e">
        <f t="shared" si="14"/>
        <v>#N/A</v>
      </c>
      <c r="X33" s="710"/>
      <c r="Y33" s="370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3"/>
      <c r="Q34" s="1352" t="str">
        <f t="shared" si="11"/>
        <v>建筑结构</v>
      </c>
      <c r="R34" s="705" t="s">
        <v>18</v>
      </c>
      <c r="S34" s="706">
        <f t="shared" si="12"/>
        <v>100</v>
      </c>
      <c r="T34" s="705" t="s">
        <v>18</v>
      </c>
      <c r="U34" s="706">
        <f t="shared" si="13"/>
        <v>100</v>
      </c>
      <c r="V34" s="705" t="s">
        <v>18</v>
      </c>
      <c r="W34" s="706">
        <f t="shared" si="14"/>
        <v>100</v>
      </c>
      <c r="X34" s="1355"/>
      <c r="Y34" s="370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3"/>
      <c r="Q35" s="1352" t="str">
        <f t="shared" si="11"/>
        <v>建筑品质</v>
      </c>
      <c r="R35" s="705" t="s">
        <v>18</v>
      </c>
      <c r="S35" s="706">
        <f t="shared" si="12"/>
        <v>100</v>
      </c>
      <c r="T35" s="705" t="s">
        <v>18</v>
      </c>
      <c r="U35" s="706">
        <f t="shared" si="13"/>
        <v>100</v>
      </c>
      <c r="V35" s="705" t="s">
        <v>18</v>
      </c>
      <c r="W35" s="706">
        <f t="shared" si="14"/>
        <v>100</v>
      </c>
      <c r="X35" s="1355"/>
      <c r="Y35" s="370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3"/>
      <c r="Q36" s="1352" t="str">
        <f t="shared" si="11"/>
        <v>公共部分装修</v>
      </c>
      <c r="R36" s="705" t="s">
        <v>18</v>
      </c>
      <c r="S36" s="706">
        <f t="shared" si="12"/>
        <v>100</v>
      </c>
      <c r="T36" s="705" t="s">
        <v>18</v>
      </c>
      <c r="U36" s="706">
        <f t="shared" si="13"/>
        <v>100</v>
      </c>
      <c r="V36" s="705" t="s">
        <v>18</v>
      </c>
      <c r="W36" s="706">
        <f t="shared" si="14"/>
        <v>100</v>
      </c>
      <c r="X36" s="1355"/>
      <c r="Y36" s="370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3"/>
      <c r="Q37" s="1343" t="str">
        <f t="shared" si="11"/>
        <v>成新度</v>
      </c>
      <c r="R37" s="701" t="s">
        <v>18</v>
      </c>
      <c r="S37" s="702" t="e">
        <f t="shared" si="12"/>
        <v>#N/A</v>
      </c>
      <c r="T37" s="701" t="s">
        <v>18</v>
      </c>
      <c r="U37" s="702" t="e">
        <f t="shared" si="13"/>
        <v>#N/A</v>
      </c>
      <c r="V37" s="701" t="s">
        <v>18</v>
      </c>
      <c r="W37" s="702" t="e">
        <f t="shared" si="14"/>
        <v>#N/A</v>
      </c>
      <c r="X37" s="703"/>
      <c r="Y37" s="370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3" t="s">
        <v>1696</v>
      </c>
      <c r="Q38" s="1352" t="str">
        <f t="shared" si="11"/>
        <v>物业管理</v>
      </c>
      <c r="R38" s="705" t="s">
        <v>18</v>
      </c>
      <c r="S38" s="706">
        <f t="shared" si="12"/>
        <v>100</v>
      </c>
      <c r="T38" s="705" t="s">
        <v>18</v>
      </c>
      <c r="U38" s="706">
        <f t="shared" si="13"/>
        <v>100</v>
      </c>
      <c r="V38" s="705" t="s">
        <v>18</v>
      </c>
      <c r="W38" s="706">
        <f t="shared" si="14"/>
        <v>100</v>
      </c>
      <c r="X38" s="1355"/>
      <c r="Y38" s="370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3"/>
      <c r="Q39" s="1352" t="str">
        <f t="shared" si="11"/>
        <v>市政基础设施</v>
      </c>
      <c r="R39" s="705" t="s">
        <v>18</v>
      </c>
      <c r="S39" s="706">
        <f t="shared" si="12"/>
        <v>100</v>
      </c>
      <c r="T39" s="705" t="s">
        <v>18</v>
      </c>
      <c r="U39" s="706">
        <f t="shared" si="13"/>
        <v>100</v>
      </c>
      <c r="V39" s="705" t="s">
        <v>18</v>
      </c>
      <c r="W39" s="706">
        <f t="shared" si="14"/>
        <v>100</v>
      </c>
      <c r="X39" s="1355"/>
      <c r="Y39" s="370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3"/>
      <c r="Q40" s="1352" t="str">
        <f t="shared" si="11"/>
        <v>房型</v>
      </c>
      <c r="R40" s="705" t="s">
        <v>18</v>
      </c>
      <c r="S40" s="706">
        <f t="shared" si="12"/>
        <v>100</v>
      </c>
      <c r="T40" s="705" t="s">
        <v>18</v>
      </c>
      <c r="U40" s="706">
        <f t="shared" si="13"/>
        <v>100</v>
      </c>
      <c r="V40" s="705" t="s">
        <v>18</v>
      </c>
      <c r="W40" s="706">
        <f t="shared" si="14"/>
        <v>100</v>
      </c>
      <c r="X40" s="1355"/>
      <c r="Y40" s="370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3"/>
      <c r="Q41" s="707" t="str">
        <f t="shared" si="11"/>
        <v>单套/主力户型建筑面积</v>
      </c>
      <c r="R41" s="708" t="s">
        <v>18</v>
      </c>
      <c r="S41" s="709">
        <f t="shared" si="12"/>
        <v>100</v>
      </c>
      <c r="T41" s="708" t="s">
        <v>18</v>
      </c>
      <c r="U41" s="709">
        <f t="shared" si="13"/>
        <v>100</v>
      </c>
      <c r="V41" s="708" t="s">
        <v>18</v>
      </c>
      <c r="W41" s="709">
        <f t="shared" si="14"/>
        <v>100</v>
      </c>
      <c r="X41" s="710"/>
      <c r="Y41" s="370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3"/>
      <c r="Q42" s="1352" t="str">
        <f t="shared" si="11"/>
        <v>内部装修</v>
      </c>
      <c r="R42" s="705" t="s">
        <v>18</v>
      </c>
      <c r="S42" s="706">
        <f t="shared" si="12"/>
        <v>100</v>
      </c>
      <c r="T42" s="705" t="s">
        <v>18</v>
      </c>
      <c r="U42" s="706">
        <f t="shared" si="13"/>
        <v>100</v>
      </c>
      <c r="V42" s="705" t="s">
        <v>18</v>
      </c>
      <c r="W42" s="706">
        <f t="shared" si="14"/>
        <v>100</v>
      </c>
      <c r="X42" s="1355"/>
      <c r="Y42" s="370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3"/>
      <c r="Q43" s="1352" t="str">
        <f t="shared" si="11"/>
        <v>内部装修维护情况</v>
      </c>
      <c r="R43" s="705" t="s">
        <v>18</v>
      </c>
      <c r="S43" s="706">
        <f t="shared" si="12"/>
        <v>100</v>
      </c>
      <c r="T43" s="705" t="s">
        <v>18</v>
      </c>
      <c r="U43" s="706">
        <f t="shared" si="13"/>
        <v>100</v>
      </c>
      <c r="V43" s="705" t="s">
        <v>18</v>
      </c>
      <c r="W43" s="706">
        <f t="shared" si="14"/>
        <v>100</v>
      </c>
      <c r="X43" s="1355"/>
      <c r="Y43" s="370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3"/>
      <c r="Q44" s="1343">
        <f t="shared" si="11"/>
        <v>111</v>
      </c>
      <c r="R44" s="701" t="s">
        <v>18</v>
      </c>
      <c r="S44" s="702">
        <f t="shared" si="12"/>
        <v>100</v>
      </c>
      <c r="T44" s="701" t="s">
        <v>18</v>
      </c>
      <c r="U44" s="702">
        <f t="shared" si="13"/>
        <v>100</v>
      </c>
      <c r="V44" s="701" t="s">
        <v>18</v>
      </c>
      <c r="W44" s="702">
        <f t="shared" si="14"/>
        <v>100</v>
      </c>
      <c r="X44" s="703"/>
      <c r="Y44" s="370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3"/>
      <c r="Q45" s="1352">
        <f t="shared" si="11"/>
        <v>111</v>
      </c>
      <c r="R45" s="705" t="s">
        <v>18</v>
      </c>
      <c r="S45" s="706">
        <f t="shared" si="12"/>
        <v>100</v>
      </c>
      <c r="T45" s="705" t="s">
        <v>18</v>
      </c>
      <c r="U45" s="706">
        <f t="shared" si="13"/>
        <v>100</v>
      </c>
      <c r="V45" s="705" t="s">
        <v>18</v>
      </c>
      <c r="W45" s="706">
        <f t="shared" si="14"/>
        <v>100</v>
      </c>
      <c r="X45" s="1355"/>
      <c r="Y45" s="370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4"/>
      <c r="Q46" s="1352">
        <f t="shared" si="11"/>
        <v>111</v>
      </c>
      <c r="R46" s="705" t="s">
        <v>17</v>
      </c>
      <c r="S46" s="706">
        <f t="shared" si="12"/>
        <v>100</v>
      </c>
      <c r="T46" s="705" t="s">
        <v>17</v>
      </c>
      <c r="U46" s="706">
        <f t="shared" si="13"/>
        <v>100</v>
      </c>
      <c r="V46" s="705" t="s">
        <v>17</v>
      </c>
      <c r="W46" s="706">
        <f t="shared" si="14"/>
        <v>100</v>
      </c>
      <c r="X46" s="1355"/>
      <c r="Y46" s="370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8" t="str">
        <f>A47</f>
        <v>成交单价（元/平方米）</v>
      </c>
      <c r="Q47" s="3698"/>
      <c r="R47" s="3699">
        <f>E47</f>
        <v>0</v>
      </c>
      <c r="S47" s="3699"/>
      <c r="T47" s="3699">
        <f>G47</f>
        <v>0</v>
      </c>
      <c r="U47" s="3699"/>
      <c r="V47" s="3699">
        <f>I47</f>
        <v>0</v>
      </c>
      <c r="W47" s="3699"/>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7" priority="19" stopIfTrue="1" operator="containsText" text="超过">
      <formula>NOT(ISERROR(SEARCH("超过",F52)))</formula>
    </cfRule>
  </conditionalFormatting>
  <conditionalFormatting sqref="J54">
    <cfRule type="containsText" dxfId="176" priority="18" stopIfTrue="1" operator="containsText" text="超过">
      <formula>NOT(ISERROR(SEARCH("超过",J54)))</formula>
    </cfRule>
  </conditionalFormatting>
  <conditionalFormatting sqref="H54">
    <cfRule type="containsText" dxfId="175" priority="17" stopIfTrue="1" operator="containsText" text="超过">
      <formula>NOT(ISERROR(SEARCH("超过",H54)))</formula>
    </cfRule>
  </conditionalFormatting>
  <conditionalFormatting sqref="F54">
    <cfRule type="containsText" dxfId="174" priority="16" stopIfTrue="1" operator="containsText" text="超过">
      <formula>NOT(ISERROR(SEARCH("超过",F54)))</formula>
    </cfRule>
  </conditionalFormatting>
  <conditionalFormatting sqref="F53 H53 J53">
    <cfRule type="containsText" dxfId="173" priority="15" stopIfTrue="1" operator="containsText" text="超过">
      <formula>NOT(ISERROR(SEARCH("超过",F53)))</formula>
    </cfRule>
  </conditionalFormatting>
  <conditionalFormatting sqref="E52">
    <cfRule type="expression" dxfId="172" priority="14" stopIfTrue="1">
      <formula>$F$52="超过30%"</formula>
    </cfRule>
  </conditionalFormatting>
  <conditionalFormatting sqref="G54">
    <cfRule type="expression" dxfId="171" priority="12" stopIfTrue="1">
      <formula>$H$54="超过30%"</formula>
    </cfRule>
  </conditionalFormatting>
  <conditionalFormatting sqref="E53">
    <cfRule type="expression" dxfId="170" priority="11" stopIfTrue="1">
      <formula>$F$53="超过20%"</formula>
    </cfRule>
  </conditionalFormatting>
  <conditionalFormatting sqref="E54">
    <cfRule type="expression" dxfId="169" priority="10" stopIfTrue="1">
      <formula>$F$54="超过30%"</formula>
    </cfRule>
  </conditionalFormatting>
  <conditionalFormatting sqref="G52">
    <cfRule type="expression" dxfId="168" priority="9" stopIfTrue="1">
      <formula>$H$52="超过30%"</formula>
    </cfRule>
  </conditionalFormatting>
  <conditionalFormatting sqref="G53">
    <cfRule type="expression" dxfId="167" priority="8" stopIfTrue="1">
      <formula>$H$53="超过20%"</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F48">
    <cfRule type="expression" dxfId="163" priority="4">
      <formula>$D$48="简单平均"</formula>
    </cfRule>
  </conditionalFormatting>
  <conditionalFormatting sqref="H48">
    <cfRule type="expression" dxfId="162" priority="3">
      <formula>$D$48="简单平均"</formula>
    </cfRule>
  </conditionalFormatting>
  <conditionalFormatting sqref="J48">
    <cfRule type="expression" dxfId="161" priority="2">
      <formula>$D$48="简单平均"</formula>
    </cfRule>
  </conditionalFormatting>
  <conditionalFormatting sqref="F7:F46 H7:H46 J7:J46">
    <cfRule type="cellIs" dxfId="16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5033.37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29"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29"/>
      <c r="AC5" s="3711"/>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29"/>
      <c r="AC6" s="3712"/>
    </row>
    <row r="7" spans="1:29" s="108" customFormat="1" ht="15.75" thickBot="1">
      <c r="A7" s="362" t="s">
        <v>1679</v>
      </c>
      <c r="B7" s="363"/>
      <c r="C7" s="364">
        <f>'数据-取费表'!B2</f>
        <v>44959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4" t="s">
        <v>1683</v>
      </c>
      <c r="Q8" s="3735"/>
      <c r="R8" s="701" t="s">
        <v>14</v>
      </c>
      <c r="S8" s="702">
        <f t="shared" si="0"/>
        <v>100</v>
      </c>
      <c r="T8" s="701" t="s">
        <v>14</v>
      </c>
      <c r="U8" s="702">
        <f t="shared" si="1"/>
        <v>100</v>
      </c>
      <c r="V8" s="701" t="s">
        <v>14</v>
      </c>
      <c r="W8" s="702">
        <f t="shared" si="2"/>
        <v>100</v>
      </c>
      <c r="X8" s="703"/>
      <c r="Y8" s="3734" t="s">
        <v>1683</v>
      </c>
      <c r="Z8" s="373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9"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9"/>
      <c r="Q11" s="1343" t="str">
        <f t="shared" si="6"/>
        <v>容积率</v>
      </c>
      <c r="R11" s="701" t="s">
        <v>14</v>
      </c>
      <c r="S11" s="702" t="e">
        <f t="shared" si="0"/>
        <v>#N/A</v>
      </c>
      <c r="T11" s="701" t="s">
        <v>14</v>
      </c>
      <c r="U11" s="702" t="e">
        <f t="shared" si="1"/>
        <v>#N/A</v>
      </c>
      <c r="V11" s="701" t="s">
        <v>14</v>
      </c>
      <c r="W11" s="702" t="e">
        <f t="shared" si="2"/>
        <v>#N/A</v>
      </c>
      <c r="X11" s="703"/>
      <c r="Y11" s="357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9"/>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9"/>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9"/>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7" t="s">
        <v>1691</v>
      </c>
      <c r="Q15" s="1352" t="str">
        <f t="shared" si="6"/>
        <v>商业繁华度</v>
      </c>
      <c r="R15" s="705" t="s">
        <v>14</v>
      </c>
      <c r="S15" s="706">
        <f t="shared" si="0"/>
        <v>100</v>
      </c>
      <c r="T15" s="705" t="s">
        <v>14</v>
      </c>
      <c r="U15" s="706">
        <f t="shared" si="1"/>
        <v>100</v>
      </c>
      <c r="V15" s="705" t="s">
        <v>14</v>
      </c>
      <c r="W15" s="706">
        <f t="shared" si="2"/>
        <v>100</v>
      </c>
      <c r="X15" s="1355"/>
      <c r="Y15" s="370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8"/>
      <c r="Q16" s="1352"/>
      <c r="R16" s="705"/>
      <c r="S16" s="706"/>
      <c r="T16" s="705"/>
      <c r="U16" s="706"/>
      <c r="V16" s="705"/>
      <c r="W16" s="706"/>
      <c r="X16" s="1355"/>
      <c r="Y16" s="370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8"/>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8"/>
      <c r="Q18" s="1352"/>
      <c r="R18" s="705"/>
      <c r="S18" s="706"/>
      <c r="T18" s="705"/>
      <c r="U18" s="706"/>
      <c r="V18" s="705"/>
      <c r="W18" s="706"/>
      <c r="X18" s="1355"/>
      <c r="Y18" s="370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8"/>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8"/>
      <c r="Q20" s="1352"/>
      <c r="R20" s="705"/>
      <c r="S20" s="706"/>
      <c r="T20" s="705"/>
      <c r="U20" s="706"/>
      <c r="V20" s="705"/>
      <c r="W20" s="706"/>
      <c r="X20" s="1355"/>
      <c r="Y20" s="370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8"/>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8"/>
      <c r="Q22" s="1352"/>
      <c r="R22" s="705"/>
      <c r="S22" s="706"/>
      <c r="T22" s="705"/>
      <c r="U22" s="706"/>
      <c r="V22" s="705"/>
      <c r="W22" s="706"/>
      <c r="X22" s="1355"/>
      <c r="Y22" s="370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8"/>
      <c r="Q23" s="1352" t="str">
        <f>B23</f>
        <v>自然及人文环境</v>
      </c>
      <c r="R23" s="705" t="s">
        <v>14</v>
      </c>
      <c r="S23" s="706">
        <f>F23</f>
        <v>100</v>
      </c>
      <c r="T23" s="705" t="s">
        <v>14</v>
      </c>
      <c r="U23" s="706">
        <f>H23</f>
        <v>100</v>
      </c>
      <c r="V23" s="705" t="s">
        <v>14</v>
      </c>
      <c r="W23" s="706">
        <f>J23</f>
        <v>100</v>
      </c>
      <c r="X23" s="1355"/>
      <c r="Y23" s="370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8"/>
      <c r="Q24" s="1352"/>
      <c r="R24" s="705"/>
      <c r="S24" s="706"/>
      <c r="T24" s="705"/>
      <c r="U24" s="706"/>
      <c r="V24" s="705"/>
      <c r="W24" s="706"/>
      <c r="X24" s="1355"/>
      <c r="Y24" s="370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8"/>
      <c r="Q25" s="1352" t="str">
        <f t="shared" ref="Q25:Q46" si="11">B25</f>
        <v>临街状况</v>
      </c>
      <c r="R25" s="705" t="s">
        <v>14</v>
      </c>
      <c r="S25" s="706">
        <f>F25</f>
        <v>100</v>
      </c>
      <c r="T25" s="705" t="s">
        <v>14</v>
      </c>
      <c r="U25" s="706">
        <f>H25</f>
        <v>100</v>
      </c>
      <c r="V25" s="705" t="s">
        <v>14</v>
      </c>
      <c r="W25" s="706">
        <f>J25</f>
        <v>100</v>
      </c>
      <c r="X25" s="1355"/>
      <c r="Y25" s="370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8"/>
      <c r="Q26" s="1352" t="str">
        <f t="shared" si="11"/>
        <v>平面位置/可视性</v>
      </c>
      <c r="R26" s="705" t="s">
        <v>14</v>
      </c>
      <c r="S26" s="706">
        <f>F26</f>
        <v>100</v>
      </c>
      <c r="T26" s="705" t="s">
        <v>14</v>
      </c>
      <c r="U26" s="706">
        <f>H26</f>
        <v>100</v>
      </c>
      <c r="V26" s="705" t="s">
        <v>14</v>
      </c>
      <c r="W26" s="706">
        <f>J26</f>
        <v>100</v>
      </c>
      <c r="X26" s="1355"/>
      <c r="Y26" s="370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8"/>
      <c r="Q27" s="1343" t="str">
        <f t="shared" si="11"/>
        <v>人流量</v>
      </c>
      <c r="R27" s="701" t="s">
        <v>14</v>
      </c>
      <c r="S27" s="702">
        <f>F27</f>
        <v>100</v>
      </c>
      <c r="T27" s="701" t="s">
        <v>14</v>
      </c>
      <c r="U27" s="702">
        <f>H27</f>
        <v>100</v>
      </c>
      <c r="V27" s="701" t="s">
        <v>14</v>
      </c>
      <c r="W27" s="702">
        <f>J27</f>
        <v>100</v>
      </c>
      <c r="X27" s="703"/>
      <c r="Y27" s="370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8"/>
      <c r="Q29" s="1352">
        <f t="shared" si="11"/>
        <v>111</v>
      </c>
      <c r="R29" s="705" t="s">
        <v>14</v>
      </c>
      <c r="S29" s="706">
        <f t="shared" si="12"/>
        <v>100</v>
      </c>
      <c r="T29" s="705" t="s">
        <v>14</v>
      </c>
      <c r="U29" s="706">
        <f t="shared" si="13"/>
        <v>100</v>
      </c>
      <c r="V29" s="705" t="s">
        <v>14</v>
      </c>
      <c r="W29" s="706">
        <f t="shared" si="14"/>
        <v>100</v>
      </c>
      <c r="X29" s="1355"/>
      <c r="Y29" s="370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8"/>
      <c r="Q30" s="1352">
        <f t="shared" si="11"/>
        <v>111</v>
      </c>
      <c r="R30" s="705" t="s">
        <v>14</v>
      </c>
      <c r="S30" s="706">
        <f t="shared" si="12"/>
        <v>100</v>
      </c>
      <c r="T30" s="705" t="s">
        <v>14</v>
      </c>
      <c r="U30" s="706">
        <f t="shared" si="13"/>
        <v>100</v>
      </c>
      <c r="V30" s="705" t="s">
        <v>14</v>
      </c>
      <c r="W30" s="706">
        <f t="shared" si="14"/>
        <v>100</v>
      </c>
      <c r="X30" s="1355"/>
      <c r="Y30" s="370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8"/>
      <c r="Q31" s="1352">
        <f t="shared" si="11"/>
        <v>111</v>
      </c>
      <c r="R31" s="705" t="s">
        <v>14</v>
      </c>
      <c r="S31" s="706">
        <f t="shared" si="12"/>
        <v>100</v>
      </c>
      <c r="T31" s="705" t="s">
        <v>14</v>
      </c>
      <c r="U31" s="706">
        <f t="shared" si="13"/>
        <v>100</v>
      </c>
      <c r="V31" s="705" t="s">
        <v>14</v>
      </c>
      <c r="W31" s="706">
        <f t="shared" si="14"/>
        <v>100</v>
      </c>
      <c r="X31" s="1355"/>
      <c r="Y31" s="370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2" t="s">
        <v>1696</v>
      </c>
      <c r="Q32" s="1352" t="str">
        <f t="shared" si="11"/>
        <v>商业类型</v>
      </c>
      <c r="R32" s="705" t="s">
        <v>14</v>
      </c>
      <c r="S32" s="706">
        <f t="shared" si="12"/>
        <v>100</v>
      </c>
      <c r="T32" s="705" t="s">
        <v>14</v>
      </c>
      <c r="U32" s="706">
        <f t="shared" si="13"/>
        <v>100</v>
      </c>
      <c r="V32" s="705" t="s">
        <v>14</v>
      </c>
      <c r="W32" s="706">
        <f t="shared" si="14"/>
        <v>100</v>
      </c>
      <c r="X32" s="1355"/>
      <c r="Y32" s="370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3"/>
      <c r="Q33" s="707" t="str">
        <f t="shared" si="11"/>
        <v>项目建筑规模</v>
      </c>
      <c r="R33" s="708" t="s">
        <v>14</v>
      </c>
      <c r="S33" s="709" t="e">
        <f t="shared" si="12"/>
        <v>#N/A</v>
      </c>
      <c r="T33" s="708" t="s">
        <v>14</v>
      </c>
      <c r="U33" s="709" t="e">
        <f t="shared" si="13"/>
        <v>#N/A</v>
      </c>
      <c r="V33" s="708" t="s">
        <v>14</v>
      </c>
      <c r="W33" s="709" t="e">
        <f t="shared" si="14"/>
        <v>#N/A</v>
      </c>
      <c r="X33" s="710"/>
      <c r="Y33" s="370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3"/>
      <c r="Q34" s="1352" t="str">
        <f t="shared" si="11"/>
        <v>建筑结构</v>
      </c>
      <c r="R34" s="705" t="s">
        <v>14</v>
      </c>
      <c r="S34" s="706">
        <f t="shared" si="12"/>
        <v>100</v>
      </c>
      <c r="T34" s="705" t="s">
        <v>14</v>
      </c>
      <c r="U34" s="706">
        <f t="shared" si="13"/>
        <v>100</v>
      </c>
      <c r="V34" s="705" t="s">
        <v>14</v>
      </c>
      <c r="W34" s="706">
        <f t="shared" si="14"/>
        <v>100</v>
      </c>
      <c r="X34" s="1355"/>
      <c r="Y34" s="370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3"/>
      <c r="Q35" s="1352" t="str">
        <f t="shared" si="11"/>
        <v>公共部分装修</v>
      </c>
      <c r="R35" s="705" t="s">
        <v>14</v>
      </c>
      <c r="S35" s="706">
        <f t="shared" si="12"/>
        <v>100</v>
      </c>
      <c r="T35" s="705" t="s">
        <v>14</v>
      </c>
      <c r="U35" s="706">
        <f t="shared" si="13"/>
        <v>100</v>
      </c>
      <c r="V35" s="705" t="s">
        <v>14</v>
      </c>
      <c r="W35" s="706">
        <f t="shared" si="14"/>
        <v>100</v>
      </c>
      <c r="X35" s="1355"/>
      <c r="Y35" s="370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3"/>
      <c r="Q36" s="1352" t="str">
        <f t="shared" si="11"/>
        <v>成新度</v>
      </c>
      <c r="R36" s="705" t="s">
        <v>14</v>
      </c>
      <c r="S36" s="706" t="e">
        <f t="shared" si="12"/>
        <v>#N/A</v>
      </c>
      <c r="T36" s="705" t="s">
        <v>14</v>
      </c>
      <c r="U36" s="706" t="e">
        <f t="shared" si="13"/>
        <v>#N/A</v>
      </c>
      <c r="V36" s="705" t="s">
        <v>14</v>
      </c>
      <c r="W36" s="706" t="e">
        <f t="shared" si="14"/>
        <v>#N/A</v>
      </c>
      <c r="X36" s="1355"/>
      <c r="Y36" s="370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3"/>
      <c r="Q37" s="1343" t="str">
        <f t="shared" si="11"/>
        <v>市政基础设施</v>
      </c>
      <c r="R37" s="701" t="s">
        <v>14</v>
      </c>
      <c r="S37" s="702">
        <f t="shared" si="12"/>
        <v>100</v>
      </c>
      <c r="T37" s="701" t="s">
        <v>14</v>
      </c>
      <c r="U37" s="702">
        <f t="shared" si="13"/>
        <v>100</v>
      </c>
      <c r="V37" s="701" t="s">
        <v>14</v>
      </c>
      <c r="W37" s="702">
        <f t="shared" si="14"/>
        <v>100</v>
      </c>
      <c r="X37" s="703"/>
      <c r="Y37" s="370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3" t="s">
        <v>1696</v>
      </c>
      <c r="Q38" s="1352" t="str">
        <f t="shared" si="11"/>
        <v>业态</v>
      </c>
      <c r="R38" s="705" t="s">
        <v>14</v>
      </c>
      <c r="S38" s="706">
        <f t="shared" si="12"/>
        <v>100</v>
      </c>
      <c r="T38" s="705" t="s">
        <v>14</v>
      </c>
      <c r="U38" s="706">
        <f t="shared" si="13"/>
        <v>100</v>
      </c>
      <c r="V38" s="705" t="s">
        <v>14</v>
      </c>
      <c r="W38" s="706">
        <f t="shared" si="14"/>
        <v>100</v>
      </c>
      <c r="X38" s="1355"/>
      <c r="Y38" s="370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3"/>
      <c r="Q39" s="1352" t="str">
        <f t="shared" si="11"/>
        <v>层高</v>
      </c>
      <c r="R39" s="705" t="s">
        <v>14</v>
      </c>
      <c r="S39" s="706">
        <f t="shared" si="12"/>
        <v>100</v>
      </c>
      <c r="T39" s="705" t="s">
        <v>14</v>
      </c>
      <c r="U39" s="706">
        <f t="shared" si="13"/>
        <v>100</v>
      </c>
      <c r="V39" s="705" t="s">
        <v>14</v>
      </c>
      <c r="W39" s="706">
        <f t="shared" si="14"/>
        <v>100</v>
      </c>
      <c r="X39" s="1355"/>
      <c r="Y39" s="370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3"/>
      <c r="Q40" s="1352" t="str">
        <f t="shared" si="11"/>
        <v>单套建筑面积</v>
      </c>
      <c r="R40" s="705" t="s">
        <v>14</v>
      </c>
      <c r="S40" s="706">
        <f t="shared" si="12"/>
        <v>100</v>
      </c>
      <c r="T40" s="705" t="s">
        <v>14</v>
      </c>
      <c r="U40" s="706">
        <f t="shared" si="13"/>
        <v>100</v>
      </c>
      <c r="V40" s="705" t="s">
        <v>14</v>
      </c>
      <c r="W40" s="706">
        <f t="shared" si="14"/>
        <v>100</v>
      </c>
      <c r="X40" s="1355"/>
      <c r="Y40" s="370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3"/>
      <c r="Q41" s="707" t="str">
        <f t="shared" si="11"/>
        <v>进深比</v>
      </c>
      <c r="R41" s="708" t="s">
        <v>14</v>
      </c>
      <c r="S41" s="709">
        <f t="shared" si="12"/>
        <v>100</v>
      </c>
      <c r="T41" s="708" t="s">
        <v>14</v>
      </c>
      <c r="U41" s="709">
        <f t="shared" si="13"/>
        <v>100</v>
      </c>
      <c r="V41" s="708" t="s">
        <v>14</v>
      </c>
      <c r="W41" s="709">
        <f t="shared" si="14"/>
        <v>100</v>
      </c>
      <c r="X41" s="710"/>
      <c r="Y41" s="370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3"/>
      <c r="Q42" s="1352" t="str">
        <f t="shared" si="11"/>
        <v>内部装修</v>
      </c>
      <c r="R42" s="705" t="s">
        <v>14</v>
      </c>
      <c r="S42" s="706">
        <f t="shared" si="12"/>
        <v>100</v>
      </c>
      <c r="T42" s="705" t="s">
        <v>14</v>
      </c>
      <c r="U42" s="706">
        <f t="shared" si="13"/>
        <v>100</v>
      </c>
      <c r="V42" s="705" t="s">
        <v>14</v>
      </c>
      <c r="W42" s="706">
        <f t="shared" si="14"/>
        <v>100</v>
      </c>
      <c r="X42" s="1355"/>
      <c r="Y42" s="370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3"/>
      <c r="Q43" s="1352" t="str">
        <f t="shared" si="11"/>
        <v>内部装修维护情况</v>
      </c>
      <c r="R43" s="705" t="s">
        <v>14</v>
      </c>
      <c r="S43" s="706">
        <f t="shared" si="12"/>
        <v>100</v>
      </c>
      <c r="T43" s="705" t="s">
        <v>14</v>
      </c>
      <c r="U43" s="706">
        <f t="shared" si="13"/>
        <v>100</v>
      </c>
      <c r="V43" s="705" t="s">
        <v>14</v>
      </c>
      <c r="W43" s="706">
        <f t="shared" si="14"/>
        <v>100</v>
      </c>
      <c r="X43" s="1355"/>
      <c r="Y43" s="370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3"/>
      <c r="Q44" s="1343">
        <f t="shared" si="11"/>
        <v>111</v>
      </c>
      <c r="R44" s="701" t="s">
        <v>14</v>
      </c>
      <c r="S44" s="702">
        <f t="shared" si="12"/>
        <v>100</v>
      </c>
      <c r="T44" s="701" t="s">
        <v>14</v>
      </c>
      <c r="U44" s="702">
        <f t="shared" si="13"/>
        <v>100</v>
      </c>
      <c r="V44" s="701" t="s">
        <v>14</v>
      </c>
      <c r="W44" s="702">
        <f t="shared" si="14"/>
        <v>100</v>
      </c>
      <c r="X44" s="703"/>
      <c r="Y44" s="370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3"/>
      <c r="Q45" s="1352">
        <f t="shared" si="11"/>
        <v>111</v>
      </c>
      <c r="R45" s="705" t="s">
        <v>14</v>
      </c>
      <c r="S45" s="706">
        <f t="shared" si="12"/>
        <v>100</v>
      </c>
      <c r="T45" s="705" t="s">
        <v>14</v>
      </c>
      <c r="U45" s="706">
        <f t="shared" si="13"/>
        <v>100</v>
      </c>
      <c r="V45" s="705" t="s">
        <v>14</v>
      </c>
      <c r="W45" s="706">
        <f t="shared" si="14"/>
        <v>100</v>
      </c>
      <c r="X45" s="1355"/>
      <c r="Y45" s="370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4"/>
      <c r="Q46" s="1352">
        <f t="shared" si="11"/>
        <v>111</v>
      </c>
      <c r="R46" s="705" t="s">
        <v>14</v>
      </c>
      <c r="S46" s="706">
        <f t="shared" si="12"/>
        <v>100</v>
      </c>
      <c r="T46" s="705" t="s">
        <v>14</v>
      </c>
      <c r="U46" s="706">
        <f t="shared" si="13"/>
        <v>100</v>
      </c>
      <c r="V46" s="705" t="s">
        <v>14</v>
      </c>
      <c r="W46" s="706">
        <f t="shared" si="14"/>
        <v>100</v>
      </c>
      <c r="X46" s="1355"/>
      <c r="Y46" s="370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8" t="str">
        <f>A47</f>
        <v>成交单价（元/平方米）</v>
      </c>
      <c r="Q47" s="3698"/>
      <c r="R47" s="3729">
        <f>E47</f>
        <v>0</v>
      </c>
      <c r="S47" s="3729"/>
      <c r="T47" s="3729">
        <f>G47</f>
        <v>0</v>
      </c>
      <c r="U47" s="3729"/>
      <c r="V47" s="3729">
        <f>I47</f>
        <v>0</v>
      </c>
      <c r="W47" s="3729"/>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9" priority="21" stopIfTrue="1" operator="containsText" text="超过">
      <formula>NOT(ISERROR(SEARCH("超过",F52)))</formula>
    </cfRule>
  </conditionalFormatting>
  <conditionalFormatting sqref="H54">
    <cfRule type="containsText" dxfId="158" priority="19" stopIfTrue="1" operator="containsText" text="超过">
      <formula>NOT(ISERROR(SEARCH("超过",H54)))</formula>
    </cfRule>
  </conditionalFormatting>
  <conditionalFormatting sqref="F54">
    <cfRule type="containsText" dxfId="157" priority="18" stopIfTrue="1" operator="containsText" text="超过">
      <formula>NOT(ISERROR(SEARCH("超过",F54)))</formula>
    </cfRule>
  </conditionalFormatting>
  <conditionalFormatting sqref="F53 H53">
    <cfRule type="containsText" dxfId="156" priority="17" stopIfTrue="1" operator="containsText" text="超过">
      <formula>NOT(ISERROR(SEARCH("超过",F53)))</formula>
    </cfRule>
  </conditionalFormatting>
  <conditionalFormatting sqref="E52">
    <cfRule type="expression" dxfId="155" priority="16" stopIfTrue="1">
      <formula>$F$52="超过30%"</formula>
    </cfRule>
  </conditionalFormatting>
  <conditionalFormatting sqref="E53">
    <cfRule type="expression" dxfId="154" priority="15" stopIfTrue="1">
      <formula>$F$53="超过20%"</formula>
    </cfRule>
  </conditionalFormatting>
  <conditionalFormatting sqref="E54">
    <cfRule type="expression" dxfId="153" priority="14" stopIfTrue="1">
      <formula>$F$54="超过30%"</formula>
    </cfRule>
  </conditionalFormatting>
  <conditionalFormatting sqref="G54">
    <cfRule type="expression" dxfId="152" priority="13" stopIfTrue="1">
      <formula>$H$54="超过30%"</formula>
    </cfRule>
  </conditionalFormatting>
  <conditionalFormatting sqref="G52">
    <cfRule type="expression" dxfId="151" priority="12" stopIfTrue="1">
      <formula>$H$52="超过30%"</formula>
    </cfRule>
  </conditionalFormatting>
  <conditionalFormatting sqref="G53">
    <cfRule type="expression" dxfId="150" priority="11" stopIfTrue="1">
      <formula>$H$53="超过20%"</formula>
    </cfRule>
  </conditionalFormatting>
  <conditionalFormatting sqref="J52">
    <cfRule type="containsText" dxfId="149" priority="10" stopIfTrue="1" operator="containsText" text="超过">
      <formula>NOT(ISERROR(SEARCH("超过",J52)))</formula>
    </cfRule>
  </conditionalFormatting>
  <conditionalFormatting sqref="J54">
    <cfRule type="containsText" dxfId="148" priority="9" stopIfTrue="1" operator="containsText" text="超过">
      <formula>NOT(ISERROR(SEARCH("超过",J54)))</formula>
    </cfRule>
  </conditionalFormatting>
  <conditionalFormatting sqref="J53">
    <cfRule type="containsText" dxfId="147" priority="8" stopIfTrue="1" operator="containsText" text="超过">
      <formula>NOT(ISERROR(SEARCH("超过",J53)))</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5033.37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47" t="s">
        <v>1775</v>
      </c>
      <c r="Q4" s="3748"/>
      <c r="R4" s="3751" t="s">
        <v>1771</v>
      </c>
      <c r="S4" s="3752"/>
      <c r="T4" s="3751" t="s">
        <v>1772</v>
      </c>
      <c r="U4" s="3752"/>
      <c r="V4" s="3753" t="s">
        <v>1773</v>
      </c>
      <c r="W4" s="3753"/>
      <c r="X4" s="1958"/>
      <c r="Y4" s="3751" t="s">
        <v>1775</v>
      </c>
      <c r="Z4" s="3752"/>
      <c r="AA4" s="3755" t="s">
        <v>1771</v>
      </c>
      <c r="AB4" s="3755" t="s">
        <v>1772</v>
      </c>
      <c r="AC4" s="3744" t="s">
        <v>1773</v>
      </c>
    </row>
    <row r="5" spans="1:29" ht="15">
      <c r="A5" s="358"/>
      <c r="B5" s="359"/>
      <c r="C5" s="3732" t="s">
        <v>1673</v>
      </c>
      <c r="D5" s="3733"/>
      <c r="E5" s="3739" t="s">
        <v>1674</v>
      </c>
      <c r="F5" s="3740"/>
      <c r="G5" s="3732" t="s">
        <v>1675</v>
      </c>
      <c r="H5" s="3733"/>
      <c r="I5" s="3732" t="s">
        <v>1676</v>
      </c>
      <c r="J5" s="3733"/>
      <c r="K5" s="559"/>
      <c r="L5" s="2715"/>
      <c r="M5" s="2716"/>
      <c r="N5" s="2716"/>
      <c r="O5" s="2716"/>
      <c r="P5" s="3749"/>
      <c r="Q5" s="3720"/>
      <c r="R5" s="3725"/>
      <c r="S5" s="3726"/>
      <c r="T5" s="3725"/>
      <c r="U5" s="3726"/>
      <c r="V5" s="3729"/>
      <c r="W5" s="3729"/>
      <c r="X5" s="1355"/>
      <c r="Y5" s="3725"/>
      <c r="Z5" s="3726"/>
      <c r="AA5" s="3711"/>
      <c r="AB5" s="3711"/>
      <c r="AC5" s="3745"/>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50"/>
      <c r="Q6" s="3722"/>
      <c r="R6" s="3725"/>
      <c r="S6" s="3726"/>
      <c r="T6" s="3727"/>
      <c r="U6" s="3728"/>
      <c r="V6" s="3729"/>
      <c r="W6" s="3729"/>
      <c r="X6" s="1355"/>
      <c r="Y6" s="3727"/>
      <c r="Z6" s="3728"/>
      <c r="AA6" s="3712"/>
      <c r="AB6" s="3712"/>
      <c r="AC6" s="3746"/>
    </row>
    <row r="7" spans="1:29" s="108" customFormat="1" ht="15.75" thickBot="1">
      <c r="A7" s="362" t="s">
        <v>1679</v>
      </c>
      <c r="B7" s="363"/>
      <c r="C7" s="364">
        <f>'数据-取费表'!B2</f>
        <v>44959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5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54" t="s">
        <v>1683</v>
      </c>
      <c r="Q8" s="3735"/>
      <c r="R8" s="701" t="s">
        <v>14</v>
      </c>
      <c r="S8" s="702">
        <f t="shared" si="0"/>
        <v>100</v>
      </c>
      <c r="T8" s="701" t="s">
        <v>14</v>
      </c>
      <c r="U8" s="702">
        <f t="shared" si="1"/>
        <v>100</v>
      </c>
      <c r="V8" s="701" t="s">
        <v>14</v>
      </c>
      <c r="W8" s="702">
        <f t="shared" si="2"/>
        <v>100</v>
      </c>
      <c r="X8" s="703"/>
      <c r="Y8" s="3734" t="s">
        <v>1683</v>
      </c>
      <c r="Z8" s="373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9"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9"/>
      <c r="Q11" s="1343" t="str">
        <f t="shared" si="6"/>
        <v>容积率</v>
      </c>
      <c r="R11" s="701" t="s">
        <v>14</v>
      </c>
      <c r="S11" s="702">
        <f t="shared" si="0"/>
        <v>100</v>
      </c>
      <c r="T11" s="701" t="s">
        <v>14</v>
      </c>
      <c r="U11" s="702">
        <f t="shared" si="1"/>
        <v>100</v>
      </c>
      <c r="V11" s="701" t="s">
        <v>14</v>
      </c>
      <c r="W11" s="702">
        <f t="shared" si="2"/>
        <v>100</v>
      </c>
      <c r="X11" s="703"/>
      <c r="Y11" s="357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9"/>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9"/>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9"/>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7" t="s">
        <v>1691</v>
      </c>
      <c r="Q15" s="1352" t="str">
        <f t="shared" si="6"/>
        <v>办公集聚程度</v>
      </c>
      <c r="R15" s="705" t="s">
        <v>14</v>
      </c>
      <c r="S15" s="706">
        <f t="shared" si="0"/>
        <v>100</v>
      </c>
      <c r="T15" s="705" t="s">
        <v>14</v>
      </c>
      <c r="U15" s="706">
        <f t="shared" si="1"/>
        <v>100</v>
      </c>
      <c r="V15" s="705" t="s">
        <v>14</v>
      </c>
      <c r="W15" s="706">
        <f t="shared" si="2"/>
        <v>100</v>
      </c>
      <c r="X15" s="1355"/>
      <c r="Y15" s="370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8"/>
      <c r="Q16" s="1352"/>
      <c r="R16" s="705"/>
      <c r="S16" s="706"/>
      <c r="T16" s="705"/>
      <c r="U16" s="706"/>
      <c r="V16" s="705"/>
      <c r="W16" s="706"/>
      <c r="X16" s="1355"/>
      <c r="Y16" s="370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8"/>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8"/>
      <c r="Q18" s="1352"/>
      <c r="R18" s="705"/>
      <c r="S18" s="706"/>
      <c r="T18" s="705"/>
      <c r="U18" s="706"/>
      <c r="V18" s="705"/>
      <c r="W18" s="706"/>
      <c r="X18" s="1355"/>
      <c r="Y18" s="370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8"/>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8"/>
      <c r="Q20" s="1352"/>
      <c r="R20" s="705"/>
      <c r="S20" s="706"/>
      <c r="T20" s="705"/>
      <c r="U20" s="706"/>
      <c r="V20" s="705"/>
      <c r="W20" s="706"/>
      <c r="X20" s="1355"/>
      <c r="Y20" s="370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8"/>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8"/>
      <c r="Q22" s="1352"/>
      <c r="R22" s="705"/>
      <c r="S22" s="706"/>
      <c r="T22" s="705"/>
      <c r="U22" s="706"/>
      <c r="V22" s="705"/>
      <c r="W22" s="706"/>
      <c r="X22" s="1355"/>
      <c r="Y22" s="370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8"/>
      <c r="Q23" s="1352" t="str">
        <f>B23</f>
        <v>环境质量</v>
      </c>
      <c r="R23" s="705" t="s">
        <v>14</v>
      </c>
      <c r="S23" s="706">
        <f>F23</f>
        <v>100</v>
      </c>
      <c r="T23" s="705" t="s">
        <v>14</v>
      </c>
      <c r="U23" s="706">
        <f>H23</f>
        <v>100</v>
      </c>
      <c r="V23" s="705" t="s">
        <v>14</v>
      </c>
      <c r="W23" s="706">
        <f>J23</f>
        <v>100</v>
      </c>
      <c r="X23" s="1355"/>
      <c r="Y23" s="370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8"/>
      <c r="Q24" s="1352"/>
      <c r="R24" s="705"/>
      <c r="S24" s="706"/>
      <c r="T24" s="705"/>
      <c r="U24" s="706"/>
      <c r="V24" s="705"/>
      <c r="W24" s="706"/>
      <c r="X24" s="1355"/>
      <c r="Y24" s="370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8"/>
      <c r="Q25" s="1352" t="str">
        <f>B25</f>
        <v>毗邻道路的类型与等级</v>
      </c>
      <c r="R25" s="705" t="s">
        <v>14</v>
      </c>
      <c r="S25" s="706">
        <f>F25</f>
        <v>100</v>
      </c>
      <c r="T25" s="705" t="s">
        <v>14</v>
      </c>
      <c r="U25" s="706">
        <f>H25</f>
        <v>100</v>
      </c>
      <c r="V25" s="705" t="s">
        <v>14</v>
      </c>
      <c r="W25" s="706">
        <f>J25</f>
        <v>100</v>
      </c>
      <c r="X25" s="1355"/>
      <c r="Y25" s="370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8"/>
      <c r="Q26" s="1352"/>
      <c r="R26" s="705"/>
      <c r="S26" s="706"/>
      <c r="T26" s="705"/>
      <c r="U26" s="706"/>
      <c r="V26" s="705"/>
      <c r="W26" s="706"/>
      <c r="X26" s="1355"/>
      <c r="Y26" s="370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8"/>
      <c r="Q27" s="1352" t="str">
        <f t="shared" ref="Q27:Q47" si="11">B27</f>
        <v>楼层</v>
      </c>
      <c r="R27" s="705" t="s">
        <v>14</v>
      </c>
      <c r="S27" s="706">
        <f>F27</f>
        <v>100</v>
      </c>
      <c r="T27" s="705" t="s">
        <v>14</v>
      </c>
      <c r="U27" s="706">
        <f>H27</f>
        <v>100</v>
      </c>
      <c r="V27" s="705" t="s">
        <v>14</v>
      </c>
      <c r="W27" s="706">
        <f>J27</f>
        <v>100</v>
      </c>
      <c r="X27" s="1355"/>
      <c r="Y27" s="370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8"/>
      <c r="Q28" s="1343" t="str">
        <f t="shared" si="11"/>
        <v>朝向</v>
      </c>
      <c r="R28" s="701" t="s">
        <v>14</v>
      </c>
      <c r="S28" s="702">
        <f>F28</f>
        <v>100</v>
      </c>
      <c r="T28" s="701" t="s">
        <v>14</v>
      </c>
      <c r="U28" s="702">
        <f>H28</f>
        <v>100</v>
      </c>
      <c r="V28" s="701" t="s">
        <v>14</v>
      </c>
      <c r="W28" s="702">
        <f>J28</f>
        <v>100</v>
      </c>
      <c r="X28" s="703"/>
      <c r="Y28" s="370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8"/>
      <c r="Q29" s="1352">
        <f t="shared" si="11"/>
        <v>111</v>
      </c>
      <c r="R29" s="705" t="s">
        <v>14</v>
      </c>
      <c r="S29" s="706">
        <f t="shared" ref="S29:S47" si="12">F29</f>
        <v>100</v>
      </c>
      <c r="T29" s="705" t="s">
        <v>14</v>
      </c>
      <c r="U29" s="706">
        <f t="shared" ref="U29:U47" si="13">H29</f>
        <v>100</v>
      </c>
      <c r="V29" s="705" t="s">
        <v>14</v>
      </c>
      <c r="W29" s="706">
        <f t="shared" ref="W29:W47" si="14">J29</f>
        <v>100</v>
      </c>
      <c r="X29" s="1355"/>
      <c r="Y29" s="370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8"/>
      <c r="Q30" s="1352">
        <f t="shared" si="11"/>
        <v>111</v>
      </c>
      <c r="R30" s="705" t="s">
        <v>14</v>
      </c>
      <c r="S30" s="706">
        <f t="shared" si="12"/>
        <v>100</v>
      </c>
      <c r="T30" s="705" t="s">
        <v>14</v>
      </c>
      <c r="U30" s="706">
        <f t="shared" si="13"/>
        <v>100</v>
      </c>
      <c r="V30" s="705" t="s">
        <v>14</v>
      </c>
      <c r="W30" s="706">
        <f t="shared" si="14"/>
        <v>100</v>
      </c>
      <c r="X30" s="1355"/>
      <c r="Y30" s="370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8"/>
      <c r="Q31" s="1352">
        <f t="shared" si="11"/>
        <v>111</v>
      </c>
      <c r="R31" s="705" t="s">
        <v>14</v>
      </c>
      <c r="S31" s="706">
        <f t="shared" si="12"/>
        <v>100</v>
      </c>
      <c r="T31" s="705" t="s">
        <v>14</v>
      </c>
      <c r="U31" s="706">
        <f t="shared" si="13"/>
        <v>100</v>
      </c>
      <c r="V31" s="705" t="s">
        <v>14</v>
      </c>
      <c r="W31" s="706">
        <f t="shared" si="14"/>
        <v>100</v>
      </c>
      <c r="X31" s="1355"/>
      <c r="Y31" s="370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8"/>
      <c r="Q32" s="1352">
        <f t="shared" si="11"/>
        <v>111</v>
      </c>
      <c r="R32" s="705" t="s">
        <v>14</v>
      </c>
      <c r="S32" s="706">
        <f t="shared" si="12"/>
        <v>100</v>
      </c>
      <c r="T32" s="705" t="s">
        <v>14</v>
      </c>
      <c r="U32" s="706">
        <f t="shared" si="13"/>
        <v>100</v>
      </c>
      <c r="V32" s="705" t="s">
        <v>14</v>
      </c>
      <c r="W32" s="706">
        <f t="shared" si="14"/>
        <v>100</v>
      </c>
      <c r="X32" s="1355"/>
      <c r="Y32" s="370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2" t="s">
        <v>1696</v>
      </c>
      <c r="Q33" s="1352" t="str">
        <f t="shared" si="11"/>
        <v>建筑类型</v>
      </c>
      <c r="R33" s="705" t="s">
        <v>14</v>
      </c>
      <c r="S33" s="706">
        <f t="shared" si="12"/>
        <v>100</v>
      </c>
      <c r="T33" s="705" t="s">
        <v>14</v>
      </c>
      <c r="U33" s="706">
        <f t="shared" si="13"/>
        <v>100</v>
      </c>
      <c r="V33" s="705" t="s">
        <v>14</v>
      </c>
      <c r="W33" s="706">
        <f t="shared" si="14"/>
        <v>100</v>
      </c>
      <c r="X33" s="1355"/>
      <c r="Y33" s="370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3"/>
      <c r="Q34" s="707" t="str">
        <f t="shared" si="11"/>
        <v>项目建筑规模</v>
      </c>
      <c r="R34" s="708" t="s">
        <v>14</v>
      </c>
      <c r="S34" s="709" t="e">
        <f t="shared" si="12"/>
        <v>#N/A</v>
      </c>
      <c r="T34" s="708" t="s">
        <v>14</v>
      </c>
      <c r="U34" s="709" t="e">
        <f t="shared" si="13"/>
        <v>#N/A</v>
      </c>
      <c r="V34" s="708" t="s">
        <v>14</v>
      </c>
      <c r="W34" s="709" t="e">
        <f t="shared" si="14"/>
        <v>#N/A</v>
      </c>
      <c r="X34" s="710"/>
      <c r="Y34" s="370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3"/>
      <c r="Q35" s="1352" t="str">
        <f t="shared" si="11"/>
        <v>建筑结构</v>
      </c>
      <c r="R35" s="705" t="s">
        <v>14</v>
      </c>
      <c r="S35" s="706">
        <f t="shared" si="12"/>
        <v>100</v>
      </c>
      <c r="T35" s="705" t="s">
        <v>14</v>
      </c>
      <c r="U35" s="706">
        <f t="shared" si="13"/>
        <v>100</v>
      </c>
      <c r="V35" s="705" t="s">
        <v>14</v>
      </c>
      <c r="W35" s="706">
        <f t="shared" si="14"/>
        <v>100</v>
      </c>
      <c r="X35" s="1355"/>
      <c r="Y35" s="370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3"/>
      <c r="Q36" s="1352" t="str">
        <f t="shared" si="11"/>
        <v>公共部分装修</v>
      </c>
      <c r="R36" s="705" t="s">
        <v>14</v>
      </c>
      <c r="S36" s="706">
        <f t="shared" si="12"/>
        <v>100</v>
      </c>
      <c r="T36" s="705" t="s">
        <v>14</v>
      </c>
      <c r="U36" s="706">
        <f t="shared" si="13"/>
        <v>100</v>
      </c>
      <c r="V36" s="705" t="s">
        <v>14</v>
      </c>
      <c r="W36" s="706">
        <f t="shared" si="14"/>
        <v>100</v>
      </c>
      <c r="X36" s="1355"/>
      <c r="Y36" s="370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3"/>
      <c r="Q37" s="1352" t="str">
        <f t="shared" si="11"/>
        <v>成新度</v>
      </c>
      <c r="R37" s="705" t="s">
        <v>14</v>
      </c>
      <c r="S37" s="706" t="e">
        <f t="shared" si="12"/>
        <v>#N/A</v>
      </c>
      <c r="T37" s="705" t="s">
        <v>14</v>
      </c>
      <c r="U37" s="706" t="e">
        <f t="shared" si="13"/>
        <v>#N/A</v>
      </c>
      <c r="V37" s="705" t="s">
        <v>14</v>
      </c>
      <c r="W37" s="706" t="e">
        <f t="shared" si="14"/>
        <v>#N/A</v>
      </c>
      <c r="X37" s="1355"/>
      <c r="Y37" s="370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3"/>
      <c r="Q38" s="1343" t="str">
        <f t="shared" si="11"/>
        <v>写字楼等级</v>
      </c>
      <c r="R38" s="701" t="s">
        <v>14</v>
      </c>
      <c r="S38" s="702">
        <f t="shared" si="12"/>
        <v>100</v>
      </c>
      <c r="T38" s="701" t="s">
        <v>14</v>
      </c>
      <c r="U38" s="702">
        <f t="shared" si="13"/>
        <v>100</v>
      </c>
      <c r="V38" s="701" t="s">
        <v>14</v>
      </c>
      <c r="W38" s="702">
        <f t="shared" si="14"/>
        <v>100</v>
      </c>
      <c r="X38" s="703"/>
      <c r="Y38" s="370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3" t="s">
        <v>1696</v>
      </c>
      <c r="Q39" s="1352" t="str">
        <f t="shared" si="11"/>
        <v>物业管理</v>
      </c>
      <c r="R39" s="705" t="s">
        <v>14</v>
      </c>
      <c r="S39" s="706">
        <f t="shared" si="12"/>
        <v>100</v>
      </c>
      <c r="T39" s="705" t="s">
        <v>14</v>
      </c>
      <c r="U39" s="706">
        <f t="shared" si="13"/>
        <v>100</v>
      </c>
      <c r="V39" s="705" t="s">
        <v>14</v>
      </c>
      <c r="W39" s="706">
        <f t="shared" si="14"/>
        <v>100</v>
      </c>
      <c r="X39" s="1355"/>
      <c r="Y39" s="370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3"/>
      <c r="Q40" s="1352" t="str">
        <f t="shared" si="11"/>
        <v>市政基础设施</v>
      </c>
      <c r="R40" s="705" t="s">
        <v>14</v>
      </c>
      <c r="S40" s="706">
        <f t="shared" si="12"/>
        <v>100</v>
      </c>
      <c r="T40" s="705" t="s">
        <v>14</v>
      </c>
      <c r="U40" s="706">
        <f t="shared" si="13"/>
        <v>100</v>
      </c>
      <c r="V40" s="705" t="s">
        <v>14</v>
      </c>
      <c r="W40" s="706">
        <f t="shared" si="14"/>
        <v>100</v>
      </c>
      <c r="X40" s="1355"/>
      <c r="Y40" s="370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3"/>
      <c r="Q41" s="1352" t="str">
        <f t="shared" si="11"/>
        <v>层高</v>
      </c>
      <c r="R41" s="705" t="s">
        <v>14</v>
      </c>
      <c r="S41" s="706">
        <f t="shared" si="12"/>
        <v>100</v>
      </c>
      <c r="T41" s="705" t="s">
        <v>14</v>
      </c>
      <c r="U41" s="706">
        <f t="shared" si="13"/>
        <v>100</v>
      </c>
      <c r="V41" s="705" t="s">
        <v>14</v>
      </c>
      <c r="W41" s="706">
        <f t="shared" si="14"/>
        <v>100</v>
      </c>
      <c r="X41" s="1355"/>
      <c r="Y41" s="370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3"/>
      <c r="Q42" s="707" t="str">
        <f t="shared" si="11"/>
        <v>单套建筑面积</v>
      </c>
      <c r="R42" s="708" t="s">
        <v>14</v>
      </c>
      <c r="S42" s="709">
        <f t="shared" si="12"/>
        <v>100</v>
      </c>
      <c r="T42" s="708" t="s">
        <v>14</v>
      </c>
      <c r="U42" s="709">
        <f t="shared" si="13"/>
        <v>100</v>
      </c>
      <c r="V42" s="708" t="s">
        <v>14</v>
      </c>
      <c r="W42" s="709">
        <f t="shared" si="14"/>
        <v>100</v>
      </c>
      <c r="X42" s="710"/>
      <c r="Y42" s="370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3"/>
      <c r="Q43" s="1352" t="str">
        <f t="shared" si="11"/>
        <v>内部装修</v>
      </c>
      <c r="R43" s="705" t="s">
        <v>14</v>
      </c>
      <c r="S43" s="706">
        <f t="shared" si="12"/>
        <v>100</v>
      </c>
      <c r="T43" s="705" t="s">
        <v>14</v>
      </c>
      <c r="U43" s="706">
        <f t="shared" si="13"/>
        <v>100</v>
      </c>
      <c r="V43" s="705" t="s">
        <v>14</v>
      </c>
      <c r="W43" s="706">
        <f t="shared" si="14"/>
        <v>100</v>
      </c>
      <c r="X43" s="1355"/>
      <c r="Y43" s="370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3"/>
      <c r="Q44" s="1352" t="str">
        <f t="shared" si="11"/>
        <v>内部装修维护情况</v>
      </c>
      <c r="R44" s="705" t="s">
        <v>14</v>
      </c>
      <c r="S44" s="706">
        <f t="shared" si="12"/>
        <v>100</v>
      </c>
      <c r="T44" s="705" t="s">
        <v>14</v>
      </c>
      <c r="U44" s="706">
        <f t="shared" si="13"/>
        <v>100</v>
      </c>
      <c r="V44" s="705" t="s">
        <v>14</v>
      </c>
      <c r="W44" s="706">
        <f t="shared" si="14"/>
        <v>100</v>
      </c>
      <c r="X44" s="1355"/>
      <c r="Y44" s="370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3"/>
      <c r="Q45" s="1343">
        <f t="shared" si="11"/>
        <v>111</v>
      </c>
      <c r="R45" s="701" t="s">
        <v>14</v>
      </c>
      <c r="S45" s="702">
        <f t="shared" si="12"/>
        <v>100</v>
      </c>
      <c r="T45" s="701" t="s">
        <v>14</v>
      </c>
      <c r="U45" s="702">
        <f t="shared" si="13"/>
        <v>100</v>
      </c>
      <c r="V45" s="701" t="s">
        <v>14</v>
      </c>
      <c r="W45" s="702">
        <f t="shared" si="14"/>
        <v>100</v>
      </c>
      <c r="X45" s="703"/>
      <c r="Y45" s="370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4"/>
      <c r="Q47" s="1352">
        <f t="shared" si="11"/>
        <v>111</v>
      </c>
      <c r="R47" s="705" t="s">
        <v>14</v>
      </c>
      <c r="S47" s="706">
        <f t="shared" si="12"/>
        <v>100</v>
      </c>
      <c r="T47" s="705" t="s">
        <v>14</v>
      </c>
      <c r="U47" s="706">
        <f t="shared" si="13"/>
        <v>100</v>
      </c>
      <c r="V47" s="705" t="s">
        <v>14</v>
      </c>
      <c r="W47" s="706">
        <f t="shared" si="14"/>
        <v>100</v>
      </c>
      <c r="X47" s="1355"/>
      <c r="Y47" s="370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9" t="str">
        <f>A48</f>
        <v>成交单价（元/平方米）</v>
      </c>
      <c r="Q48" s="3698"/>
      <c r="R48" s="3699">
        <f>E48</f>
        <v>0</v>
      </c>
      <c r="S48" s="3699"/>
      <c r="T48" s="3699">
        <f>G48</f>
        <v>0</v>
      </c>
      <c r="U48" s="3699"/>
      <c r="V48" s="3699">
        <f>I48</f>
        <v>0</v>
      </c>
      <c r="W48" s="3699"/>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9" t="str">
        <f>A49</f>
        <v>比较价值（元/平方米）</v>
      </c>
      <c r="Q49" s="3698"/>
      <c r="R49" s="3699" t="e">
        <f>IF(F1="售价",ROUND(PRODUCT(R48,AA7:AA47),0),ROUND(PRODUCT(R48,AA7:AA47),1))</f>
        <v>#DIV/0!</v>
      </c>
      <c r="S49" s="3699"/>
      <c r="T49" s="3699" t="e">
        <f>IF(F1="售价",ROUND(PRODUCT(T48,AB7:AB47),0),ROUND(PRODUCT(T48,AB7:AB47),1))</f>
        <v>#DIV/0!</v>
      </c>
      <c r="U49" s="3699"/>
      <c r="V49" s="3699" t="e">
        <f>IF(F1="售价",ROUND(PRODUCT(V48,AC7:AC47),0),ROUND(PRODUCT(V48,AC7:AC47),1))</f>
        <v>#DIV/0!</v>
      </c>
      <c r="W49" s="369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1" t="str">
        <f>A50</f>
        <v>估价对象XX用房的比较价值（楼面单价，元/平方米）</v>
      </c>
      <c r="Q50" s="3742"/>
      <c r="R50" s="3743" t="e">
        <f>IF(F1="售价",ROUND(IF(D49="简单平均",AVERAGE(R49:V49),R49*F49+T49*H49+V49*J49),0),ROUND(IF(D49="简单平均",AVERAGE(R49:V49),R49*F49+T49*H49+V49*J49),1))</f>
        <v>#DIV/0!</v>
      </c>
      <c r="S50" s="3743"/>
      <c r="T50" s="3743"/>
      <c r="U50" s="3743"/>
      <c r="V50" s="3743"/>
      <c r="W50" s="374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9" priority="20" stopIfTrue="1" operator="containsText" text="超过">
      <formula>NOT(ISERROR(SEARCH("超过",F53)))</formula>
    </cfRule>
  </conditionalFormatting>
  <conditionalFormatting sqref="H55">
    <cfRule type="containsText" dxfId="138" priority="19" stopIfTrue="1" operator="containsText" text="超过">
      <formula>NOT(ISERROR(SEARCH("超过",H55)))</formula>
    </cfRule>
  </conditionalFormatting>
  <conditionalFormatting sqref="F55">
    <cfRule type="containsText" dxfId="137" priority="18" stopIfTrue="1" operator="containsText" text="超过">
      <formula>NOT(ISERROR(SEARCH("超过",F55)))</formula>
    </cfRule>
  </conditionalFormatting>
  <conditionalFormatting sqref="F54 H54">
    <cfRule type="containsText" dxfId="136" priority="17" stopIfTrue="1" operator="containsText" text="超过">
      <formula>NOT(ISERROR(SEARCH("超过",F54)))</formula>
    </cfRule>
  </conditionalFormatting>
  <conditionalFormatting sqref="E53">
    <cfRule type="expression" dxfId="135" priority="16" stopIfTrue="1">
      <formula>$F$53="超过30%"</formula>
    </cfRule>
  </conditionalFormatting>
  <conditionalFormatting sqref="E54">
    <cfRule type="expression" dxfId="134" priority="15" stopIfTrue="1">
      <formula>$F$54="超过20%"</formula>
    </cfRule>
  </conditionalFormatting>
  <conditionalFormatting sqref="E55">
    <cfRule type="expression" dxfId="133" priority="14" stopIfTrue="1">
      <formula>$F$55="超过30%"</formula>
    </cfRule>
  </conditionalFormatting>
  <conditionalFormatting sqref="G55">
    <cfRule type="expression" dxfId="132" priority="13" stopIfTrue="1">
      <formula>$H$55="超过30%"</formula>
    </cfRule>
  </conditionalFormatting>
  <conditionalFormatting sqref="G53">
    <cfRule type="expression" dxfId="131" priority="12" stopIfTrue="1">
      <formula>$H$53="超过30%"</formula>
    </cfRule>
  </conditionalFormatting>
  <conditionalFormatting sqref="G54">
    <cfRule type="expression" dxfId="130" priority="11" stopIfTrue="1">
      <formula>$H$54="超过20%"</formula>
    </cfRule>
  </conditionalFormatting>
  <conditionalFormatting sqref="J53">
    <cfRule type="containsText" dxfId="129" priority="10" stopIfTrue="1" operator="containsText" text="超过">
      <formula>NOT(ISERROR(SEARCH("超过",J53)))</formula>
    </cfRule>
  </conditionalFormatting>
  <conditionalFormatting sqref="J55">
    <cfRule type="containsText" dxfId="128" priority="9" stopIfTrue="1" operator="containsText" text="超过">
      <formula>NOT(ISERROR(SEARCH("超过",J55)))</formula>
    </cfRule>
  </conditionalFormatting>
  <conditionalFormatting sqref="J54">
    <cfRule type="containsText" dxfId="127" priority="8" stopIfTrue="1" operator="containsText" text="超过">
      <formula>NOT(ISERROR(SEARCH("超过",J54)))</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7:F47 H7:H47 J7:J47">
    <cfRule type="cellIs" dxfId="12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5033.37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913"/>
      <c r="M4" s="914"/>
      <c r="N4" s="914"/>
      <c r="O4" s="914"/>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913"/>
      <c r="M5" s="914"/>
      <c r="N5" s="914"/>
      <c r="O5" s="914"/>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559" t="s">
        <v>1678</v>
      </c>
      <c r="L6" s="913"/>
      <c r="M6" s="914"/>
      <c r="N6" s="914"/>
      <c r="O6" s="914"/>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44959</v>
      </c>
      <c r="D7" s="365">
        <v>100</v>
      </c>
      <c r="E7" s="366"/>
      <c r="F7" s="367">
        <f>SUMIF(52:52,YEAR(E7)&amp;"-"&amp;MONTH(E7),53:53)</f>
        <v>0</v>
      </c>
      <c r="G7" s="366"/>
      <c r="H7" s="365">
        <f>SUMIF(52:52,YEAR(G7)&amp;"-"&amp;MONTH(G7),53:53)</f>
        <v>0</v>
      </c>
      <c r="I7" s="366"/>
      <c r="J7" s="365">
        <f>SUMIF(52:52,YEAR(I7)&amp;"-"&amp;MONTH(I7),53:53)</f>
        <v>0</v>
      </c>
      <c r="K7" s="560"/>
      <c r="L7" s="915"/>
      <c r="M7" s="916"/>
      <c r="N7" s="916"/>
      <c r="O7" s="916"/>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4" t="s">
        <v>1683</v>
      </c>
      <c r="Q8" s="3735"/>
      <c r="R8" s="701" t="s">
        <v>14</v>
      </c>
      <c r="S8" s="702">
        <f t="shared" si="0"/>
        <v>100</v>
      </c>
      <c r="T8" s="701" t="s">
        <v>14</v>
      </c>
      <c r="U8" s="702">
        <f t="shared" si="1"/>
        <v>100</v>
      </c>
      <c r="V8" s="701" t="s">
        <v>14</v>
      </c>
      <c r="W8" s="702">
        <f t="shared" si="2"/>
        <v>100</v>
      </c>
      <c r="X8" s="703"/>
      <c r="Y8" s="3734" t="s">
        <v>1683</v>
      </c>
      <c r="Z8" s="373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8"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8"/>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8"/>
      <c r="Q11" s="1343" t="str">
        <f t="shared" si="6"/>
        <v>容积率</v>
      </c>
      <c r="R11" s="701" t="s">
        <v>14</v>
      </c>
      <c r="S11" s="702">
        <f t="shared" si="0"/>
        <v>100</v>
      </c>
      <c r="T11" s="701" t="s">
        <v>14</v>
      </c>
      <c r="U11" s="702">
        <f t="shared" si="1"/>
        <v>100</v>
      </c>
      <c r="V11" s="701" t="s">
        <v>14</v>
      </c>
      <c r="W11" s="702">
        <f t="shared" si="2"/>
        <v>100</v>
      </c>
      <c r="X11" s="703"/>
      <c r="Y11" s="357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8"/>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0" t="s">
        <v>1691</v>
      </c>
      <c r="Q15" s="1352" t="str">
        <f t="shared" si="6"/>
        <v>产业集聚程度</v>
      </c>
      <c r="R15" s="705" t="s">
        <v>14</v>
      </c>
      <c r="S15" s="706">
        <f t="shared" si="0"/>
        <v>100</v>
      </c>
      <c r="T15" s="705" t="s">
        <v>14</v>
      </c>
      <c r="U15" s="706">
        <f t="shared" si="1"/>
        <v>100</v>
      </c>
      <c r="V15" s="705" t="s">
        <v>14</v>
      </c>
      <c r="W15" s="706">
        <f t="shared" si="2"/>
        <v>100</v>
      </c>
      <c r="X15" s="1355"/>
      <c r="Y15" s="370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1"/>
      <c r="Q16" s="1352"/>
      <c r="R16" s="705"/>
      <c r="S16" s="706"/>
      <c r="T16" s="705"/>
      <c r="U16" s="706"/>
      <c r="V16" s="705"/>
      <c r="W16" s="706"/>
      <c r="X16" s="1355"/>
      <c r="Y16" s="370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1"/>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1"/>
      <c r="Q18" s="1352"/>
      <c r="R18" s="705"/>
      <c r="S18" s="706"/>
      <c r="T18" s="705"/>
      <c r="U18" s="706"/>
      <c r="V18" s="705"/>
      <c r="W18" s="706"/>
      <c r="X18" s="1355"/>
      <c r="Y18" s="370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1"/>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1"/>
      <c r="Q20" s="1352"/>
      <c r="R20" s="705"/>
      <c r="S20" s="706"/>
      <c r="T20" s="705"/>
      <c r="U20" s="706"/>
      <c r="V20" s="705"/>
      <c r="W20" s="706"/>
      <c r="X20" s="1355"/>
      <c r="Y20" s="370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1"/>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1"/>
      <c r="Q22" s="1352"/>
      <c r="R22" s="705"/>
      <c r="S22" s="706"/>
      <c r="T22" s="705"/>
      <c r="U22" s="706"/>
      <c r="V22" s="705"/>
      <c r="W22" s="706"/>
      <c r="X22" s="1355"/>
      <c r="Y22" s="370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1"/>
      <c r="Q23" s="1352" t="str">
        <f>B23</f>
        <v>环境质量</v>
      </c>
      <c r="R23" s="705" t="s">
        <v>14</v>
      </c>
      <c r="S23" s="706">
        <f>F23</f>
        <v>100</v>
      </c>
      <c r="T23" s="705" t="s">
        <v>14</v>
      </c>
      <c r="U23" s="706">
        <f>H23</f>
        <v>100</v>
      </c>
      <c r="V23" s="705" t="s">
        <v>14</v>
      </c>
      <c r="W23" s="706">
        <f>J23</f>
        <v>100</v>
      </c>
      <c r="X23" s="1355"/>
      <c r="Y23" s="370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1"/>
      <c r="Q24" s="1352"/>
      <c r="R24" s="705"/>
      <c r="S24" s="706"/>
      <c r="T24" s="705"/>
      <c r="U24" s="706"/>
      <c r="V24" s="705"/>
      <c r="W24" s="706"/>
      <c r="X24" s="1355"/>
      <c r="Y24" s="370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1"/>
      <c r="Q25" s="1352">
        <f>B25</f>
        <v>111</v>
      </c>
      <c r="R25" s="705" t="s">
        <v>14</v>
      </c>
      <c r="S25" s="706">
        <f>F25</f>
        <v>100</v>
      </c>
      <c r="T25" s="705" t="s">
        <v>14</v>
      </c>
      <c r="U25" s="706">
        <f>H25</f>
        <v>100</v>
      </c>
      <c r="V25" s="705" t="s">
        <v>14</v>
      </c>
      <c r="W25" s="706">
        <f>J25</f>
        <v>100</v>
      </c>
      <c r="X25" s="1355"/>
      <c r="Y25" s="370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1"/>
      <c r="Q26" s="1352">
        <f t="shared" ref="Q26:Q40" si="11">B26</f>
        <v>111</v>
      </c>
      <c r="R26" s="705" t="s">
        <v>14</v>
      </c>
      <c r="S26" s="706">
        <f>F26</f>
        <v>100</v>
      </c>
      <c r="T26" s="705" t="s">
        <v>14</v>
      </c>
      <c r="U26" s="706">
        <f>H26</f>
        <v>100</v>
      </c>
      <c r="V26" s="705" t="s">
        <v>14</v>
      </c>
      <c r="W26" s="706">
        <f>J26</f>
        <v>100</v>
      </c>
      <c r="X26" s="1355"/>
      <c r="Y26" s="370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1"/>
      <c r="Q27" s="1343">
        <f t="shared" si="11"/>
        <v>111</v>
      </c>
      <c r="R27" s="701" t="s">
        <v>14</v>
      </c>
      <c r="S27" s="702">
        <f>F27</f>
        <v>100</v>
      </c>
      <c r="T27" s="701" t="s">
        <v>14</v>
      </c>
      <c r="U27" s="702">
        <f>H27</f>
        <v>100</v>
      </c>
      <c r="V27" s="701" t="s">
        <v>14</v>
      </c>
      <c r="W27" s="702">
        <f>J27</f>
        <v>100</v>
      </c>
      <c r="X27" s="703"/>
      <c r="Y27" s="370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1"/>
      <c r="Q28" s="1352">
        <f t="shared" si="11"/>
        <v>111</v>
      </c>
      <c r="R28" s="705" t="s">
        <v>14</v>
      </c>
      <c r="S28" s="706">
        <f t="shared" ref="S28:S40" si="12">F28</f>
        <v>100</v>
      </c>
      <c r="T28" s="705" t="s">
        <v>14</v>
      </c>
      <c r="U28" s="706">
        <f t="shared" ref="U28:U40" si="13">H28</f>
        <v>100</v>
      </c>
      <c r="V28" s="705" t="s">
        <v>14</v>
      </c>
      <c r="W28" s="706">
        <f t="shared" ref="W28:W40" si="14">J28</f>
        <v>100</v>
      </c>
      <c r="X28" s="1355"/>
      <c r="Y28" s="370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6" t="s">
        <v>1696</v>
      </c>
      <c r="Q29" s="1352" t="str">
        <f t="shared" si="11"/>
        <v>建筑类型</v>
      </c>
      <c r="R29" s="705" t="s">
        <v>14</v>
      </c>
      <c r="S29" s="706">
        <f t="shared" si="12"/>
        <v>100</v>
      </c>
      <c r="T29" s="705" t="s">
        <v>14</v>
      </c>
      <c r="U29" s="706">
        <f t="shared" si="13"/>
        <v>100</v>
      </c>
      <c r="V29" s="705" t="s">
        <v>14</v>
      </c>
      <c r="W29" s="706">
        <f t="shared" si="14"/>
        <v>100</v>
      </c>
      <c r="X29" s="1355"/>
      <c r="Y29" s="370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5"/>
      <c r="Q30" s="707" t="str">
        <f t="shared" si="11"/>
        <v>项目建筑规模</v>
      </c>
      <c r="R30" s="708" t="s">
        <v>14</v>
      </c>
      <c r="S30" s="709" t="e">
        <f t="shared" si="12"/>
        <v>#N/A</v>
      </c>
      <c r="T30" s="708" t="s">
        <v>14</v>
      </c>
      <c r="U30" s="709" t="e">
        <f t="shared" si="13"/>
        <v>#N/A</v>
      </c>
      <c r="V30" s="708" t="s">
        <v>14</v>
      </c>
      <c r="W30" s="709" t="e">
        <f t="shared" si="14"/>
        <v>#N/A</v>
      </c>
      <c r="X30" s="710"/>
      <c r="Y30" s="370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5"/>
      <c r="Q31" s="1352" t="str">
        <f t="shared" si="11"/>
        <v>建筑结构</v>
      </c>
      <c r="R31" s="705" t="s">
        <v>14</v>
      </c>
      <c r="S31" s="706">
        <f t="shared" si="12"/>
        <v>100</v>
      </c>
      <c r="T31" s="705" t="s">
        <v>14</v>
      </c>
      <c r="U31" s="706">
        <f t="shared" si="13"/>
        <v>100</v>
      </c>
      <c r="V31" s="705" t="s">
        <v>14</v>
      </c>
      <c r="W31" s="706">
        <f t="shared" si="14"/>
        <v>100</v>
      </c>
      <c r="X31" s="1355"/>
      <c r="Y31" s="370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5"/>
      <c r="Q32" s="1352" t="str">
        <f t="shared" si="11"/>
        <v>公共部分装修</v>
      </c>
      <c r="R32" s="705" t="s">
        <v>14</v>
      </c>
      <c r="S32" s="706">
        <f t="shared" si="12"/>
        <v>100</v>
      </c>
      <c r="T32" s="705" t="s">
        <v>14</v>
      </c>
      <c r="U32" s="706">
        <f t="shared" si="13"/>
        <v>100</v>
      </c>
      <c r="V32" s="705" t="s">
        <v>14</v>
      </c>
      <c r="W32" s="706">
        <f t="shared" si="14"/>
        <v>100</v>
      </c>
      <c r="X32" s="1355"/>
      <c r="Y32" s="370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5"/>
      <c r="Q33" s="1352" t="str">
        <f t="shared" si="11"/>
        <v>成新度</v>
      </c>
      <c r="R33" s="705" t="s">
        <v>14</v>
      </c>
      <c r="S33" s="706" t="e">
        <f t="shared" si="12"/>
        <v>#N/A</v>
      </c>
      <c r="T33" s="705" t="s">
        <v>14</v>
      </c>
      <c r="U33" s="706" t="e">
        <f t="shared" si="13"/>
        <v>#N/A</v>
      </c>
      <c r="V33" s="705" t="s">
        <v>14</v>
      </c>
      <c r="W33" s="706" t="e">
        <f t="shared" si="14"/>
        <v>#N/A</v>
      </c>
      <c r="X33" s="1355"/>
      <c r="Y33" s="370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5"/>
      <c r="Q34" s="1343" t="str">
        <f t="shared" si="11"/>
        <v>物业管理</v>
      </c>
      <c r="R34" s="701" t="s">
        <v>14</v>
      </c>
      <c r="S34" s="702">
        <f t="shared" si="12"/>
        <v>100</v>
      </c>
      <c r="T34" s="701" t="s">
        <v>14</v>
      </c>
      <c r="U34" s="702">
        <f t="shared" si="13"/>
        <v>100</v>
      </c>
      <c r="V34" s="701" t="s">
        <v>14</v>
      </c>
      <c r="W34" s="702">
        <f t="shared" si="14"/>
        <v>100</v>
      </c>
      <c r="X34" s="703"/>
      <c r="Y34" s="370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5" t="s">
        <v>1696</v>
      </c>
      <c r="Q35" s="1352" t="str">
        <f t="shared" si="11"/>
        <v>市政基础设施</v>
      </c>
      <c r="R35" s="705" t="s">
        <v>14</v>
      </c>
      <c r="S35" s="706">
        <f t="shared" si="12"/>
        <v>100</v>
      </c>
      <c r="T35" s="705" t="s">
        <v>14</v>
      </c>
      <c r="U35" s="706">
        <f t="shared" si="13"/>
        <v>100</v>
      </c>
      <c r="V35" s="705" t="s">
        <v>14</v>
      </c>
      <c r="W35" s="706">
        <f t="shared" si="14"/>
        <v>100</v>
      </c>
      <c r="X35" s="1355"/>
      <c r="Y35" s="370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5"/>
      <c r="Q36" s="1352" t="str">
        <f t="shared" si="11"/>
        <v>内部装修</v>
      </c>
      <c r="R36" s="705" t="s">
        <v>14</v>
      </c>
      <c r="S36" s="706">
        <f t="shared" si="12"/>
        <v>100</v>
      </c>
      <c r="T36" s="705" t="s">
        <v>14</v>
      </c>
      <c r="U36" s="706">
        <f t="shared" si="13"/>
        <v>100</v>
      </c>
      <c r="V36" s="705" t="s">
        <v>14</v>
      </c>
      <c r="W36" s="706">
        <f t="shared" si="14"/>
        <v>100</v>
      </c>
      <c r="X36" s="1355"/>
      <c r="Y36" s="370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5"/>
      <c r="Q37" s="1352" t="str">
        <f t="shared" si="11"/>
        <v>内部装修状况</v>
      </c>
      <c r="R37" s="705" t="s">
        <v>14</v>
      </c>
      <c r="S37" s="706">
        <f t="shared" si="12"/>
        <v>100</v>
      </c>
      <c r="T37" s="705" t="s">
        <v>14</v>
      </c>
      <c r="U37" s="706">
        <f t="shared" si="13"/>
        <v>100</v>
      </c>
      <c r="V37" s="705" t="s">
        <v>14</v>
      </c>
      <c r="W37" s="706">
        <f t="shared" si="14"/>
        <v>100</v>
      </c>
      <c r="X37" s="1355"/>
      <c r="Y37" s="370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5"/>
      <c r="Q38" s="707">
        <f t="shared" si="11"/>
        <v>111</v>
      </c>
      <c r="R38" s="708" t="s">
        <v>14</v>
      </c>
      <c r="S38" s="709">
        <f t="shared" si="12"/>
        <v>100</v>
      </c>
      <c r="T38" s="708" t="s">
        <v>14</v>
      </c>
      <c r="U38" s="709">
        <f t="shared" si="13"/>
        <v>100</v>
      </c>
      <c r="V38" s="708" t="s">
        <v>14</v>
      </c>
      <c r="W38" s="709">
        <f t="shared" si="14"/>
        <v>100</v>
      </c>
      <c r="X38" s="710"/>
      <c r="Y38" s="370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5"/>
      <c r="Q39" s="1352">
        <f t="shared" si="11"/>
        <v>111</v>
      </c>
      <c r="R39" s="705" t="s">
        <v>14</v>
      </c>
      <c r="S39" s="706">
        <f t="shared" si="12"/>
        <v>100</v>
      </c>
      <c r="T39" s="705" t="s">
        <v>14</v>
      </c>
      <c r="U39" s="706">
        <f t="shared" si="13"/>
        <v>100</v>
      </c>
      <c r="V39" s="705" t="s">
        <v>14</v>
      </c>
      <c r="W39" s="706">
        <f t="shared" si="14"/>
        <v>100</v>
      </c>
      <c r="X39" s="1355"/>
      <c r="Y39" s="370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6"/>
      <c r="Q40" s="1352">
        <f t="shared" si="11"/>
        <v>111</v>
      </c>
      <c r="R40" s="705" t="s">
        <v>14</v>
      </c>
      <c r="S40" s="706">
        <f t="shared" si="12"/>
        <v>100</v>
      </c>
      <c r="T40" s="705" t="s">
        <v>14</v>
      </c>
      <c r="U40" s="706">
        <f t="shared" si="13"/>
        <v>100</v>
      </c>
      <c r="V40" s="705" t="s">
        <v>14</v>
      </c>
      <c r="W40" s="706">
        <f t="shared" si="14"/>
        <v>100</v>
      </c>
      <c r="X40" s="1355"/>
      <c r="Y40" s="370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8" t="str">
        <f>A41</f>
        <v>成交单价（元/平方米）</v>
      </c>
      <c r="Q41" s="3698"/>
      <c r="R41" s="3699">
        <f>E41</f>
        <v>0</v>
      </c>
      <c r="S41" s="3699"/>
      <c r="T41" s="3699">
        <f>G41</f>
        <v>0</v>
      </c>
      <c r="U41" s="3699"/>
      <c r="V41" s="3699">
        <f>I41</f>
        <v>0</v>
      </c>
      <c r="W41" s="369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44959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4" t="s">
        <v>1680</v>
      </c>
      <c r="Q7" s="3736"/>
      <c r="R7" s="701" t="s">
        <v>14</v>
      </c>
      <c r="S7" s="702">
        <f t="shared" ref="S7:S14" si="0">F7</f>
        <v>0</v>
      </c>
      <c r="T7" s="701" t="s">
        <v>14</v>
      </c>
      <c r="U7" s="702">
        <f t="shared" ref="U7:U14" si="1">H7</f>
        <v>0</v>
      </c>
      <c r="V7" s="701" t="s">
        <v>14</v>
      </c>
      <c r="W7" s="702">
        <f t="shared" ref="W7:W14"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4" t="s">
        <v>1683</v>
      </c>
      <c r="Q8" s="3735"/>
      <c r="R8" s="701" t="s">
        <v>14</v>
      </c>
      <c r="S8" s="702">
        <f t="shared" si="0"/>
        <v>100</v>
      </c>
      <c r="T8" s="701" t="s">
        <v>14</v>
      </c>
      <c r="U8" s="702">
        <f t="shared" si="1"/>
        <v>100</v>
      </c>
      <c r="V8" s="701" t="s">
        <v>14</v>
      </c>
      <c r="W8" s="702">
        <f t="shared" si="2"/>
        <v>100</v>
      </c>
      <c r="X8" s="703"/>
      <c r="Y8" s="3734" t="s">
        <v>1683</v>
      </c>
      <c r="Z8" s="373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8" t="s">
        <v>1686</v>
      </c>
      <c r="Q9" s="1343" t="str">
        <f t="shared" ref="Q9:Q14" si="6">B9</f>
        <v>用途</v>
      </c>
      <c r="R9" s="701" t="s">
        <v>14</v>
      </c>
      <c r="S9" s="702">
        <f t="shared" si="0"/>
        <v>100</v>
      </c>
      <c r="T9" s="701" t="s">
        <v>14</v>
      </c>
      <c r="U9" s="702">
        <f t="shared" si="1"/>
        <v>100</v>
      </c>
      <c r="V9" s="701" t="s">
        <v>14</v>
      </c>
      <c r="W9" s="702">
        <f t="shared" si="2"/>
        <v>100</v>
      </c>
      <c r="X9" s="703"/>
      <c r="Y9" s="3573"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8"/>
      <c r="Q11" s="1343">
        <f t="shared" si="6"/>
        <v>111</v>
      </c>
      <c r="R11" s="701" t="s">
        <v>14</v>
      </c>
      <c r="S11" s="702">
        <f t="shared" si="0"/>
        <v>100</v>
      </c>
      <c r="T11" s="701" t="s">
        <v>14</v>
      </c>
      <c r="U11" s="702">
        <f t="shared" si="1"/>
        <v>100</v>
      </c>
      <c r="V11" s="701" t="s">
        <v>14</v>
      </c>
      <c r="W11" s="702">
        <f t="shared" si="2"/>
        <v>100</v>
      </c>
      <c r="X11" s="703"/>
      <c r="Y11" s="357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0" t="s">
        <v>1691</v>
      </c>
      <c r="Q14" s="1352" t="str">
        <f t="shared" si="6"/>
        <v>交通便捷度</v>
      </c>
      <c r="R14" s="705" t="s">
        <v>14</v>
      </c>
      <c r="S14" s="706">
        <f t="shared" si="0"/>
        <v>100</v>
      </c>
      <c r="T14" s="705" t="s">
        <v>14</v>
      </c>
      <c r="U14" s="706">
        <f t="shared" si="1"/>
        <v>100</v>
      </c>
      <c r="V14" s="705" t="s">
        <v>14</v>
      </c>
      <c r="W14" s="706">
        <f t="shared" si="2"/>
        <v>100</v>
      </c>
      <c r="X14" s="1355"/>
      <c r="Y14" s="370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1"/>
      <c r="Q15" s="1352"/>
      <c r="R15" s="705"/>
      <c r="S15" s="706"/>
      <c r="T15" s="705"/>
      <c r="U15" s="706"/>
      <c r="V15" s="705"/>
      <c r="W15" s="706"/>
      <c r="X15" s="1355"/>
      <c r="Y15" s="370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1"/>
      <c r="Q16" s="1352" t="str">
        <f>B16</f>
        <v>公共配套设施</v>
      </c>
      <c r="R16" s="705" t="s">
        <v>14</v>
      </c>
      <c r="S16" s="706">
        <f>F16</f>
        <v>100</v>
      </c>
      <c r="T16" s="705" t="s">
        <v>14</v>
      </c>
      <c r="U16" s="706">
        <f>H16</f>
        <v>100</v>
      </c>
      <c r="V16" s="705" t="s">
        <v>14</v>
      </c>
      <c r="W16" s="706">
        <f>J16</f>
        <v>100</v>
      </c>
      <c r="X16" s="1355"/>
      <c r="Y16" s="370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1"/>
      <c r="Q17" s="1352"/>
      <c r="R17" s="705"/>
      <c r="S17" s="706"/>
      <c r="T17" s="705"/>
      <c r="U17" s="706"/>
      <c r="V17" s="705"/>
      <c r="W17" s="706"/>
      <c r="X17" s="1355"/>
      <c r="Y17" s="370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1"/>
      <c r="Q18" s="1352" t="str">
        <f>B18</f>
        <v>基础设施水平</v>
      </c>
      <c r="R18" s="705" t="s">
        <v>14</v>
      </c>
      <c r="S18" s="706">
        <f>F18</f>
        <v>100</v>
      </c>
      <c r="T18" s="705" t="s">
        <v>14</v>
      </c>
      <c r="U18" s="706">
        <f>H18</f>
        <v>100</v>
      </c>
      <c r="V18" s="705" t="s">
        <v>14</v>
      </c>
      <c r="W18" s="706">
        <f>J18</f>
        <v>100</v>
      </c>
      <c r="X18" s="1355"/>
      <c r="Y18" s="370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1"/>
      <c r="Q19" s="1352"/>
      <c r="R19" s="705"/>
      <c r="S19" s="706"/>
      <c r="T19" s="705"/>
      <c r="U19" s="706"/>
      <c r="V19" s="705"/>
      <c r="W19" s="706"/>
      <c r="X19" s="1355"/>
      <c r="Y19" s="370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1"/>
      <c r="Q20" s="1352" t="str">
        <f>B20</f>
        <v>自然及人文环境</v>
      </c>
      <c r="R20" s="705" t="s">
        <v>14</v>
      </c>
      <c r="S20" s="706">
        <f>F20</f>
        <v>100</v>
      </c>
      <c r="T20" s="705" t="s">
        <v>14</v>
      </c>
      <c r="U20" s="706">
        <f>H20</f>
        <v>100</v>
      </c>
      <c r="V20" s="705" t="s">
        <v>14</v>
      </c>
      <c r="W20" s="706">
        <f>J20</f>
        <v>100</v>
      </c>
      <c r="X20" s="1355"/>
      <c r="Y20" s="370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1"/>
      <c r="Q21" s="1352"/>
      <c r="R21" s="705"/>
      <c r="S21" s="706"/>
      <c r="T21" s="705"/>
      <c r="U21" s="706"/>
      <c r="V21" s="705"/>
      <c r="W21" s="706"/>
      <c r="X21" s="1355"/>
      <c r="Y21" s="370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1"/>
      <c r="Q22" s="1352" t="str">
        <f>B22</f>
        <v>楼层</v>
      </c>
      <c r="R22" s="705" t="s">
        <v>14</v>
      </c>
      <c r="S22" s="706">
        <f>F22</f>
        <v>100</v>
      </c>
      <c r="T22" s="705" t="s">
        <v>14</v>
      </c>
      <c r="U22" s="706">
        <f>H22</f>
        <v>100</v>
      </c>
      <c r="V22" s="705" t="s">
        <v>14</v>
      </c>
      <c r="W22" s="706">
        <f>J22</f>
        <v>100</v>
      </c>
      <c r="X22" s="1355"/>
      <c r="Y22" s="370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1"/>
      <c r="Q23" s="1352">
        <f>B23</f>
        <v>111</v>
      </c>
      <c r="R23" s="705" t="s">
        <v>14</v>
      </c>
      <c r="S23" s="706">
        <f>F23</f>
        <v>100</v>
      </c>
      <c r="T23" s="705" t="s">
        <v>14</v>
      </c>
      <c r="U23" s="706">
        <f>H23</f>
        <v>100</v>
      </c>
      <c r="V23" s="705" t="s">
        <v>14</v>
      </c>
      <c r="W23" s="706">
        <f>J23</f>
        <v>100</v>
      </c>
      <c r="X23" s="1355"/>
      <c r="Y23" s="370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1"/>
      <c r="Q24" s="1352">
        <f t="shared" ref="Q24:Q36" si="11">B24</f>
        <v>111</v>
      </c>
      <c r="R24" s="705" t="s">
        <v>14</v>
      </c>
      <c r="S24" s="706">
        <f>F24</f>
        <v>100</v>
      </c>
      <c r="T24" s="705" t="s">
        <v>14</v>
      </c>
      <c r="U24" s="706">
        <f>H24</f>
        <v>100</v>
      </c>
      <c r="V24" s="705" t="s">
        <v>14</v>
      </c>
      <c r="W24" s="706">
        <f>J24</f>
        <v>100</v>
      </c>
      <c r="X24" s="1355"/>
      <c r="Y24" s="370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1"/>
      <c r="Q25" s="1343">
        <f t="shared" si="11"/>
        <v>111</v>
      </c>
      <c r="R25" s="701" t="s">
        <v>14</v>
      </c>
      <c r="S25" s="702">
        <f>F25</f>
        <v>100</v>
      </c>
      <c r="T25" s="701" t="s">
        <v>14</v>
      </c>
      <c r="U25" s="702">
        <f>H25</f>
        <v>100</v>
      </c>
      <c r="V25" s="701" t="s">
        <v>14</v>
      </c>
      <c r="W25" s="702">
        <f>J25</f>
        <v>100</v>
      </c>
      <c r="X25" s="703"/>
      <c r="Y25" s="370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5"/>
      <c r="Q27" s="707" t="str">
        <f t="shared" si="11"/>
        <v>项目停车位配比</v>
      </c>
      <c r="R27" s="708" t="s">
        <v>14</v>
      </c>
      <c r="S27" s="709">
        <f t="shared" si="12"/>
        <v>100</v>
      </c>
      <c r="T27" s="708" t="s">
        <v>14</v>
      </c>
      <c r="U27" s="709">
        <f t="shared" si="13"/>
        <v>100</v>
      </c>
      <c r="V27" s="708" t="s">
        <v>14</v>
      </c>
      <c r="W27" s="709">
        <f t="shared" si="14"/>
        <v>100</v>
      </c>
      <c r="X27" s="710"/>
      <c r="Y27" s="370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5"/>
      <c r="Q28" s="1352" t="str">
        <f t="shared" si="11"/>
        <v>公共部分装修</v>
      </c>
      <c r="R28" s="705" t="s">
        <v>14</v>
      </c>
      <c r="S28" s="706">
        <f t="shared" si="12"/>
        <v>100</v>
      </c>
      <c r="T28" s="705" t="s">
        <v>14</v>
      </c>
      <c r="U28" s="706">
        <f t="shared" si="13"/>
        <v>100</v>
      </c>
      <c r="V28" s="705" t="s">
        <v>14</v>
      </c>
      <c r="W28" s="706">
        <f t="shared" si="14"/>
        <v>100</v>
      </c>
      <c r="X28" s="1355"/>
      <c r="Y28" s="370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5"/>
      <c r="Q29" s="1352" t="str">
        <f t="shared" si="11"/>
        <v>成新率</v>
      </c>
      <c r="R29" s="705" t="s">
        <v>14</v>
      </c>
      <c r="S29" s="706" t="e">
        <f t="shared" si="12"/>
        <v>#N/A</v>
      </c>
      <c r="T29" s="705" t="s">
        <v>14</v>
      </c>
      <c r="U29" s="706" t="e">
        <f t="shared" si="13"/>
        <v>#N/A</v>
      </c>
      <c r="V29" s="705" t="s">
        <v>14</v>
      </c>
      <c r="W29" s="706" t="e">
        <f t="shared" si="14"/>
        <v>#N/A</v>
      </c>
      <c r="X29" s="1355"/>
      <c r="Y29" s="370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5"/>
      <c r="Q30" s="1352" t="str">
        <f t="shared" si="11"/>
        <v>物业等级</v>
      </c>
      <c r="R30" s="705" t="s">
        <v>14</v>
      </c>
      <c r="S30" s="706">
        <f t="shared" si="12"/>
        <v>100</v>
      </c>
      <c r="T30" s="705" t="s">
        <v>14</v>
      </c>
      <c r="U30" s="706">
        <f t="shared" si="13"/>
        <v>100</v>
      </c>
      <c r="V30" s="705" t="s">
        <v>14</v>
      </c>
      <c r="W30" s="706">
        <f t="shared" si="14"/>
        <v>100</v>
      </c>
      <c r="X30" s="1355"/>
      <c r="Y30" s="370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5"/>
      <c r="Q31" s="1343" t="str">
        <f t="shared" si="11"/>
        <v>停车位面积</v>
      </c>
      <c r="R31" s="701" t="s">
        <v>14</v>
      </c>
      <c r="S31" s="702" t="e">
        <f t="shared" si="12"/>
        <v>#N/A</v>
      </c>
      <c r="T31" s="701" t="s">
        <v>14</v>
      </c>
      <c r="U31" s="702" t="e">
        <f t="shared" si="13"/>
        <v>#N/A</v>
      </c>
      <c r="V31" s="701" t="s">
        <v>14</v>
      </c>
      <c r="W31" s="702" t="e">
        <f t="shared" si="14"/>
        <v>#N/A</v>
      </c>
      <c r="X31" s="703"/>
      <c r="Y31" s="370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5" t="s">
        <v>1696</v>
      </c>
      <c r="Q32" s="1352" t="str">
        <f t="shared" si="11"/>
        <v>车位类型</v>
      </c>
      <c r="R32" s="705" t="s">
        <v>14</v>
      </c>
      <c r="S32" s="706">
        <f t="shared" si="12"/>
        <v>100</v>
      </c>
      <c r="T32" s="705" t="s">
        <v>14</v>
      </c>
      <c r="U32" s="706">
        <f t="shared" si="13"/>
        <v>100</v>
      </c>
      <c r="V32" s="705" t="s">
        <v>14</v>
      </c>
      <c r="W32" s="706">
        <f t="shared" si="14"/>
        <v>100</v>
      </c>
      <c r="X32" s="1355"/>
      <c r="Y32" s="370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5"/>
      <c r="Q33" s="1352" t="str">
        <f t="shared" si="11"/>
        <v>是否直接入户</v>
      </c>
      <c r="R33" s="705" t="s">
        <v>14</v>
      </c>
      <c r="S33" s="706">
        <f t="shared" si="12"/>
        <v>100</v>
      </c>
      <c r="T33" s="705" t="s">
        <v>14</v>
      </c>
      <c r="U33" s="706">
        <f t="shared" si="13"/>
        <v>100</v>
      </c>
      <c r="V33" s="705" t="s">
        <v>14</v>
      </c>
      <c r="W33" s="706">
        <f t="shared" si="14"/>
        <v>100</v>
      </c>
      <c r="X33" s="1355"/>
      <c r="Y33" s="370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5"/>
      <c r="Q34" s="1352">
        <f t="shared" si="11"/>
        <v>111</v>
      </c>
      <c r="R34" s="705" t="s">
        <v>14</v>
      </c>
      <c r="S34" s="706">
        <f t="shared" si="12"/>
        <v>100</v>
      </c>
      <c r="T34" s="705" t="s">
        <v>14</v>
      </c>
      <c r="U34" s="706">
        <f t="shared" si="13"/>
        <v>100</v>
      </c>
      <c r="V34" s="705" t="s">
        <v>14</v>
      </c>
      <c r="W34" s="706">
        <f t="shared" si="14"/>
        <v>100</v>
      </c>
      <c r="X34" s="1355"/>
      <c r="Y34" s="370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5"/>
      <c r="Q35" s="707">
        <f t="shared" si="11"/>
        <v>111</v>
      </c>
      <c r="R35" s="708" t="s">
        <v>14</v>
      </c>
      <c r="S35" s="709">
        <f t="shared" si="12"/>
        <v>100</v>
      </c>
      <c r="T35" s="708" t="s">
        <v>14</v>
      </c>
      <c r="U35" s="709">
        <f t="shared" si="13"/>
        <v>100</v>
      </c>
      <c r="V35" s="708" t="s">
        <v>14</v>
      </c>
      <c r="W35" s="709">
        <f t="shared" si="14"/>
        <v>100</v>
      </c>
      <c r="X35" s="710"/>
      <c r="Y35" s="370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5"/>
      <c r="Q36" s="1352">
        <f t="shared" si="11"/>
        <v>111</v>
      </c>
      <c r="R36" s="705" t="s">
        <v>14</v>
      </c>
      <c r="S36" s="706">
        <f t="shared" si="12"/>
        <v>100</v>
      </c>
      <c r="T36" s="705" t="s">
        <v>14</v>
      </c>
      <c r="U36" s="706">
        <f t="shared" si="13"/>
        <v>100</v>
      </c>
      <c r="V36" s="705" t="s">
        <v>14</v>
      </c>
      <c r="W36" s="706">
        <f t="shared" si="14"/>
        <v>100</v>
      </c>
      <c r="X36" s="1355"/>
      <c r="Y36" s="3705"/>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98" t="str">
        <f>A37</f>
        <v>成交单价</v>
      </c>
      <c r="Q37" s="3698"/>
      <c r="R37" s="3699">
        <f>E37</f>
        <v>0</v>
      </c>
      <c r="S37" s="3699"/>
      <c r="T37" s="3699">
        <f>G37</f>
        <v>0</v>
      </c>
      <c r="U37" s="3699"/>
      <c r="V37" s="3699">
        <f>I37</f>
        <v>0</v>
      </c>
      <c r="W37" s="369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5" t="str">
        <f>A39</f>
        <v>估价对象XX用房的比较价值（楼面单价，元/平方米）</v>
      </c>
      <c r="Q39" s="3696"/>
      <c r="R39" s="3757" t="e">
        <f>IF(F1="售价",ROUND(IF(D38="简单平均",AVERAGE(R38:W38),R38*F38+T38*H38+V38*J38),0),ROUND(IF(D38="简单平均",AVERAGE(R38:V38),R38*F38+T38*H38+V38*J38),1))</f>
        <v>#DIV/0!</v>
      </c>
      <c r="S39" s="3757"/>
      <c r="T39" s="3757"/>
      <c r="U39" s="3757"/>
      <c r="V39" s="3757"/>
      <c r="W39" s="375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44959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4" t="s">
        <v>1680</v>
      </c>
      <c r="Q7" s="3736"/>
      <c r="R7" s="701" t="s">
        <v>14</v>
      </c>
      <c r="S7" s="702">
        <f t="shared" ref="S7:S14" si="0">F7</f>
        <v>0</v>
      </c>
      <c r="T7" s="701" t="s">
        <v>14</v>
      </c>
      <c r="U7" s="702">
        <f t="shared" ref="U7:U14" si="1">H7</f>
        <v>0</v>
      </c>
      <c r="V7" s="701" t="s">
        <v>14</v>
      </c>
      <c r="W7" s="702">
        <f t="shared" ref="W7:W14"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4" t="s">
        <v>1683</v>
      </c>
      <c r="Q8" s="3735"/>
      <c r="R8" s="701" t="s">
        <v>14</v>
      </c>
      <c r="S8" s="702">
        <f t="shared" si="0"/>
        <v>100</v>
      </c>
      <c r="T8" s="701" t="s">
        <v>14</v>
      </c>
      <c r="U8" s="702">
        <f t="shared" si="1"/>
        <v>100</v>
      </c>
      <c r="V8" s="701" t="s">
        <v>14</v>
      </c>
      <c r="W8" s="702">
        <f t="shared" si="2"/>
        <v>100</v>
      </c>
      <c r="X8" s="703"/>
      <c r="Y8" s="3734" t="s">
        <v>1683</v>
      </c>
      <c r="Z8" s="373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8" t="s">
        <v>1686</v>
      </c>
      <c r="Q9" s="1343" t="str">
        <f t="shared" ref="Q9:Q14" si="6">B9</f>
        <v>用途</v>
      </c>
      <c r="R9" s="701" t="s">
        <v>14</v>
      </c>
      <c r="S9" s="702">
        <f t="shared" si="0"/>
        <v>100</v>
      </c>
      <c r="T9" s="701" t="s">
        <v>14</v>
      </c>
      <c r="U9" s="702">
        <f t="shared" si="1"/>
        <v>100</v>
      </c>
      <c r="V9" s="701" t="s">
        <v>14</v>
      </c>
      <c r="W9" s="702">
        <f t="shared" si="2"/>
        <v>100</v>
      </c>
      <c r="X9" s="703"/>
      <c r="Y9" s="3573"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8"/>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8"/>
      <c r="Q11" s="1343">
        <f t="shared" si="6"/>
        <v>111</v>
      </c>
      <c r="R11" s="701" t="s">
        <v>14</v>
      </c>
      <c r="S11" s="702">
        <f t="shared" si="0"/>
        <v>100</v>
      </c>
      <c r="T11" s="701" t="s">
        <v>14</v>
      </c>
      <c r="U11" s="702">
        <f t="shared" si="1"/>
        <v>100</v>
      </c>
      <c r="V11" s="701" t="s">
        <v>14</v>
      </c>
      <c r="W11" s="702">
        <f t="shared" si="2"/>
        <v>100</v>
      </c>
      <c r="X11" s="703"/>
      <c r="Y11" s="357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0" t="s">
        <v>1691</v>
      </c>
      <c r="Q14" s="1352" t="str">
        <f t="shared" si="6"/>
        <v>交通便捷度</v>
      </c>
      <c r="R14" s="705" t="s">
        <v>14</v>
      </c>
      <c r="S14" s="706">
        <f t="shared" si="0"/>
        <v>100</v>
      </c>
      <c r="T14" s="705" t="s">
        <v>14</v>
      </c>
      <c r="U14" s="706">
        <f t="shared" si="1"/>
        <v>100</v>
      </c>
      <c r="V14" s="705" t="s">
        <v>14</v>
      </c>
      <c r="W14" s="706">
        <f t="shared" si="2"/>
        <v>100</v>
      </c>
      <c r="X14" s="1355"/>
      <c r="Y14" s="370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1"/>
      <c r="Q15" s="1352"/>
      <c r="R15" s="705"/>
      <c r="S15" s="706"/>
      <c r="T15" s="705"/>
      <c r="U15" s="706"/>
      <c r="V15" s="705"/>
      <c r="W15" s="706"/>
      <c r="X15" s="1355"/>
      <c r="Y15" s="370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1"/>
      <c r="Q16" s="1352" t="str">
        <f>B16</f>
        <v>公共配套设施</v>
      </c>
      <c r="R16" s="705" t="s">
        <v>14</v>
      </c>
      <c r="S16" s="706">
        <f>F16</f>
        <v>100</v>
      </c>
      <c r="T16" s="705" t="s">
        <v>14</v>
      </c>
      <c r="U16" s="706">
        <f>H16</f>
        <v>100</v>
      </c>
      <c r="V16" s="705" t="s">
        <v>14</v>
      </c>
      <c r="W16" s="706">
        <f>J16</f>
        <v>100</v>
      </c>
      <c r="X16" s="1355"/>
      <c r="Y16" s="370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1"/>
      <c r="Q17" s="1352"/>
      <c r="R17" s="705"/>
      <c r="S17" s="706"/>
      <c r="T17" s="705"/>
      <c r="U17" s="706"/>
      <c r="V17" s="705"/>
      <c r="W17" s="706"/>
      <c r="X17" s="1355"/>
      <c r="Y17" s="370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1"/>
      <c r="Q18" s="1352" t="str">
        <f>B18</f>
        <v>基础设施水平</v>
      </c>
      <c r="R18" s="705" t="s">
        <v>14</v>
      </c>
      <c r="S18" s="706">
        <f>F18</f>
        <v>100</v>
      </c>
      <c r="T18" s="705" t="s">
        <v>14</v>
      </c>
      <c r="U18" s="706">
        <f>H18</f>
        <v>100</v>
      </c>
      <c r="V18" s="705" t="s">
        <v>14</v>
      </c>
      <c r="W18" s="706">
        <f>J18</f>
        <v>100</v>
      </c>
      <c r="X18" s="1355"/>
      <c r="Y18" s="370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1"/>
      <c r="Q19" s="1352"/>
      <c r="R19" s="705"/>
      <c r="S19" s="706"/>
      <c r="T19" s="705"/>
      <c r="U19" s="706"/>
      <c r="V19" s="705"/>
      <c r="W19" s="706"/>
      <c r="X19" s="1355"/>
      <c r="Y19" s="370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1"/>
      <c r="Q20" s="1352" t="str">
        <f>B20</f>
        <v>自然及人文环境</v>
      </c>
      <c r="R20" s="705" t="s">
        <v>14</v>
      </c>
      <c r="S20" s="706">
        <f>F20</f>
        <v>100</v>
      </c>
      <c r="T20" s="705" t="s">
        <v>14</v>
      </c>
      <c r="U20" s="706">
        <f>H20</f>
        <v>100</v>
      </c>
      <c r="V20" s="705" t="s">
        <v>14</v>
      </c>
      <c r="W20" s="706">
        <f>J20</f>
        <v>100</v>
      </c>
      <c r="X20" s="1355"/>
      <c r="Y20" s="370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1"/>
      <c r="Q21" s="1352"/>
      <c r="R21" s="705"/>
      <c r="S21" s="706"/>
      <c r="T21" s="705"/>
      <c r="U21" s="706"/>
      <c r="V21" s="705"/>
      <c r="W21" s="706"/>
      <c r="X21" s="1355"/>
      <c r="Y21" s="370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1"/>
      <c r="Q22" s="1352" t="str">
        <f>B22</f>
        <v>楼层</v>
      </c>
      <c r="R22" s="705" t="s">
        <v>14</v>
      </c>
      <c r="S22" s="706">
        <f>F22</f>
        <v>100</v>
      </c>
      <c r="T22" s="705" t="s">
        <v>14</v>
      </c>
      <c r="U22" s="706">
        <f>H22</f>
        <v>100</v>
      </c>
      <c r="V22" s="705" t="s">
        <v>14</v>
      </c>
      <c r="W22" s="706">
        <f>J22</f>
        <v>100</v>
      </c>
      <c r="X22" s="1355"/>
      <c r="Y22" s="370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1"/>
      <c r="Q23" s="1352">
        <f>B23</f>
        <v>111</v>
      </c>
      <c r="R23" s="705" t="s">
        <v>14</v>
      </c>
      <c r="S23" s="706">
        <f>F23</f>
        <v>100</v>
      </c>
      <c r="T23" s="705" t="s">
        <v>14</v>
      </c>
      <c r="U23" s="706">
        <f>H23</f>
        <v>100</v>
      </c>
      <c r="V23" s="705" t="s">
        <v>14</v>
      </c>
      <c r="W23" s="706">
        <f>J23</f>
        <v>100</v>
      </c>
      <c r="X23" s="1355"/>
      <c r="Y23" s="370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1"/>
      <c r="Q24" s="1352">
        <f t="shared" ref="Q24:Q34" si="11">B24</f>
        <v>111</v>
      </c>
      <c r="R24" s="705" t="s">
        <v>14</v>
      </c>
      <c r="S24" s="706">
        <f>F24</f>
        <v>100</v>
      </c>
      <c r="T24" s="705" t="s">
        <v>14</v>
      </c>
      <c r="U24" s="706">
        <f>H24</f>
        <v>100</v>
      </c>
      <c r="V24" s="705" t="s">
        <v>14</v>
      </c>
      <c r="W24" s="706">
        <f>J24</f>
        <v>100</v>
      </c>
      <c r="X24" s="1355"/>
      <c r="Y24" s="370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1"/>
      <c r="Q25" s="1343">
        <f t="shared" si="11"/>
        <v>111</v>
      </c>
      <c r="R25" s="701" t="s">
        <v>14</v>
      </c>
      <c r="S25" s="702">
        <f>F25</f>
        <v>100</v>
      </c>
      <c r="T25" s="701" t="s">
        <v>14</v>
      </c>
      <c r="U25" s="702">
        <f>H25</f>
        <v>100</v>
      </c>
      <c r="V25" s="701" t="s">
        <v>14</v>
      </c>
      <c r="W25" s="702">
        <f>J25</f>
        <v>100</v>
      </c>
      <c r="X25" s="703"/>
      <c r="Y25" s="370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5"/>
      <c r="Q27" s="707" t="str">
        <f t="shared" si="11"/>
        <v>成新率</v>
      </c>
      <c r="R27" s="708" t="s">
        <v>14</v>
      </c>
      <c r="S27" s="709" t="e">
        <f t="shared" si="12"/>
        <v>#N/A</v>
      </c>
      <c r="T27" s="708" t="s">
        <v>14</v>
      </c>
      <c r="U27" s="709" t="e">
        <f t="shared" si="13"/>
        <v>#N/A</v>
      </c>
      <c r="V27" s="708" t="s">
        <v>14</v>
      </c>
      <c r="W27" s="709" t="e">
        <f t="shared" si="14"/>
        <v>#N/A</v>
      </c>
      <c r="X27" s="710"/>
      <c r="Y27" s="370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5"/>
      <c r="Q28" s="1352" t="str">
        <f t="shared" si="11"/>
        <v>物业等级</v>
      </c>
      <c r="R28" s="705" t="s">
        <v>14</v>
      </c>
      <c r="S28" s="706">
        <f t="shared" si="12"/>
        <v>100</v>
      </c>
      <c r="T28" s="705" t="s">
        <v>14</v>
      </c>
      <c r="U28" s="706">
        <f t="shared" si="13"/>
        <v>100</v>
      </c>
      <c r="V28" s="705" t="s">
        <v>14</v>
      </c>
      <c r="W28" s="706">
        <f t="shared" si="14"/>
        <v>100</v>
      </c>
      <c r="X28" s="1355"/>
      <c r="Y28" s="370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5"/>
      <c r="Q29" s="1352" t="str">
        <f t="shared" si="11"/>
        <v>有无电梯</v>
      </c>
      <c r="R29" s="705" t="s">
        <v>14</v>
      </c>
      <c r="S29" s="706">
        <f t="shared" si="12"/>
        <v>100</v>
      </c>
      <c r="T29" s="705" t="s">
        <v>14</v>
      </c>
      <c r="U29" s="706">
        <f t="shared" si="13"/>
        <v>100</v>
      </c>
      <c r="V29" s="705" t="s">
        <v>14</v>
      </c>
      <c r="W29" s="706">
        <f t="shared" si="14"/>
        <v>100</v>
      </c>
      <c r="X29" s="1355"/>
      <c r="Y29" s="370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5"/>
      <c r="Q30" s="1352" t="str">
        <f t="shared" si="11"/>
        <v>建筑面积</v>
      </c>
      <c r="R30" s="705" t="s">
        <v>14</v>
      </c>
      <c r="S30" s="706" t="e">
        <f t="shared" si="12"/>
        <v>#N/A</v>
      </c>
      <c r="T30" s="705" t="s">
        <v>14</v>
      </c>
      <c r="U30" s="706" t="e">
        <f t="shared" si="13"/>
        <v>#N/A</v>
      </c>
      <c r="V30" s="705" t="s">
        <v>14</v>
      </c>
      <c r="W30" s="706" t="e">
        <f t="shared" si="14"/>
        <v>#N/A</v>
      </c>
      <c r="X30" s="1355"/>
      <c r="Y30" s="370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5"/>
      <c r="Q31" s="1343" t="str">
        <f t="shared" si="11"/>
        <v>是否封闭</v>
      </c>
      <c r="R31" s="701" t="s">
        <v>14</v>
      </c>
      <c r="S31" s="702">
        <f t="shared" si="12"/>
        <v>100</v>
      </c>
      <c r="T31" s="701" t="s">
        <v>14</v>
      </c>
      <c r="U31" s="702">
        <f t="shared" si="13"/>
        <v>100</v>
      </c>
      <c r="V31" s="701" t="s">
        <v>14</v>
      </c>
      <c r="W31" s="702">
        <f t="shared" si="14"/>
        <v>100</v>
      </c>
      <c r="X31" s="703"/>
      <c r="Y31" s="370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5" t="s">
        <v>1696</v>
      </c>
      <c r="Q32" s="1352">
        <f t="shared" si="11"/>
        <v>111</v>
      </c>
      <c r="R32" s="705" t="s">
        <v>14</v>
      </c>
      <c r="S32" s="706">
        <f t="shared" si="12"/>
        <v>100</v>
      </c>
      <c r="T32" s="705" t="s">
        <v>14</v>
      </c>
      <c r="U32" s="706">
        <f t="shared" si="13"/>
        <v>100</v>
      </c>
      <c r="V32" s="705" t="s">
        <v>14</v>
      </c>
      <c r="W32" s="706">
        <f t="shared" si="14"/>
        <v>100</v>
      </c>
      <c r="X32" s="1355"/>
      <c r="Y32" s="370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5"/>
      <c r="Q33" s="1352">
        <f t="shared" si="11"/>
        <v>111</v>
      </c>
      <c r="R33" s="705" t="s">
        <v>14</v>
      </c>
      <c r="S33" s="706">
        <f t="shared" si="12"/>
        <v>100</v>
      </c>
      <c r="T33" s="705" t="s">
        <v>14</v>
      </c>
      <c r="U33" s="706">
        <f t="shared" si="13"/>
        <v>100</v>
      </c>
      <c r="V33" s="705" t="s">
        <v>14</v>
      </c>
      <c r="W33" s="706">
        <f t="shared" si="14"/>
        <v>100</v>
      </c>
      <c r="X33" s="1355"/>
      <c r="Y33" s="370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5"/>
      <c r="Q34" s="1352">
        <f t="shared" si="11"/>
        <v>111</v>
      </c>
      <c r="R34" s="705" t="s">
        <v>14</v>
      </c>
      <c r="S34" s="706">
        <f t="shared" si="12"/>
        <v>100</v>
      </c>
      <c r="T34" s="705" t="s">
        <v>14</v>
      </c>
      <c r="U34" s="706">
        <f t="shared" si="13"/>
        <v>100</v>
      </c>
      <c r="V34" s="705" t="s">
        <v>14</v>
      </c>
      <c r="W34" s="706">
        <f t="shared" si="14"/>
        <v>100</v>
      </c>
      <c r="X34" s="1355"/>
      <c r="Y34" s="370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8" t="str">
        <f>A35</f>
        <v>成交单价（元/平方米）</v>
      </c>
      <c r="Q35" s="3698"/>
      <c r="R35" s="3699">
        <f>E35</f>
        <v>0</v>
      </c>
      <c r="S35" s="3699"/>
      <c r="T35" s="3699">
        <f>G35</f>
        <v>0</v>
      </c>
      <c r="U35" s="3699"/>
      <c r="V35" s="3699">
        <f>I35</f>
        <v>0</v>
      </c>
      <c r="W35" s="369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5" t="str">
        <f>A37</f>
        <v>估价对象XX用房的比较价值（楼面单价，元/平方米）</v>
      </c>
      <c r="Q37" s="3696"/>
      <c r="R37" s="3757" t="e">
        <f>IF(F1="售价",ROUND(IF(D36="简单平均",AVERAGE(R36:W36),R36*F36+T36*H36+V36*J36),0),ROUND(IF(D36="简单平均",AVERAGE(R36:V36),R36*F36+T36*H36+V36*J36),1))</f>
        <v>#DIV/0!</v>
      </c>
      <c r="S37" s="3757"/>
      <c r="T37" s="3757"/>
      <c r="U37" s="3757"/>
      <c r="V37" s="3757"/>
      <c r="W37" s="375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30"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30"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12"/>
      <c r="AC6" s="3712"/>
    </row>
    <row r="7" spans="1:30" s="108" customFormat="1" ht="15.75" thickBot="1">
      <c r="A7" s="362" t="s">
        <v>1679</v>
      </c>
      <c r="B7" s="363"/>
      <c r="C7" s="364">
        <f>'数据-取费表'!B2</f>
        <v>44959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4" t="s">
        <v>1683</v>
      </c>
      <c r="Q8" s="3735"/>
      <c r="R8" s="701" t="s">
        <v>14</v>
      </c>
      <c r="S8" s="702">
        <f t="shared" si="0"/>
        <v>0</v>
      </c>
      <c r="T8" s="701" t="s">
        <v>14</v>
      </c>
      <c r="U8" s="702">
        <f t="shared" si="1"/>
        <v>0</v>
      </c>
      <c r="V8" s="701" t="s">
        <v>14</v>
      </c>
      <c r="W8" s="702">
        <f t="shared" si="2"/>
        <v>0</v>
      </c>
      <c r="X8" s="703"/>
      <c r="Y8" s="3734" t="s">
        <v>1683</v>
      </c>
      <c r="Z8" s="373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8"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698"/>
      <c r="Q10" s="1343" t="str">
        <f t="shared" si="6"/>
        <v>土地使用年限（年）</v>
      </c>
      <c r="R10" s="701" t="s">
        <v>14</v>
      </c>
      <c r="S10" s="702">
        <f t="shared" si="0"/>
        <v>107</v>
      </c>
      <c r="T10" s="701" t="s">
        <v>14</v>
      </c>
      <c r="U10" s="702">
        <f t="shared" si="1"/>
        <v>107</v>
      </c>
      <c r="V10" s="701" t="s">
        <v>14</v>
      </c>
      <c r="W10" s="702">
        <f t="shared" si="2"/>
        <v>107</v>
      </c>
      <c r="X10" s="703"/>
      <c r="Y10" s="3573"/>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8"/>
      <c r="Q11" s="1343" t="str">
        <f t="shared" si="6"/>
        <v>容积率</v>
      </c>
      <c r="R11" s="701" t="s">
        <v>14</v>
      </c>
      <c r="S11" s="702" t="e">
        <f t="shared" si="0"/>
        <v>#N/A</v>
      </c>
      <c r="T11" s="701" t="s">
        <v>14</v>
      </c>
      <c r="U11" s="702" t="e">
        <f t="shared" si="1"/>
        <v>#N/A</v>
      </c>
      <c r="V11" s="701" t="s">
        <v>14</v>
      </c>
      <c r="W11" s="702" t="e">
        <f t="shared" si="2"/>
        <v>#N/A</v>
      </c>
      <c r="X11" s="703"/>
      <c r="Y11" s="357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8"/>
      <c r="Q12" s="1343" t="str">
        <f t="shared" si="6"/>
        <v>配建</v>
      </c>
      <c r="R12" s="701" t="s">
        <v>14</v>
      </c>
      <c r="S12" s="702">
        <f t="shared" si="0"/>
        <v>100</v>
      </c>
      <c r="T12" s="701" t="s">
        <v>14</v>
      </c>
      <c r="U12" s="702">
        <f t="shared" si="1"/>
        <v>100</v>
      </c>
      <c r="V12" s="701" t="s">
        <v>14</v>
      </c>
      <c r="W12" s="702">
        <f t="shared" si="2"/>
        <v>100</v>
      </c>
      <c r="X12" s="703"/>
      <c r="Y12" s="357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8"/>
      <c r="Q14" s="1343">
        <f t="shared" si="6"/>
        <v>111</v>
      </c>
      <c r="R14" s="701" t="s">
        <v>14</v>
      </c>
      <c r="S14" s="702">
        <f t="shared" si="0"/>
        <v>100</v>
      </c>
      <c r="T14" s="701" t="s">
        <v>14</v>
      </c>
      <c r="U14" s="702">
        <f t="shared" si="1"/>
        <v>100</v>
      </c>
      <c r="V14" s="701" t="s">
        <v>14</v>
      </c>
      <c r="W14" s="702">
        <f t="shared" si="2"/>
        <v>100</v>
      </c>
      <c r="X14" s="703"/>
      <c r="Y14" s="357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0" t="s">
        <v>1691</v>
      </c>
      <c r="Q15" s="1352" t="str">
        <f t="shared" si="6"/>
        <v>居住社区成熟度</v>
      </c>
      <c r="R15" s="705" t="s">
        <v>14</v>
      </c>
      <c r="S15" s="706">
        <f t="shared" si="0"/>
        <v>100</v>
      </c>
      <c r="T15" s="705" t="s">
        <v>14</v>
      </c>
      <c r="U15" s="706">
        <f t="shared" si="1"/>
        <v>100</v>
      </c>
      <c r="V15" s="705" t="s">
        <v>14</v>
      </c>
      <c r="W15" s="706">
        <f t="shared" si="2"/>
        <v>100</v>
      </c>
      <c r="X15" s="1355"/>
      <c r="Y15" s="370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1"/>
      <c r="Q16" s="1352"/>
      <c r="R16" s="705"/>
      <c r="S16" s="706"/>
      <c r="T16" s="705"/>
      <c r="U16" s="706"/>
      <c r="V16" s="705"/>
      <c r="W16" s="706"/>
      <c r="X16" s="1355"/>
      <c r="Y16" s="370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1"/>
      <c r="Q17" s="1352" t="str">
        <f>B17</f>
        <v>商业繁华度</v>
      </c>
      <c r="R17" s="705" t="s">
        <v>14</v>
      </c>
      <c r="S17" s="706">
        <f>F17</f>
        <v>100</v>
      </c>
      <c r="T17" s="705" t="s">
        <v>14</v>
      </c>
      <c r="U17" s="706">
        <f>H17</f>
        <v>100</v>
      </c>
      <c r="V17" s="705" t="s">
        <v>14</v>
      </c>
      <c r="W17" s="706">
        <f>J17</f>
        <v>100</v>
      </c>
      <c r="X17" s="1355"/>
      <c r="Y17" s="370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1"/>
      <c r="Q18" s="1352"/>
      <c r="R18" s="705"/>
      <c r="S18" s="706"/>
      <c r="T18" s="705"/>
      <c r="U18" s="706"/>
      <c r="V18" s="705"/>
      <c r="W18" s="706"/>
      <c r="X18" s="1355"/>
      <c r="Y18" s="370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1"/>
      <c r="Q19" s="1352" t="str">
        <f>B19</f>
        <v>办公集聚程度</v>
      </c>
      <c r="R19" s="705" t="s">
        <v>14</v>
      </c>
      <c r="S19" s="706">
        <f>F19</f>
        <v>100</v>
      </c>
      <c r="T19" s="705" t="s">
        <v>14</v>
      </c>
      <c r="U19" s="706">
        <f>H19</f>
        <v>100</v>
      </c>
      <c r="V19" s="705" t="s">
        <v>14</v>
      </c>
      <c r="W19" s="706">
        <f>J19</f>
        <v>100</v>
      </c>
      <c r="X19" s="1355"/>
      <c r="Y19" s="370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1"/>
      <c r="Q20" s="1352"/>
      <c r="R20" s="705"/>
      <c r="S20" s="706"/>
      <c r="T20" s="705"/>
      <c r="U20" s="706"/>
      <c r="V20" s="705"/>
      <c r="W20" s="706"/>
      <c r="X20" s="1355"/>
      <c r="Y20" s="370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1"/>
      <c r="Q21" s="1352" t="str">
        <f>B21</f>
        <v>交通便捷度</v>
      </c>
      <c r="R21" s="705" t="s">
        <v>14</v>
      </c>
      <c r="S21" s="706">
        <f>F21</f>
        <v>100</v>
      </c>
      <c r="T21" s="705" t="s">
        <v>14</v>
      </c>
      <c r="U21" s="706">
        <f>H21</f>
        <v>100</v>
      </c>
      <c r="V21" s="705" t="s">
        <v>14</v>
      </c>
      <c r="W21" s="706">
        <f>J21</f>
        <v>100</v>
      </c>
      <c r="X21" s="1355"/>
      <c r="Y21" s="370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1"/>
      <c r="Q22" s="1352"/>
      <c r="R22" s="705"/>
      <c r="S22" s="706"/>
      <c r="T22" s="705"/>
      <c r="U22" s="706"/>
      <c r="V22" s="705"/>
      <c r="W22" s="706"/>
      <c r="X22" s="1355"/>
      <c r="Y22" s="370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1"/>
      <c r="Q23" s="1352" t="str">
        <f t="shared" ref="Q23:Q37" si="8">B23</f>
        <v>区域土地利用方向</v>
      </c>
      <c r="R23" s="705" t="s">
        <v>14</v>
      </c>
      <c r="S23" s="706">
        <f>F23</f>
        <v>100</v>
      </c>
      <c r="T23" s="705" t="s">
        <v>14</v>
      </c>
      <c r="U23" s="706">
        <f>H23</f>
        <v>100</v>
      </c>
      <c r="V23" s="705" t="s">
        <v>14</v>
      </c>
      <c r="W23" s="706">
        <f>J23</f>
        <v>100</v>
      </c>
      <c r="X23" s="1355"/>
      <c r="Y23" s="370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1"/>
      <c r="Q24" s="1352"/>
      <c r="R24" s="705"/>
      <c r="S24" s="706"/>
      <c r="T24" s="705"/>
      <c r="U24" s="706"/>
      <c r="V24" s="705"/>
      <c r="W24" s="706"/>
      <c r="X24" s="1355"/>
      <c r="Y24" s="370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1"/>
      <c r="Q25" s="1352" t="str">
        <f t="shared" si="8"/>
        <v>自然及人文环境状况</v>
      </c>
      <c r="R25" s="705" t="s">
        <v>14</v>
      </c>
      <c r="S25" s="706">
        <f>F25</f>
        <v>100</v>
      </c>
      <c r="T25" s="705" t="s">
        <v>14</v>
      </c>
      <c r="U25" s="706">
        <f>H25</f>
        <v>100</v>
      </c>
      <c r="V25" s="705" t="s">
        <v>14</v>
      </c>
      <c r="W25" s="706">
        <f>J25</f>
        <v>100</v>
      </c>
      <c r="X25" s="1355"/>
      <c r="Y25" s="370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1"/>
      <c r="Q26" s="1352"/>
      <c r="R26" s="705"/>
      <c r="S26" s="706"/>
      <c r="T26" s="705"/>
      <c r="U26" s="706"/>
      <c r="V26" s="705"/>
      <c r="W26" s="706"/>
      <c r="X26" s="1355"/>
      <c r="Y26" s="370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1"/>
      <c r="Q27" s="1343" t="str">
        <f t="shared" si="8"/>
        <v>公共配套设施</v>
      </c>
      <c r="R27" s="701" t="s">
        <v>14</v>
      </c>
      <c r="S27" s="702">
        <f>F27</f>
        <v>100</v>
      </c>
      <c r="T27" s="701" t="s">
        <v>14</v>
      </c>
      <c r="U27" s="702">
        <f>H27</f>
        <v>100</v>
      </c>
      <c r="V27" s="701" t="s">
        <v>14</v>
      </c>
      <c r="W27" s="702">
        <f>J27</f>
        <v>100</v>
      </c>
      <c r="X27" s="703"/>
      <c r="Y27" s="370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1"/>
      <c r="Q28" s="1343"/>
      <c r="R28" s="701"/>
      <c r="S28" s="702"/>
      <c r="T28" s="701"/>
      <c r="U28" s="702"/>
      <c r="V28" s="701"/>
      <c r="W28" s="702"/>
      <c r="X28" s="703"/>
      <c r="Y28" s="370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1"/>
      <c r="Q29" s="1343" t="str">
        <f t="shared" ref="Q29" si="9">B29</f>
        <v>基础设施水平</v>
      </c>
      <c r="R29" s="701" t="s">
        <v>14</v>
      </c>
      <c r="S29" s="702">
        <f>F29</f>
        <v>100</v>
      </c>
      <c r="T29" s="701" t="s">
        <v>14</v>
      </c>
      <c r="U29" s="702">
        <f>H29</f>
        <v>100</v>
      </c>
      <c r="V29" s="701" t="s">
        <v>14</v>
      </c>
      <c r="W29" s="702">
        <f>J29</f>
        <v>100</v>
      </c>
      <c r="X29" s="703"/>
      <c r="Y29" s="370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1"/>
      <c r="Q30" s="1343"/>
      <c r="R30" s="701"/>
      <c r="S30" s="702"/>
      <c r="T30" s="701"/>
      <c r="U30" s="702"/>
      <c r="V30" s="701"/>
      <c r="W30" s="702"/>
      <c r="X30" s="703"/>
      <c r="Y30" s="370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1"/>
      <c r="Q32" s="1352" t="str">
        <f t="shared" si="8"/>
        <v>毗邻道路的类型与等级</v>
      </c>
      <c r="R32" s="705" t="s">
        <v>14</v>
      </c>
      <c r="S32" s="706">
        <f t="shared" si="10"/>
        <v>100</v>
      </c>
      <c r="T32" s="705" t="s">
        <v>14</v>
      </c>
      <c r="U32" s="706">
        <f t="shared" si="11"/>
        <v>100</v>
      </c>
      <c r="V32" s="705" t="s">
        <v>14</v>
      </c>
      <c r="W32" s="706">
        <f t="shared" si="12"/>
        <v>100</v>
      </c>
      <c r="X32" s="1355"/>
      <c r="Y32" s="370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1"/>
      <c r="Q33" s="1352"/>
      <c r="R33" s="705"/>
      <c r="S33" s="706"/>
      <c r="T33" s="705"/>
      <c r="U33" s="706"/>
      <c r="V33" s="705"/>
      <c r="W33" s="706"/>
      <c r="X33" s="1355"/>
      <c r="Y33" s="370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1"/>
      <c r="Q34" s="1352" t="str">
        <f t="shared" si="8"/>
        <v>土地级别</v>
      </c>
      <c r="R34" s="705" t="s">
        <v>14</v>
      </c>
      <c r="S34" s="706">
        <f t="shared" si="10"/>
        <v>100</v>
      </c>
      <c r="T34" s="705" t="s">
        <v>14</v>
      </c>
      <c r="U34" s="706">
        <f t="shared" si="11"/>
        <v>100</v>
      </c>
      <c r="V34" s="705" t="s">
        <v>14</v>
      </c>
      <c r="W34" s="706">
        <f t="shared" si="12"/>
        <v>100</v>
      </c>
      <c r="X34" s="1355"/>
      <c r="Y34" s="370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1"/>
      <c r="Q35" s="1352">
        <f t="shared" si="8"/>
        <v>111</v>
      </c>
      <c r="R35" s="705" t="s">
        <v>14</v>
      </c>
      <c r="S35" s="706">
        <f t="shared" si="10"/>
        <v>100</v>
      </c>
      <c r="T35" s="705" t="s">
        <v>14</v>
      </c>
      <c r="U35" s="706">
        <f t="shared" si="11"/>
        <v>100</v>
      </c>
      <c r="V35" s="705" t="s">
        <v>14</v>
      </c>
      <c r="W35" s="706">
        <f t="shared" si="12"/>
        <v>100</v>
      </c>
      <c r="X35" s="1355"/>
      <c r="Y35" s="370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6" t="s">
        <v>1696</v>
      </c>
      <c r="Q36" s="1352">
        <f t="shared" si="8"/>
        <v>111</v>
      </c>
      <c r="R36" s="705" t="s">
        <v>14</v>
      </c>
      <c r="S36" s="706">
        <f t="shared" si="10"/>
        <v>100</v>
      </c>
      <c r="T36" s="705" t="s">
        <v>14</v>
      </c>
      <c r="U36" s="706">
        <f t="shared" si="11"/>
        <v>100</v>
      </c>
      <c r="V36" s="705" t="s">
        <v>14</v>
      </c>
      <c r="W36" s="706">
        <f t="shared" si="12"/>
        <v>100</v>
      </c>
      <c r="X36" s="1355"/>
      <c r="Y36" s="370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5"/>
      <c r="Q37" s="1352">
        <f t="shared" si="8"/>
        <v>111</v>
      </c>
      <c r="R37" s="708" t="s">
        <v>14</v>
      </c>
      <c r="S37" s="709">
        <f t="shared" si="10"/>
        <v>100</v>
      </c>
      <c r="T37" s="708" t="s">
        <v>14</v>
      </c>
      <c r="U37" s="709">
        <f t="shared" si="11"/>
        <v>100</v>
      </c>
      <c r="V37" s="708" t="s">
        <v>14</v>
      </c>
      <c r="W37" s="709">
        <f t="shared" si="12"/>
        <v>100</v>
      </c>
      <c r="X37" s="710"/>
      <c r="Y37" s="370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5"/>
      <c r="Q38" s="1352" t="str">
        <f>B38</f>
        <v>宗地面积</v>
      </c>
      <c r="R38" s="705" t="s">
        <v>14</v>
      </c>
      <c r="S38" s="706" t="e">
        <f t="shared" si="10"/>
        <v>#N/A</v>
      </c>
      <c r="T38" s="705" t="s">
        <v>14</v>
      </c>
      <c r="U38" s="706" t="e">
        <f t="shared" si="11"/>
        <v>#N/A</v>
      </c>
      <c r="V38" s="705" t="s">
        <v>14</v>
      </c>
      <c r="W38" s="706" t="e">
        <f t="shared" si="12"/>
        <v>#N/A</v>
      </c>
      <c r="X38" s="1355"/>
      <c r="Y38" s="370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5"/>
      <c r="Q39" s="1352" t="str">
        <f t="shared" ref="Q39:Q45" si="14">B39</f>
        <v>宗地形状</v>
      </c>
      <c r="R39" s="705" t="s">
        <v>14</v>
      </c>
      <c r="S39" s="706">
        <f t="shared" si="10"/>
        <v>100</v>
      </c>
      <c r="T39" s="705" t="s">
        <v>14</v>
      </c>
      <c r="U39" s="706">
        <f t="shared" si="11"/>
        <v>100</v>
      </c>
      <c r="V39" s="705" t="s">
        <v>14</v>
      </c>
      <c r="W39" s="706">
        <f t="shared" si="12"/>
        <v>100</v>
      </c>
      <c r="X39" s="1355"/>
      <c r="Y39" s="370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5"/>
      <c r="Q40" s="1352" t="str">
        <f t="shared" si="14"/>
        <v>临街宽度及深度</v>
      </c>
      <c r="R40" s="705" t="s">
        <v>14</v>
      </c>
      <c r="S40" s="706">
        <f t="shared" si="10"/>
        <v>100</v>
      </c>
      <c r="T40" s="705" t="s">
        <v>14</v>
      </c>
      <c r="U40" s="706">
        <f t="shared" si="11"/>
        <v>100</v>
      </c>
      <c r="V40" s="705" t="s">
        <v>14</v>
      </c>
      <c r="W40" s="706">
        <f t="shared" si="12"/>
        <v>100</v>
      </c>
      <c r="X40" s="1355"/>
      <c r="Y40" s="370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5"/>
      <c r="Q41" s="1352" t="str">
        <f t="shared" si="14"/>
        <v>宗地开发程度</v>
      </c>
      <c r="R41" s="701" t="s">
        <v>14</v>
      </c>
      <c r="S41" s="702">
        <f t="shared" si="10"/>
        <v>100</v>
      </c>
      <c r="T41" s="701" t="s">
        <v>14</v>
      </c>
      <c r="U41" s="702">
        <f t="shared" si="11"/>
        <v>100</v>
      </c>
      <c r="V41" s="701" t="s">
        <v>14</v>
      </c>
      <c r="W41" s="702">
        <f t="shared" si="12"/>
        <v>100</v>
      </c>
      <c r="X41" s="703"/>
      <c r="Y41" s="370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5" t="s">
        <v>1696</v>
      </c>
      <c r="Q42" s="1352" t="str">
        <f t="shared" si="14"/>
        <v>工程地质条件</v>
      </c>
      <c r="R42" s="705" t="s">
        <v>14</v>
      </c>
      <c r="S42" s="706">
        <f t="shared" si="10"/>
        <v>100</v>
      </c>
      <c r="T42" s="705" t="s">
        <v>14</v>
      </c>
      <c r="U42" s="706">
        <f t="shared" si="11"/>
        <v>100</v>
      </c>
      <c r="V42" s="705" t="s">
        <v>14</v>
      </c>
      <c r="W42" s="706">
        <f t="shared" si="12"/>
        <v>100</v>
      </c>
      <c r="X42" s="1355"/>
      <c r="Y42" s="370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5"/>
      <c r="Q43" s="1352">
        <f t="shared" si="14"/>
        <v>111</v>
      </c>
      <c r="R43" s="705" t="s">
        <v>14</v>
      </c>
      <c r="S43" s="706">
        <f t="shared" si="10"/>
        <v>100</v>
      </c>
      <c r="T43" s="705" t="s">
        <v>14</v>
      </c>
      <c r="U43" s="706">
        <f t="shared" si="11"/>
        <v>100</v>
      </c>
      <c r="V43" s="705" t="s">
        <v>14</v>
      </c>
      <c r="W43" s="706">
        <f t="shared" si="12"/>
        <v>100</v>
      </c>
      <c r="X43" s="1355"/>
      <c r="Y43" s="370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5"/>
      <c r="Q44" s="1352">
        <f t="shared" si="14"/>
        <v>111</v>
      </c>
      <c r="R44" s="705" t="s">
        <v>14</v>
      </c>
      <c r="S44" s="706">
        <f t="shared" si="10"/>
        <v>100</v>
      </c>
      <c r="T44" s="705" t="s">
        <v>14</v>
      </c>
      <c r="U44" s="706">
        <f t="shared" si="11"/>
        <v>100</v>
      </c>
      <c r="V44" s="705" t="s">
        <v>14</v>
      </c>
      <c r="W44" s="706">
        <f t="shared" si="12"/>
        <v>100</v>
      </c>
      <c r="X44" s="1355"/>
      <c r="Y44" s="370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5"/>
      <c r="Q45" s="1352">
        <f t="shared" si="14"/>
        <v>111</v>
      </c>
      <c r="R45" s="708" t="s">
        <v>14</v>
      </c>
      <c r="S45" s="709">
        <f t="shared" si="10"/>
        <v>100</v>
      </c>
      <c r="T45" s="708" t="s">
        <v>14</v>
      </c>
      <c r="U45" s="709">
        <f t="shared" si="11"/>
        <v>100</v>
      </c>
      <c r="V45" s="708" t="s">
        <v>14</v>
      </c>
      <c r="W45" s="709">
        <f t="shared" si="12"/>
        <v>100</v>
      </c>
      <c r="X45" s="710"/>
      <c r="Y45" s="370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8" t="str">
        <f>A46</f>
        <v>成交单价</v>
      </c>
      <c r="Q46" s="3698"/>
      <c r="R46" s="3729">
        <f>E46</f>
        <v>0</v>
      </c>
      <c r="S46" s="3729"/>
      <c r="T46" s="3729">
        <f>G46</f>
        <v>0</v>
      </c>
      <c r="U46" s="3729"/>
      <c r="V46" s="3729">
        <f>I46</f>
        <v>0</v>
      </c>
      <c r="W46" s="3729"/>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8" t="str">
        <f>A47</f>
        <v>比较价值（元/平方米）</v>
      </c>
      <c r="Q47" s="3698"/>
      <c r="R47" s="3758" t="e">
        <f>ROUND(PRODUCT(R46,AA7:AA45),0)</f>
        <v>#DIV/0!</v>
      </c>
      <c r="S47" s="3758"/>
      <c r="T47" s="3758" t="e">
        <f>ROUND(PRODUCT(T46,AB7:AB45),0)</f>
        <v>#DIV/0!</v>
      </c>
      <c r="U47" s="3758"/>
      <c r="V47" s="3758" t="e">
        <f>ROUND(PRODUCT(V46,AC7:AC45),0)</f>
        <v>#DIV/0!</v>
      </c>
      <c r="W47" s="375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5" t="str">
        <f>A48</f>
        <v>估价对象XX用房的比较价值（楼面单价，元/平方米）</v>
      </c>
      <c r="Q48" s="3696"/>
      <c r="R48" s="3759" t="e">
        <f>ROUND(IF(D47="简单平均",AVERAGE(R47:W47),R47*F47+T47*H47+V47*J47),0)</f>
        <v>#DIV/0!</v>
      </c>
      <c r="S48" s="3759"/>
      <c r="T48" s="3759"/>
      <c r="U48" s="3759"/>
      <c r="V48" s="3759"/>
      <c r="W48" s="375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3" t="s">
        <v>1887</v>
      </c>
      <c r="H55" s="376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5033.37</v>
      </c>
      <c r="F56" s="886" t="e">
        <f t="shared" ref="F56:F64" si="15">ROUND(B56*E56/10000,0)</f>
        <v>#DIV/0!</v>
      </c>
      <c r="G56" s="3709"/>
      <c r="H56" s="369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七级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七级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七级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5033.37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61" t="s">
        <v>1919</v>
      </c>
      <c r="D6" s="3762"/>
      <c r="E6" s="3763" t="s">
        <v>1919</v>
      </c>
      <c r="F6" s="3764"/>
      <c r="G6" s="3761" t="s">
        <v>1919</v>
      </c>
      <c r="H6" s="3762"/>
      <c r="I6" s="3761" t="s">
        <v>1919</v>
      </c>
      <c r="J6" s="3762"/>
      <c r="K6" s="559"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44959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4" t="s">
        <v>1683</v>
      </c>
      <c r="Q8" s="3735"/>
      <c r="R8" s="701" t="s">
        <v>14</v>
      </c>
      <c r="S8" s="702">
        <f t="shared" si="0"/>
        <v>0</v>
      </c>
      <c r="T8" s="701" t="s">
        <v>14</v>
      </c>
      <c r="U8" s="702">
        <f t="shared" si="1"/>
        <v>0</v>
      </c>
      <c r="V8" s="701" t="s">
        <v>14</v>
      </c>
      <c r="W8" s="702">
        <f t="shared" si="2"/>
        <v>0</v>
      </c>
      <c r="X8" s="703"/>
      <c r="Y8" s="3734" t="s">
        <v>1683</v>
      </c>
      <c r="Z8" s="373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8"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698"/>
      <c r="Q10" s="1343" t="str">
        <f t="shared" si="6"/>
        <v>土地使用年限（年）</v>
      </c>
      <c r="R10" s="701" t="s">
        <v>14</v>
      </c>
      <c r="S10" s="702">
        <f t="shared" si="0"/>
        <v>107</v>
      </c>
      <c r="T10" s="701" t="s">
        <v>14</v>
      </c>
      <c r="U10" s="702">
        <f t="shared" si="1"/>
        <v>107</v>
      </c>
      <c r="V10" s="701" t="s">
        <v>14</v>
      </c>
      <c r="W10" s="702">
        <f t="shared" si="2"/>
        <v>107</v>
      </c>
      <c r="X10" s="703"/>
      <c r="Y10" s="3573"/>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8"/>
      <c r="Q11" s="1343" t="str">
        <f t="shared" si="6"/>
        <v>容积率</v>
      </c>
      <c r="R11" s="701" t="s">
        <v>14</v>
      </c>
      <c r="S11" s="702" t="e">
        <f t="shared" si="0"/>
        <v>#N/A</v>
      </c>
      <c r="T11" s="701" t="s">
        <v>14</v>
      </c>
      <c r="U11" s="702" t="e">
        <f t="shared" si="1"/>
        <v>#N/A</v>
      </c>
      <c r="V11" s="701" t="s">
        <v>14</v>
      </c>
      <c r="W11" s="702" t="e">
        <f t="shared" si="2"/>
        <v>#N/A</v>
      </c>
      <c r="X11" s="703"/>
      <c r="Y11" s="357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8"/>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0" t="s">
        <v>1691</v>
      </c>
      <c r="Q15" s="1352" t="str">
        <f t="shared" si="6"/>
        <v>产业集聚程度</v>
      </c>
      <c r="R15" s="705" t="s">
        <v>14</v>
      </c>
      <c r="S15" s="706">
        <f t="shared" si="0"/>
        <v>100</v>
      </c>
      <c r="T15" s="705" t="s">
        <v>14</v>
      </c>
      <c r="U15" s="706">
        <f t="shared" si="1"/>
        <v>100</v>
      </c>
      <c r="V15" s="705" t="s">
        <v>14</v>
      </c>
      <c r="W15" s="706">
        <f t="shared" si="2"/>
        <v>100</v>
      </c>
      <c r="X15" s="1355"/>
      <c r="Y15" s="370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1"/>
      <c r="Q16" s="1352"/>
      <c r="R16" s="705"/>
      <c r="S16" s="706"/>
      <c r="T16" s="705"/>
      <c r="U16" s="706"/>
      <c r="V16" s="705"/>
      <c r="W16" s="706"/>
      <c r="X16" s="1355"/>
      <c r="Y16" s="370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1"/>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1"/>
      <c r="Q18" s="1352"/>
      <c r="R18" s="705"/>
      <c r="S18" s="706"/>
      <c r="T18" s="705"/>
      <c r="U18" s="706"/>
      <c r="V18" s="705"/>
      <c r="W18" s="706"/>
      <c r="X18" s="1355"/>
      <c r="Y18" s="370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1"/>
      <c r="Q19" s="1352" t="str">
        <f t="shared" ref="Q19:Q33" si="8">B19</f>
        <v>区域土地利用方向</v>
      </c>
      <c r="R19" s="705" t="s">
        <v>14</v>
      </c>
      <c r="S19" s="706">
        <f>F19</f>
        <v>100</v>
      </c>
      <c r="T19" s="705" t="s">
        <v>14</v>
      </c>
      <c r="U19" s="706">
        <f>H19</f>
        <v>100</v>
      </c>
      <c r="V19" s="705" t="s">
        <v>14</v>
      </c>
      <c r="W19" s="706">
        <f>J19</f>
        <v>100</v>
      </c>
      <c r="X19" s="1355"/>
      <c r="Y19" s="370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1"/>
      <c r="Q20" s="1352"/>
      <c r="R20" s="705"/>
      <c r="S20" s="706"/>
      <c r="T20" s="705"/>
      <c r="U20" s="706"/>
      <c r="V20" s="705"/>
      <c r="W20" s="706"/>
      <c r="X20" s="1355"/>
      <c r="Y20" s="370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1"/>
      <c r="Q21" s="1352" t="str">
        <f t="shared" si="8"/>
        <v>环境状况</v>
      </c>
      <c r="R21" s="705" t="s">
        <v>14</v>
      </c>
      <c r="S21" s="706">
        <f>F21</f>
        <v>100</v>
      </c>
      <c r="T21" s="705" t="s">
        <v>14</v>
      </c>
      <c r="U21" s="706">
        <f>H21</f>
        <v>100</v>
      </c>
      <c r="V21" s="705" t="s">
        <v>14</v>
      </c>
      <c r="W21" s="706">
        <f>J21</f>
        <v>100</v>
      </c>
      <c r="X21" s="1355"/>
      <c r="Y21" s="370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1"/>
      <c r="Q22" s="1352"/>
      <c r="R22" s="705"/>
      <c r="S22" s="706"/>
      <c r="T22" s="705"/>
      <c r="U22" s="706"/>
      <c r="V22" s="705"/>
      <c r="W22" s="706"/>
      <c r="X22" s="1355"/>
      <c r="Y22" s="370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1"/>
      <c r="Q23" s="1343" t="str">
        <f t="shared" si="8"/>
        <v>公共配套设施</v>
      </c>
      <c r="R23" s="701" t="s">
        <v>14</v>
      </c>
      <c r="S23" s="702">
        <f>F23</f>
        <v>100</v>
      </c>
      <c r="T23" s="701" t="s">
        <v>14</v>
      </c>
      <c r="U23" s="702">
        <f>H23</f>
        <v>100</v>
      </c>
      <c r="V23" s="701" t="s">
        <v>14</v>
      </c>
      <c r="W23" s="702">
        <f>J23</f>
        <v>100</v>
      </c>
      <c r="X23" s="703"/>
      <c r="Y23" s="370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1"/>
      <c r="Q24" s="1343"/>
      <c r="R24" s="701"/>
      <c r="S24" s="702"/>
      <c r="T24" s="701"/>
      <c r="U24" s="702"/>
      <c r="V24" s="701"/>
      <c r="W24" s="702"/>
      <c r="X24" s="703"/>
      <c r="Y24" s="370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1"/>
      <c r="Q25" s="1343" t="str">
        <f t="shared" ref="Q25" si="9">B25</f>
        <v>基础设施水平</v>
      </c>
      <c r="R25" s="701" t="s">
        <v>14</v>
      </c>
      <c r="S25" s="702">
        <f>F25</f>
        <v>100</v>
      </c>
      <c r="T25" s="701" t="s">
        <v>14</v>
      </c>
      <c r="U25" s="702">
        <f>H25</f>
        <v>100</v>
      </c>
      <c r="V25" s="701" t="s">
        <v>14</v>
      </c>
      <c r="W25" s="702">
        <f>J25</f>
        <v>100</v>
      </c>
      <c r="X25" s="703"/>
      <c r="Y25" s="370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1"/>
      <c r="Q26" s="1343"/>
      <c r="R26" s="701"/>
      <c r="S26" s="702"/>
      <c r="T26" s="701"/>
      <c r="U26" s="702"/>
      <c r="V26" s="701"/>
      <c r="W26" s="702"/>
      <c r="X26" s="703"/>
      <c r="Y26" s="370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1"/>
      <c r="Q28" s="1352" t="str">
        <f t="shared" si="8"/>
        <v>毗邻道路的类型与等级</v>
      </c>
      <c r="R28" s="705" t="s">
        <v>14</v>
      </c>
      <c r="S28" s="706">
        <f t="shared" si="10"/>
        <v>100</v>
      </c>
      <c r="T28" s="705" t="s">
        <v>14</v>
      </c>
      <c r="U28" s="706">
        <f t="shared" si="11"/>
        <v>100</v>
      </c>
      <c r="V28" s="705" t="s">
        <v>14</v>
      </c>
      <c r="W28" s="706">
        <f t="shared" si="12"/>
        <v>100</v>
      </c>
      <c r="X28" s="1355"/>
      <c r="Y28" s="370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1"/>
      <c r="Q29" s="1352"/>
      <c r="R29" s="705"/>
      <c r="S29" s="706"/>
      <c r="T29" s="705"/>
      <c r="U29" s="706"/>
      <c r="V29" s="705"/>
      <c r="W29" s="706"/>
      <c r="X29" s="1355"/>
      <c r="Y29" s="370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1"/>
      <c r="Q30" s="1352" t="str">
        <f t="shared" si="8"/>
        <v>土地级别</v>
      </c>
      <c r="R30" s="705" t="s">
        <v>14</v>
      </c>
      <c r="S30" s="706">
        <f t="shared" si="10"/>
        <v>100</v>
      </c>
      <c r="T30" s="705" t="s">
        <v>14</v>
      </c>
      <c r="U30" s="706">
        <f t="shared" si="11"/>
        <v>100</v>
      </c>
      <c r="V30" s="705" t="s">
        <v>14</v>
      </c>
      <c r="W30" s="706">
        <f t="shared" si="12"/>
        <v>100</v>
      </c>
      <c r="X30" s="1355"/>
      <c r="Y30" s="370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1"/>
      <c r="Q31" s="1352">
        <f t="shared" si="8"/>
        <v>111</v>
      </c>
      <c r="R31" s="705" t="s">
        <v>14</v>
      </c>
      <c r="S31" s="706">
        <f t="shared" si="10"/>
        <v>100</v>
      </c>
      <c r="T31" s="705" t="s">
        <v>14</v>
      </c>
      <c r="U31" s="706">
        <f t="shared" si="11"/>
        <v>100</v>
      </c>
      <c r="V31" s="705" t="s">
        <v>14</v>
      </c>
      <c r="W31" s="706">
        <f t="shared" si="12"/>
        <v>100</v>
      </c>
      <c r="X31" s="1355"/>
      <c r="Y31" s="370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6" t="s">
        <v>1696</v>
      </c>
      <c r="Q32" s="1352">
        <f t="shared" si="8"/>
        <v>111</v>
      </c>
      <c r="R32" s="705" t="s">
        <v>14</v>
      </c>
      <c r="S32" s="706">
        <f t="shared" si="10"/>
        <v>100</v>
      </c>
      <c r="T32" s="705" t="s">
        <v>14</v>
      </c>
      <c r="U32" s="706">
        <f t="shared" si="11"/>
        <v>100</v>
      </c>
      <c r="V32" s="705" t="s">
        <v>14</v>
      </c>
      <c r="W32" s="706">
        <f t="shared" si="12"/>
        <v>100</v>
      </c>
      <c r="X32" s="1355"/>
      <c r="Y32" s="370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5"/>
      <c r="Q33" s="1352">
        <f t="shared" si="8"/>
        <v>111</v>
      </c>
      <c r="R33" s="708" t="s">
        <v>14</v>
      </c>
      <c r="S33" s="709">
        <f t="shared" si="10"/>
        <v>100</v>
      </c>
      <c r="T33" s="708" t="s">
        <v>14</v>
      </c>
      <c r="U33" s="709">
        <f t="shared" si="11"/>
        <v>100</v>
      </c>
      <c r="V33" s="708" t="s">
        <v>14</v>
      </c>
      <c r="W33" s="709">
        <f t="shared" si="12"/>
        <v>100</v>
      </c>
      <c r="X33" s="710"/>
      <c r="Y33" s="370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5"/>
      <c r="Q34" s="1352" t="str">
        <f>B34</f>
        <v>宗地面积</v>
      </c>
      <c r="R34" s="705" t="s">
        <v>14</v>
      </c>
      <c r="S34" s="706" t="e">
        <f t="shared" si="10"/>
        <v>#N/A</v>
      </c>
      <c r="T34" s="705" t="s">
        <v>14</v>
      </c>
      <c r="U34" s="706" t="e">
        <f t="shared" si="11"/>
        <v>#N/A</v>
      </c>
      <c r="V34" s="705" t="s">
        <v>14</v>
      </c>
      <c r="W34" s="706" t="e">
        <f t="shared" si="12"/>
        <v>#N/A</v>
      </c>
      <c r="X34" s="1355"/>
      <c r="Y34" s="370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5"/>
      <c r="Q35" s="1352" t="str">
        <f t="shared" ref="Q35:Q40" si="14">B35</f>
        <v>宗地形状</v>
      </c>
      <c r="R35" s="705" t="s">
        <v>14</v>
      </c>
      <c r="S35" s="706">
        <f t="shared" si="10"/>
        <v>100</v>
      </c>
      <c r="T35" s="705" t="s">
        <v>14</v>
      </c>
      <c r="U35" s="706">
        <f t="shared" si="11"/>
        <v>100</v>
      </c>
      <c r="V35" s="705" t="s">
        <v>14</v>
      </c>
      <c r="W35" s="706">
        <f t="shared" si="12"/>
        <v>100</v>
      </c>
      <c r="X35" s="1355"/>
      <c r="Y35" s="370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5"/>
      <c r="Q36" s="1352" t="str">
        <f t="shared" si="14"/>
        <v>宗地开发程度</v>
      </c>
      <c r="R36" s="701" t="s">
        <v>14</v>
      </c>
      <c r="S36" s="702">
        <f t="shared" si="10"/>
        <v>100</v>
      </c>
      <c r="T36" s="701" t="s">
        <v>14</v>
      </c>
      <c r="U36" s="702">
        <f t="shared" si="11"/>
        <v>100</v>
      </c>
      <c r="V36" s="701" t="s">
        <v>14</v>
      </c>
      <c r="W36" s="702">
        <f t="shared" si="12"/>
        <v>100</v>
      </c>
      <c r="X36" s="703"/>
      <c r="Y36" s="370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5" t="s">
        <v>1696</v>
      </c>
      <c r="Q37" s="1352" t="str">
        <f t="shared" si="14"/>
        <v>工程地质条件</v>
      </c>
      <c r="R37" s="705" t="s">
        <v>14</v>
      </c>
      <c r="S37" s="706">
        <f t="shared" si="10"/>
        <v>100</v>
      </c>
      <c r="T37" s="705" t="s">
        <v>14</v>
      </c>
      <c r="U37" s="706">
        <f t="shared" si="11"/>
        <v>100</v>
      </c>
      <c r="V37" s="705" t="s">
        <v>14</v>
      </c>
      <c r="W37" s="706">
        <f t="shared" si="12"/>
        <v>100</v>
      </c>
      <c r="X37" s="1355"/>
      <c r="Y37" s="370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5"/>
      <c r="Q38" s="1352">
        <f t="shared" si="14"/>
        <v>111</v>
      </c>
      <c r="R38" s="705" t="s">
        <v>14</v>
      </c>
      <c r="S38" s="706">
        <f t="shared" si="10"/>
        <v>100</v>
      </c>
      <c r="T38" s="705" t="s">
        <v>14</v>
      </c>
      <c r="U38" s="706">
        <f t="shared" si="11"/>
        <v>100</v>
      </c>
      <c r="V38" s="705" t="s">
        <v>14</v>
      </c>
      <c r="W38" s="706">
        <f t="shared" si="12"/>
        <v>100</v>
      </c>
      <c r="X38" s="1355"/>
      <c r="Y38" s="370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5"/>
      <c r="Q39" s="1352">
        <f t="shared" si="14"/>
        <v>111</v>
      </c>
      <c r="R39" s="705" t="s">
        <v>14</v>
      </c>
      <c r="S39" s="706">
        <f t="shared" si="10"/>
        <v>100</v>
      </c>
      <c r="T39" s="705" t="s">
        <v>14</v>
      </c>
      <c r="U39" s="706">
        <f t="shared" si="11"/>
        <v>100</v>
      </c>
      <c r="V39" s="705" t="s">
        <v>14</v>
      </c>
      <c r="W39" s="706">
        <f t="shared" si="12"/>
        <v>100</v>
      </c>
      <c r="X39" s="1355"/>
      <c r="Y39" s="370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5"/>
      <c r="Q40" s="1352">
        <f t="shared" si="14"/>
        <v>111</v>
      </c>
      <c r="R40" s="708" t="s">
        <v>14</v>
      </c>
      <c r="S40" s="709">
        <f t="shared" si="10"/>
        <v>100</v>
      </c>
      <c r="T40" s="708" t="s">
        <v>14</v>
      </c>
      <c r="U40" s="709">
        <f t="shared" si="11"/>
        <v>100</v>
      </c>
      <c r="V40" s="708" t="s">
        <v>14</v>
      </c>
      <c r="W40" s="709">
        <f t="shared" si="12"/>
        <v>100</v>
      </c>
      <c r="X40" s="710"/>
      <c r="Y40" s="370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8" t="str">
        <f>A41</f>
        <v>成交单价</v>
      </c>
      <c r="Q41" s="3698"/>
      <c r="R41" s="3729">
        <f>E41</f>
        <v>0</v>
      </c>
      <c r="S41" s="3729"/>
      <c r="T41" s="3729">
        <f>G41</f>
        <v>0</v>
      </c>
      <c r="U41" s="3729"/>
      <c r="V41" s="3729">
        <f>I41</f>
        <v>0</v>
      </c>
      <c r="W41" s="3729"/>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8" t="str">
        <f>A42</f>
        <v>比较价值（元/平方米）</v>
      </c>
      <c r="Q42" s="3698"/>
      <c r="R42" s="3758" t="e">
        <f>ROUND(PRODUCT(R41,AA7:AA40),0)</f>
        <v>#DIV/0!</v>
      </c>
      <c r="S42" s="3758"/>
      <c r="T42" s="3758" t="e">
        <f>ROUND(PRODUCT(T41,AB7:AB40),0)</f>
        <v>#DIV/0!</v>
      </c>
      <c r="U42" s="3758"/>
      <c r="V42" s="3758" t="e">
        <f>ROUND(PRODUCT(V41,AC7:AC40),0)</f>
        <v>#DIV/0!</v>
      </c>
      <c r="W42" s="375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5" t="str">
        <f>A43</f>
        <v>估价对象XX用房的比较价值（楼面单价，元/平方米）</v>
      </c>
      <c r="Q43" s="3696"/>
      <c r="R43" s="3759" t="e">
        <f>ROUND(IF(D42="简单平均",AVERAGE(R42:W42),R42*F42+T42*H42+V42*J42),0)</f>
        <v>#DIV/0!</v>
      </c>
      <c r="S43" s="3759"/>
      <c r="T43" s="3759"/>
      <c r="U43" s="3759"/>
      <c r="V43" s="3759"/>
      <c r="W43" s="375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3" t="s">
        <v>1887</v>
      </c>
      <c r="H50" s="376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5033.37</v>
      </c>
      <c r="F51" s="639" t="e">
        <f t="shared" ref="F51:F60" si="15">ROUND(B51*E51/10000,0)</f>
        <v>#DIV/0!</v>
      </c>
      <c r="G51" s="3709"/>
      <c r="H51" s="369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七级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七级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5" priority="18" stopIfTrue="1" operator="containsText" text="超过">
      <formula>NOT(ISERROR(SEARCH("超过",F46)))</formula>
    </cfRule>
  </conditionalFormatting>
  <conditionalFormatting sqref="J48">
    <cfRule type="containsText" dxfId="44" priority="17" stopIfTrue="1" operator="containsText" text="超过">
      <formula>NOT(ISERROR(SEARCH("超过",J48)))</formula>
    </cfRule>
  </conditionalFormatting>
  <conditionalFormatting sqref="H48">
    <cfRule type="containsText" dxfId="43" priority="16" stopIfTrue="1" operator="containsText" text="超过">
      <formula>NOT(ISERROR(SEARCH("超过",H48)))</formula>
    </cfRule>
  </conditionalFormatting>
  <conditionalFormatting sqref="F48">
    <cfRule type="containsText" dxfId="42" priority="15" stopIfTrue="1" operator="containsText" text="超过">
      <formula>NOT(ISERROR(SEARCH("超过",F48)))</formula>
    </cfRule>
  </conditionalFormatting>
  <conditionalFormatting sqref="F47 H47 J47">
    <cfRule type="containsText" dxfId="41" priority="14" stopIfTrue="1" operator="containsText" text="超过">
      <formula>NOT(ISERROR(SEARCH("超过",F47)))</formula>
    </cfRule>
  </conditionalFormatting>
  <conditionalFormatting sqref="E46">
    <cfRule type="expression" dxfId="40" priority="13" stopIfTrue="1">
      <formula>$F$46="超过30%"</formula>
    </cfRule>
  </conditionalFormatting>
  <conditionalFormatting sqref="G48">
    <cfRule type="expression" dxfId="39" priority="12" stopIfTrue="1">
      <formula>$H$48="超过30%"</formula>
    </cfRule>
  </conditionalFormatting>
  <conditionalFormatting sqref="E48">
    <cfRule type="expression" dxfId="38" priority="10" stopIfTrue="1">
      <formula>$F$48="超过30%"</formula>
    </cfRule>
  </conditionalFormatting>
  <conditionalFormatting sqref="G46">
    <cfRule type="expression" dxfId="37" priority="9" stopIfTrue="1">
      <formula>$H$46="超过30%"</formula>
    </cfRule>
  </conditionalFormatting>
  <conditionalFormatting sqref="G47">
    <cfRule type="expression" dxfId="36" priority="8" stopIfTrue="1">
      <formula>$H$47="超过20%"</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E47">
    <cfRule type="expression" dxfId="32" priority="53" stopIfTrue="1">
      <formula>#REF!+$F$47="超过20%"</formula>
    </cfRule>
  </conditionalFormatting>
  <conditionalFormatting sqref="F42">
    <cfRule type="expression" dxfId="31" priority="4">
      <formula>$D$42="简单平均"</formula>
    </cfRule>
  </conditionalFormatting>
  <conditionalFormatting sqref="H42">
    <cfRule type="expression" dxfId="30" priority="3">
      <formula>$D$42="简单平均"</formula>
    </cfRule>
  </conditionalFormatting>
  <conditionalFormatting sqref="J42">
    <cfRule type="expression" dxfId="29" priority="2">
      <formula>$D$42="简单平均"</formula>
    </cfRule>
  </conditionalFormatting>
  <conditionalFormatting sqref="F7:F40 H7:H40 J7:J40">
    <cfRule type="cellIs" dxfId="2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8" t="s">
        <v>2084</v>
      </c>
      <c r="D1" s="3769"/>
      <c r="E1" s="3769"/>
      <c r="F1" s="3769"/>
      <c r="G1" s="3769"/>
      <c r="H1" s="3769"/>
      <c r="I1" s="3769"/>
      <c r="J1" s="3769"/>
      <c r="K1" s="3769"/>
      <c r="L1" s="3769"/>
      <c r="M1" s="3769"/>
      <c r="N1" s="3769"/>
      <c r="O1" s="3769"/>
      <c r="P1" s="3769"/>
      <c r="Q1" s="3769"/>
      <c r="R1" s="3769"/>
      <c r="S1" s="377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5" t="s">
        <v>27</v>
      </c>
      <c r="D22" s="3766"/>
      <c r="E22" s="3766"/>
      <c r="F22" s="3766"/>
      <c r="G22" s="3766"/>
      <c r="H22" s="3766"/>
      <c r="I22" s="3766"/>
      <c r="J22" s="3766"/>
      <c r="K22" s="3766"/>
      <c r="L22" s="3766"/>
      <c r="M22" s="3766"/>
      <c r="N22" s="3766"/>
      <c r="O22" s="3766"/>
      <c r="P22" s="3766"/>
      <c r="Q22" s="376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2555</v>
      </c>
      <c r="C2" s="2145" t="s">
        <v>2074</v>
      </c>
      <c r="D2" s="2145" t="s">
        <v>2075</v>
      </c>
      <c r="E2" s="2612">
        <f ca="1">SUMIF(E6:E13,"&lt;&gt;#ref!",E6:E13)</f>
        <v>3017.9</v>
      </c>
      <c r="F2" s="2793"/>
      <c r="G2" s="2793"/>
      <c r="H2" s="2793"/>
      <c r="I2" s="2793"/>
      <c r="J2" s="2793"/>
      <c r="K2" s="2793"/>
      <c r="L2" s="2793"/>
      <c r="M2" s="2793"/>
      <c r="N2" s="2793"/>
      <c r="O2" s="2793"/>
      <c r="P2" s="2793"/>
    </row>
    <row r="3" spans="1:16" ht="15.75">
      <c r="A3" s="2145" t="s">
        <v>2076</v>
      </c>
      <c r="B3" s="2602">
        <f ca="1">ROUND(B2*10000/E2,0)</f>
        <v>8466</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2555</v>
      </c>
      <c r="C6" s="2145" t="s">
        <v>2074</v>
      </c>
      <c r="D6" s="2793"/>
      <c r="E6" s="2612">
        <f ca="1">SUMIF(INDIRECT("'"&amp;A6&amp;"'"&amp;"!C:C"),"建筑面积",INDIRECT("'"&amp;A6&amp;"'"&amp;"!D:D"))</f>
        <v>3017.9</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55" zoomScale="70" zoomScaleNormal="80" zoomScaleSheetLayoutView="70" workbookViewId="0">
      <selection activeCell="B51" sqref="B5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3017.9</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2555</v>
      </c>
      <c r="C2" s="1999" t="s">
        <v>1935</v>
      </c>
      <c r="D2" s="2000" t="s">
        <v>1936</v>
      </c>
      <c r="E2" s="3422" t="s">
        <v>21</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13116</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8466</v>
      </c>
      <c r="C3" s="1999" t="s">
        <v>1941</v>
      </c>
      <c r="D3" s="2000" t="s">
        <v>1942</v>
      </c>
      <c r="E3" s="3420" t="s">
        <v>3398</v>
      </c>
      <c r="F3" s="2004" t="s">
        <v>3423</v>
      </c>
      <c r="G3" s="752">
        <f>IF(F3="宗地容积率",'数据-汇总表'!I4,IF(F3="估价对象容积率",'数据-汇总表'!I6,'数据-汇总表'!I7))</f>
        <v>2.9</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10338</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8737</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8664</v>
      </c>
      <c r="D5" s="1339">
        <f>ROUND(C6*C17+C20,0)</f>
        <v>8664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7706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7405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8700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2.9</v>
      </c>
      <c r="AA7" s="1216"/>
      <c r="AB7" s="1216"/>
      <c r="AC7" s="1217"/>
      <c r="AD7" s="1218"/>
      <c r="AE7" s="1218"/>
      <c r="AF7" s="1218"/>
      <c r="AG7" s="1218"/>
      <c r="AH7" s="1218"/>
      <c r="AI7" s="1218"/>
      <c r="AJ7" s="1219"/>
    </row>
    <row r="8" spans="1:36" ht="25.5">
      <c r="A8" s="3299"/>
      <c r="B8" s="170" t="s">
        <v>1957</v>
      </c>
      <c r="C8" s="2026" t="s">
        <v>3408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2" t="s">
        <v>3261</v>
      </c>
      <c r="B20" s="167" t="s">
        <v>1994</v>
      </c>
      <c r="C20" s="3325">
        <f>ROUND(IF(F21="与级别开发程度一致",0,(G21-E21)/C21),0)</f>
        <v>-36</v>
      </c>
      <c r="D20" s="3341" t="s">
        <v>1998</v>
      </c>
      <c r="E20" s="3342"/>
      <c r="F20" s="3788" t="s">
        <v>1995</v>
      </c>
      <c r="G20" s="3789"/>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1.0164</v>
      </c>
      <c r="D23" s="2054" t="s">
        <v>2002</v>
      </c>
      <c r="E23" s="761">
        <v>44197</v>
      </c>
      <c r="F23" s="2054" t="s">
        <v>2003</v>
      </c>
      <c r="G23" s="762">
        <f>'数据-取费表'!B2</f>
        <v>44959</v>
      </c>
      <c r="H23" s="3343" t="s">
        <v>3262</v>
      </c>
      <c r="I23" s="3344" t="str">
        <f>IF(H23="季度增幅（自定义）",SUMIF(N25:N28,E2,O25:O28),"")</f>
        <v/>
      </c>
      <c r="J23" s="3446" t="s">
        <v>3407</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0.95169999999999999</v>
      </c>
      <c r="D24" s="2060" t="s">
        <v>2007</v>
      </c>
      <c r="E24" s="1335">
        <f>存贷款利率!E22/100</f>
        <v>4.3499999999999997E-2</v>
      </c>
      <c r="F24" s="2060" t="s">
        <v>1999</v>
      </c>
      <c r="G24" s="768">
        <f>SUMIF(M30:Q30,E2,M33:Q33)</f>
        <v>5.5E-2</v>
      </c>
      <c r="H24" s="2060" t="s">
        <v>2008</v>
      </c>
      <c r="I24" s="769">
        <f>SUMIF('数据-取费表'!C6:C15,E2,'数据-取费表'!F6:F15)/COUNTIF('数据-取费表'!C6:C15,E2)</f>
        <v>40.6</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0.96950000000000003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0.96950000000000003</v>
      </c>
      <c r="E26" s="752">
        <f>ROUNDDOWN(G3,1)</f>
        <v>2.9</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52">
        <f>ROUNDUP(G3,1)</f>
        <v>2.9</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0.96950000000000003</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1.042</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2555</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8466</v>
      </c>
      <c r="D33" s="2098">
        <f>'数据-汇总表'!F19</f>
        <v>3017.9</v>
      </c>
      <c r="E33" s="773">
        <f>ROUND(C33*D33/10000,0)</f>
        <v>2555</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2117</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6"/>
      <c r="B37" s="2113" t="s">
        <v>2036</v>
      </c>
      <c r="C37" s="175">
        <f>ROUND(D5*C22*C23*C24*C28*F37,0)</f>
        <v>5240</v>
      </c>
      <c r="D37" s="2098"/>
      <c r="E37" s="171">
        <f>ROUND(C37*D37/10000,0)</f>
        <v>0</v>
      </c>
      <c r="F37" s="171">
        <f>SUMIF(修正!A57:A68,G2,修正!B57:B68)</f>
        <v>0.6</v>
      </c>
      <c r="G37" s="171">
        <f>ROUND(IF(E2="工业",C37*$M$42,C37*$M$41),0)</f>
        <v>1310</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f>ROUND(D5*C22*C23*C24*C28*F38,0)</f>
        <v>2620</v>
      </c>
      <c r="D38" s="2098"/>
      <c r="E38" s="171">
        <f t="shared" ref="E38:E42" si="4">ROUND(C38*D38/10000,0)</f>
        <v>0</v>
      </c>
      <c r="F38" s="171">
        <f>SUMIF(修正!A57:A68,G2,修正!C57:C68)</f>
        <v>0.3</v>
      </c>
      <c r="G38" s="171">
        <f>ROUND(IF(E2="工业",C38*$M$42,C38*$M$41),0)</f>
        <v>655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7"/>
      <c r="B39" s="2041" t="s">
        <v>3265</v>
      </c>
      <c r="C39" s="175">
        <f>ROUND(D5*C22*C23*C24*C28*F39,0)</f>
        <v>2183</v>
      </c>
      <c r="D39" s="2098"/>
      <c r="E39" s="171">
        <f t="shared" si="4"/>
        <v>0</v>
      </c>
      <c r="F39" s="171">
        <f>SUMIF(修正!A57:A68,G2,修正!D57:D68)</f>
        <v>0.25</v>
      </c>
      <c r="G39" s="171">
        <f>ROUND(IF(E2="工业",C39*$M$42,C39*$M$41),0)</f>
        <v>546</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2183</v>
      </c>
      <c r="D40" s="2098"/>
      <c r="E40" s="171">
        <f t="shared" si="4"/>
        <v>0</v>
      </c>
      <c r="F40" s="175">
        <f>SUMIF(修正!A57:A68,G2,修正!E57:E68)</f>
        <v>0.25</v>
      </c>
      <c r="G40" s="171">
        <f>ROUND(IF(E2="工业",C40*$M$42,C40*$M$41),0)</f>
        <v>546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t="e">
        <f>1+E50</f>
        <v>#VALUE!</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3409</v>
      </c>
      <c r="D50" s="1065">
        <f t="shared" ref="D50:D58" si="7">SUMIF($J$49:$N$49,C50,J50:N50)</f>
        <v>0</v>
      </c>
      <c r="E50" s="744" t="e">
        <f>ROUND(SUM(D50:D58),4)</f>
        <v>#VALUE!</v>
      </c>
      <c r="F50" s="1814" t="str">
        <f>IF(E2="商业",SUMIF(L1:L12,G2,N1:N12),"——")</f>
        <v>——</v>
      </c>
      <c r="G50" s="1063" t="str">
        <f>H50</f>
        <v>——</v>
      </c>
      <c r="H50" s="1066" t="str">
        <f t="shared" ref="H50:H58" si="8">IFERROR(ROUNDDOWN($F$50*I50/2,4),"——")</f>
        <v>——</v>
      </c>
      <c r="I50" s="3367">
        <v>0.3</v>
      </c>
      <c r="J50" s="1064" t="e">
        <f t="shared" ref="J50:J58" si="9">K50+$G50</f>
        <v>#VALUE!</v>
      </c>
      <c r="K50" s="1064" t="e">
        <f t="shared" ref="K50:K58" si="10">$L50+$G50</f>
        <v>#VALUE!</v>
      </c>
      <c r="L50" s="1064">
        <v>0</v>
      </c>
      <c r="M50" s="1064" t="e">
        <f t="shared" ref="M50:N58" si="11">L50-$G50</f>
        <v>#VALUE!</v>
      </c>
      <c r="N50" s="1064" t="e">
        <f t="shared" si="11"/>
        <v>#VALUE!</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3409</v>
      </c>
      <c r="D51" s="1065">
        <f t="shared" si="7"/>
        <v>0</v>
      </c>
      <c r="E51" s="745"/>
      <c r="F51" s="1814"/>
      <c r="G51" s="1063" t="str">
        <f t="shared" ref="G51:G58" si="12">H51</f>
        <v>——</v>
      </c>
      <c r="H51" s="1066" t="str">
        <f t="shared" si="8"/>
        <v>——</v>
      </c>
      <c r="I51" s="3367">
        <v>0.22</v>
      </c>
      <c r="J51" s="1064" t="e">
        <f t="shared" si="9"/>
        <v>#VALUE!</v>
      </c>
      <c r="K51" s="1064" t="e">
        <f t="shared" si="10"/>
        <v>#VALUE!</v>
      </c>
      <c r="L51" s="1064">
        <v>0</v>
      </c>
      <c r="M51" s="1064" t="e">
        <f t="shared" si="11"/>
        <v>#VALUE!</v>
      </c>
      <c r="N51" s="1064" t="e">
        <f t="shared" si="11"/>
        <v>#VALUE!</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3410</v>
      </c>
      <c r="D52" s="1065" t="e">
        <f t="shared" si="7"/>
        <v>#VALUE!</v>
      </c>
      <c r="E52" s="745"/>
      <c r="F52" s="1814"/>
      <c r="G52" s="1063" t="str">
        <f t="shared" si="12"/>
        <v>——</v>
      </c>
      <c r="H52" s="1066" t="str">
        <f t="shared" si="8"/>
        <v>——</v>
      </c>
      <c r="I52" s="3367">
        <v>0.12</v>
      </c>
      <c r="J52" s="1064" t="e">
        <f t="shared" si="9"/>
        <v>#VALUE!</v>
      </c>
      <c r="K52" s="1064" t="e">
        <f t="shared" si="10"/>
        <v>#VALUE!</v>
      </c>
      <c r="L52" s="1064">
        <v>0</v>
      </c>
      <c r="M52" s="1064" t="e">
        <f t="shared" si="11"/>
        <v>#VALUE!</v>
      </c>
      <c r="N52" s="1064" t="e">
        <f t="shared" si="11"/>
        <v>#VALUE!</v>
      </c>
      <c r="AA52" s="1120"/>
      <c r="AB52" s="1120"/>
      <c r="AC52" s="1120"/>
      <c r="AD52" s="1120"/>
      <c r="AE52" s="1120"/>
      <c r="AF52" s="1120"/>
      <c r="AG52" s="1120"/>
      <c r="AH52" s="1120"/>
      <c r="AI52" s="1120"/>
      <c r="AJ52" s="1120"/>
      <c r="AK52" s="1120"/>
    </row>
    <row r="53" spans="1:37" s="1119" customFormat="1" ht="36.75">
      <c r="A53" s="2130" t="s">
        <v>2054</v>
      </c>
      <c r="B53" s="2135" t="s">
        <v>2055</v>
      </c>
      <c r="C53" s="2044" t="s">
        <v>3410</v>
      </c>
      <c r="D53" s="1065" t="e">
        <f t="shared" si="7"/>
        <v>#VALUE!</v>
      </c>
      <c r="E53" s="745"/>
      <c r="F53" s="1814"/>
      <c r="G53" s="1063" t="str">
        <f t="shared" si="12"/>
        <v>——</v>
      </c>
      <c r="H53" s="1066" t="str">
        <f t="shared" si="8"/>
        <v>——</v>
      </c>
      <c r="I53" s="3367">
        <v>0.05</v>
      </c>
      <c r="J53" s="1064" t="e">
        <f t="shared" si="9"/>
        <v>#VALUE!</v>
      </c>
      <c r="K53" s="1064" t="e">
        <f t="shared" si="10"/>
        <v>#VALUE!</v>
      </c>
      <c r="L53" s="1064">
        <v>0</v>
      </c>
      <c r="M53" s="1064" t="e">
        <f t="shared" si="11"/>
        <v>#VALUE!</v>
      </c>
      <c r="N53" s="1064" t="e">
        <f t="shared" si="11"/>
        <v>#VALUE!</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3409</v>
      </c>
      <c r="D54" s="1065">
        <f t="shared" si="7"/>
        <v>0</v>
      </c>
      <c r="E54" s="745"/>
      <c r="F54" s="1814"/>
      <c r="G54" s="1063" t="str">
        <f t="shared" si="12"/>
        <v>——</v>
      </c>
      <c r="H54" s="1066" t="str">
        <f t="shared" si="8"/>
        <v>——</v>
      </c>
      <c r="I54" s="3367">
        <v>0.08</v>
      </c>
      <c r="J54" s="1064" t="e">
        <f t="shared" si="9"/>
        <v>#VALUE!</v>
      </c>
      <c r="K54" s="1064" t="e">
        <f t="shared" si="10"/>
        <v>#VALUE!</v>
      </c>
      <c r="L54" s="1064">
        <v>0</v>
      </c>
      <c r="M54" s="1064" t="e">
        <f t="shared" si="11"/>
        <v>#VALUE!</v>
      </c>
      <c r="N54" s="1064" t="e">
        <f t="shared" si="11"/>
        <v>#VALUE!</v>
      </c>
      <c r="AA54" s="1120"/>
      <c r="AB54" s="1120"/>
      <c r="AC54" s="1120"/>
      <c r="AD54" s="1120"/>
      <c r="AE54" s="1120"/>
      <c r="AF54" s="1120"/>
      <c r="AG54" s="1120"/>
      <c r="AH54" s="1120"/>
      <c r="AI54" s="1120"/>
      <c r="AJ54" s="1120"/>
      <c r="AK54" s="1120"/>
    </row>
    <row r="55" spans="1:37" s="1119" customFormat="1" ht="24">
      <c r="A55" s="2130" t="s">
        <v>2057</v>
      </c>
      <c r="B55" s="2136" t="s">
        <v>2058</v>
      </c>
      <c r="C55" s="2044" t="s">
        <v>3410</v>
      </c>
      <c r="D55" s="1065" t="e">
        <f t="shared" si="7"/>
        <v>#VALUE!</v>
      </c>
      <c r="E55" s="745"/>
      <c r="F55" s="1814"/>
      <c r="G55" s="1063" t="str">
        <f t="shared" si="12"/>
        <v>——</v>
      </c>
      <c r="H55" s="1066" t="str">
        <f t="shared" si="8"/>
        <v>——</v>
      </c>
      <c r="I55" s="3367">
        <v>0.05</v>
      </c>
      <c r="J55" s="1064" t="e">
        <f t="shared" si="9"/>
        <v>#VALUE!</v>
      </c>
      <c r="K55" s="1064" t="e">
        <f t="shared" si="10"/>
        <v>#VALUE!</v>
      </c>
      <c r="L55" s="1064">
        <v>0</v>
      </c>
      <c r="M55" s="1064" t="e">
        <f t="shared" si="11"/>
        <v>#VALUE!</v>
      </c>
      <c r="N55" s="1064" t="e">
        <f t="shared" si="11"/>
        <v>#VALUE!</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3409</v>
      </c>
      <c r="D56" s="1065">
        <f t="shared" si="7"/>
        <v>0</v>
      </c>
      <c r="E56" s="745"/>
      <c r="F56" s="1814"/>
      <c r="G56" s="1063" t="str">
        <f t="shared" si="12"/>
        <v>——</v>
      </c>
      <c r="H56" s="1066" t="str">
        <f t="shared" si="8"/>
        <v>——</v>
      </c>
      <c r="I56" s="3367">
        <v>0.05</v>
      </c>
      <c r="J56" s="1064" t="e">
        <f t="shared" si="9"/>
        <v>#VALUE!</v>
      </c>
      <c r="K56" s="1064" t="e">
        <f t="shared" si="10"/>
        <v>#VALUE!</v>
      </c>
      <c r="L56" s="1064">
        <v>0</v>
      </c>
      <c r="M56" s="1064" t="e">
        <f t="shared" si="11"/>
        <v>#VALUE!</v>
      </c>
      <c r="N56" s="1064" t="e">
        <f t="shared" si="11"/>
        <v>#VALUE!</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3411</v>
      </c>
      <c r="D57" s="1065" t="e">
        <f t="shared" si="7"/>
        <v>#VALUE!</v>
      </c>
      <c r="E57" s="745"/>
      <c r="F57" s="1814"/>
      <c r="G57" s="1063" t="str">
        <f t="shared" si="12"/>
        <v>——</v>
      </c>
      <c r="H57" s="1066" t="str">
        <f t="shared" si="8"/>
        <v>——</v>
      </c>
      <c r="I57" s="3367">
        <v>0.08</v>
      </c>
      <c r="J57" s="1064" t="e">
        <f t="shared" si="9"/>
        <v>#VALUE!</v>
      </c>
      <c r="K57" s="1064" t="e">
        <f t="shared" si="10"/>
        <v>#VALUE!</v>
      </c>
      <c r="L57" s="1064">
        <v>0</v>
      </c>
      <c r="M57" s="1064" t="e">
        <f t="shared" si="11"/>
        <v>#VALUE!</v>
      </c>
      <c r="N57" s="1064" t="e">
        <f t="shared" si="11"/>
        <v>#VALUE!</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3409</v>
      </c>
      <c r="D58" s="1065">
        <f t="shared" si="7"/>
        <v>0</v>
      </c>
      <c r="E58" s="746"/>
      <c r="F58" s="1814"/>
      <c r="G58" s="1063" t="str">
        <f t="shared" si="12"/>
        <v>——</v>
      </c>
      <c r="H58" s="1066" t="str">
        <f t="shared" si="8"/>
        <v>——</v>
      </c>
      <c r="I58" s="3368">
        <v>0.05</v>
      </c>
      <c r="J58" s="1064" t="e">
        <f t="shared" si="9"/>
        <v>#VALUE!</v>
      </c>
      <c r="K58" s="1064" t="e">
        <f t="shared" si="10"/>
        <v>#VALUE!</v>
      </c>
      <c r="L58" s="1064">
        <v>0</v>
      </c>
      <c r="M58" s="1064" t="e">
        <f t="shared" si="11"/>
        <v>#VALUE!</v>
      </c>
      <c r="N58" s="1064" t="e">
        <f t="shared" si="11"/>
        <v>#VALUE!</v>
      </c>
      <c r="AA58" s="1120"/>
      <c r="AB58" s="1120"/>
      <c r="AC58" s="1120"/>
      <c r="AD58" s="1120"/>
      <c r="AE58" s="1120"/>
      <c r="AF58" s="1120"/>
      <c r="AG58" s="1120"/>
      <c r="AH58" s="1120"/>
      <c r="AI58" s="1120"/>
      <c r="AJ58" s="1120"/>
      <c r="AK58" s="1120"/>
    </row>
    <row r="59" spans="1:37" s="1119" customFormat="1" ht="15">
      <c r="A59" s="2126" t="s">
        <v>2062</v>
      </c>
      <c r="B59" s="2127">
        <f>1+E61</f>
        <v>1.042</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3410</v>
      </c>
      <c r="D61" s="1065">
        <f t="shared" ref="D61:D69" si="13">SUMIF($J$60:$N$60,C61,J61:N61)</f>
        <v>1.6199999999999999E-2</v>
      </c>
      <c r="E61" s="744">
        <f>ROUND(SUM(D61:D69),4)</f>
        <v>4.2000000000000003E-2</v>
      </c>
      <c r="F61" s="1814">
        <f>IF(E2="办公",SUMIF(L1:L12,G2,N1:N12),"——")</f>
        <v>0.13</v>
      </c>
      <c r="G61" s="1063">
        <f>H61</f>
        <v>1.6199999999999999E-2</v>
      </c>
      <c r="H61" s="1066">
        <f t="shared" ref="H61:H69" si="14">IFERROR(ROUNDDOWN($F$61*I61/2,4),"——")</f>
        <v>1.6199999999999999E-2</v>
      </c>
      <c r="I61" s="3367">
        <v>0.25</v>
      </c>
      <c r="J61" s="1064">
        <f t="shared" ref="J61:J69" si="15">K61+$G61</f>
        <v>3.2399999999999998E-2</v>
      </c>
      <c r="K61" s="1064">
        <f t="shared" ref="K61:K69" si="16">$L61+$G61</f>
        <v>1.6199999999999999E-2</v>
      </c>
      <c r="L61" s="1064">
        <v>0</v>
      </c>
      <c r="M61" s="1064">
        <f t="shared" ref="M61:N69" si="17">L61-$G61</f>
        <v>-1.6199999999999999E-2</v>
      </c>
      <c r="N61" s="1064">
        <f t="shared" si="17"/>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3409</v>
      </c>
      <c r="D62" s="1065">
        <f t="shared" si="13"/>
        <v>0</v>
      </c>
      <c r="E62" s="745"/>
      <c r="F62" s="1814"/>
      <c r="G62" s="1063">
        <f t="shared" ref="G62:G69" si="18">H62</f>
        <v>1.6899999999999998E-2</v>
      </c>
      <c r="H62" s="1066">
        <f t="shared" si="14"/>
        <v>1.6899999999999998E-2</v>
      </c>
      <c r="I62" s="3367">
        <v>0.26</v>
      </c>
      <c r="J62" s="1064">
        <f t="shared" si="15"/>
        <v>3.3799999999999997E-2</v>
      </c>
      <c r="K62" s="1064">
        <f t="shared" si="16"/>
        <v>1.6899999999999998E-2</v>
      </c>
      <c r="L62" s="1064">
        <v>0</v>
      </c>
      <c r="M62" s="1064">
        <f t="shared" si="17"/>
        <v>-1.6899999999999998E-2</v>
      </c>
      <c r="N62" s="1064">
        <f t="shared" si="17"/>
        <v>-3.3799999999999997E-2</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3410</v>
      </c>
      <c r="D63" s="1065">
        <f t="shared" si="13"/>
        <v>7.1000000000000004E-3</v>
      </c>
      <c r="E63" s="745"/>
      <c r="F63" s="1814"/>
      <c r="G63" s="1063">
        <f t="shared" si="18"/>
        <v>7.1000000000000004E-3</v>
      </c>
      <c r="H63" s="1066">
        <f t="shared" si="14"/>
        <v>7.1000000000000004E-3</v>
      </c>
      <c r="I63" s="3367">
        <v>0.11</v>
      </c>
      <c r="J63" s="1064">
        <f t="shared" si="15"/>
        <v>1.4200000000000001E-2</v>
      </c>
      <c r="K63" s="1064">
        <f t="shared" si="16"/>
        <v>7.1000000000000004E-3</v>
      </c>
      <c r="L63" s="1064">
        <v>0</v>
      </c>
      <c r="M63" s="1064">
        <f t="shared" si="17"/>
        <v>-7.1000000000000004E-3</v>
      </c>
      <c r="N63" s="1064">
        <f t="shared" si="17"/>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3410</v>
      </c>
      <c r="D64" s="1065">
        <f t="shared" si="13"/>
        <v>3.2000000000000002E-3</v>
      </c>
      <c r="E64" s="745"/>
      <c r="F64" s="1814"/>
      <c r="G64" s="1063">
        <f t="shared" si="18"/>
        <v>3.2000000000000002E-3</v>
      </c>
      <c r="H64" s="1066">
        <f t="shared" si="14"/>
        <v>3.2000000000000002E-3</v>
      </c>
      <c r="I64" s="3367">
        <v>0.05</v>
      </c>
      <c r="J64" s="1064">
        <f t="shared" si="15"/>
        <v>6.4000000000000003E-3</v>
      </c>
      <c r="K64" s="1064">
        <f t="shared" si="16"/>
        <v>3.2000000000000002E-3</v>
      </c>
      <c r="L64" s="1064">
        <v>0</v>
      </c>
      <c r="M64" s="1064">
        <f t="shared" si="17"/>
        <v>-3.2000000000000002E-3</v>
      </c>
      <c r="N64" s="1064">
        <f t="shared" si="17"/>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3409</v>
      </c>
      <c r="D65" s="1065">
        <f t="shared" si="13"/>
        <v>0</v>
      </c>
      <c r="E65" s="745"/>
      <c r="F65" s="1814"/>
      <c r="G65" s="1063">
        <f t="shared" si="18"/>
        <v>3.2000000000000002E-3</v>
      </c>
      <c r="H65" s="1066">
        <f t="shared" si="14"/>
        <v>3.2000000000000002E-3</v>
      </c>
      <c r="I65" s="3367">
        <v>0.05</v>
      </c>
      <c r="J65" s="1064">
        <f t="shared" si="15"/>
        <v>6.4000000000000003E-3</v>
      </c>
      <c r="K65" s="1064">
        <f t="shared" si="16"/>
        <v>3.2000000000000002E-3</v>
      </c>
      <c r="L65" s="1064">
        <v>0</v>
      </c>
      <c r="M65" s="1064">
        <f t="shared" si="17"/>
        <v>-3.2000000000000002E-3</v>
      </c>
      <c r="N65" s="1064">
        <f t="shared" si="17"/>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3410</v>
      </c>
      <c r="D66" s="1065">
        <f t="shared" si="13"/>
        <v>3.8999999999999998E-3</v>
      </c>
      <c r="E66" s="745"/>
      <c r="F66" s="1814"/>
      <c r="G66" s="1063">
        <f t="shared" si="18"/>
        <v>3.8999999999999998E-3</v>
      </c>
      <c r="H66" s="1066">
        <f t="shared" si="14"/>
        <v>3.8999999999999998E-3</v>
      </c>
      <c r="I66" s="3367">
        <v>0.06</v>
      </c>
      <c r="J66" s="1064">
        <f t="shared" si="15"/>
        <v>7.7999999999999996E-3</v>
      </c>
      <c r="K66" s="1064">
        <f t="shared" si="16"/>
        <v>3.8999999999999998E-3</v>
      </c>
      <c r="L66" s="1064">
        <v>0</v>
      </c>
      <c r="M66" s="1064">
        <f t="shared" si="17"/>
        <v>-3.8999999999999998E-3</v>
      </c>
      <c r="N66" s="1064">
        <f t="shared" si="17"/>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3409</v>
      </c>
      <c r="D67" s="1065">
        <f t="shared" si="13"/>
        <v>0</v>
      </c>
      <c r="E67" s="745"/>
      <c r="F67" s="1814"/>
      <c r="G67" s="1063">
        <f t="shared" si="18"/>
        <v>3.8999999999999998E-3</v>
      </c>
      <c r="H67" s="1066">
        <f t="shared" si="14"/>
        <v>3.8999999999999998E-3</v>
      </c>
      <c r="I67" s="3367">
        <v>0.06</v>
      </c>
      <c r="J67" s="1064">
        <f t="shared" si="15"/>
        <v>7.7999999999999996E-3</v>
      </c>
      <c r="K67" s="1064">
        <f t="shared" si="16"/>
        <v>3.8999999999999998E-3</v>
      </c>
      <c r="L67" s="1064">
        <v>0</v>
      </c>
      <c r="M67" s="1064">
        <f t="shared" si="17"/>
        <v>-3.8999999999999998E-3</v>
      </c>
      <c r="N67" s="1064">
        <f t="shared" si="17"/>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3411</v>
      </c>
      <c r="D68" s="1065">
        <f t="shared" si="13"/>
        <v>1.1599999999999999E-2</v>
      </c>
      <c r="E68" s="745"/>
      <c r="F68" s="1814"/>
      <c r="G68" s="1063">
        <f t="shared" si="18"/>
        <v>5.7999999999999996E-3</v>
      </c>
      <c r="H68" s="1066">
        <f t="shared" si="14"/>
        <v>5.7999999999999996E-3</v>
      </c>
      <c r="I68" s="3367">
        <v>0.09</v>
      </c>
      <c r="J68" s="1064">
        <f t="shared" si="15"/>
        <v>1.1599999999999999E-2</v>
      </c>
      <c r="K68" s="1064">
        <f t="shared" si="16"/>
        <v>5.7999999999999996E-3</v>
      </c>
      <c r="L68" s="1064">
        <v>0</v>
      </c>
      <c r="M68" s="1064">
        <f t="shared" si="17"/>
        <v>-5.7999999999999996E-3</v>
      </c>
      <c r="N68" s="1064">
        <f t="shared" si="17"/>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3409</v>
      </c>
      <c r="D69" s="1065">
        <f t="shared" si="13"/>
        <v>0</v>
      </c>
      <c r="E69" s="746"/>
      <c r="F69" s="1814"/>
      <c r="G69" s="1063">
        <f t="shared" si="18"/>
        <v>4.4999999999999997E-3</v>
      </c>
      <c r="H69" s="1066">
        <f t="shared" si="14"/>
        <v>4.4999999999999997E-3</v>
      </c>
      <c r="I69" s="3368">
        <v>7.0000000000000007E-2</v>
      </c>
      <c r="J69" s="1064">
        <f t="shared" si="15"/>
        <v>8.9999999999999993E-3</v>
      </c>
      <c r="K69" s="1064">
        <f t="shared" si="16"/>
        <v>4.4999999999999997E-3</v>
      </c>
      <c r="L69" s="1064">
        <v>0</v>
      </c>
      <c r="M69" s="1064">
        <f t="shared" si="17"/>
        <v>-4.4999999999999997E-3</v>
      </c>
      <c r="N69" s="1064">
        <f t="shared" si="17"/>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3276</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3279</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3280</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3281</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3282</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3283</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3284</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3285</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784" t="s">
        <v>3300</v>
      </c>
      <c r="B103" s="3784"/>
      <c r="C103" s="3784"/>
      <c r="D103" s="3784"/>
      <c r="E103" s="3784"/>
      <c r="F103" s="3784"/>
      <c r="G103" s="3784"/>
      <c r="H103" s="3784"/>
      <c r="I103" s="3784"/>
      <c r="J103" s="3784"/>
      <c r="K103" s="3390"/>
      <c r="L103" s="3390"/>
      <c r="M103" s="3390"/>
      <c r="N103" s="3390"/>
    </row>
    <row r="104" spans="1:14">
      <c r="A104" s="3785" t="s">
        <v>3301</v>
      </c>
      <c r="B104" s="3785" t="s">
        <v>3302</v>
      </c>
      <c r="C104" s="3391" t="s">
        <v>3303</v>
      </c>
      <c r="D104" s="3392"/>
      <c r="E104" s="3392"/>
      <c r="F104" s="3392"/>
      <c r="G104" s="3392"/>
      <c r="H104" s="3392"/>
      <c r="I104" s="3392"/>
      <c r="J104" s="3393"/>
      <c r="K104" s="3394"/>
      <c r="L104" s="3394"/>
      <c r="M104" s="3394"/>
      <c r="N104" s="3394"/>
    </row>
    <row r="105" spans="1:14">
      <c r="A105" s="3785"/>
      <c r="B105" s="3785"/>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71"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2"/>
      <c r="B111" s="3395" t="s">
        <v>3274</v>
      </c>
      <c r="C111" s="3396">
        <f>$I$3</f>
        <v>0</v>
      </c>
      <c r="D111" s="3396">
        <f t="shared" ref="D111:M111" si="34">$I$3</f>
        <v>0</v>
      </c>
      <c r="E111" s="3396">
        <f t="shared" si="34"/>
        <v>0</v>
      </c>
      <c r="F111" s="3396">
        <f t="shared" si="34"/>
        <v>0</v>
      </c>
      <c r="G111" s="3396">
        <f t="shared" si="34"/>
        <v>0</v>
      </c>
      <c r="H111" s="3396">
        <f t="shared" si="34"/>
        <v>0</v>
      </c>
      <c r="I111" s="3396">
        <f t="shared" si="34"/>
        <v>0</v>
      </c>
      <c r="J111" s="3396">
        <f t="shared" si="34"/>
        <v>0</v>
      </c>
      <c r="K111" s="3396">
        <f t="shared" si="34"/>
        <v>0</v>
      </c>
      <c r="L111" s="3396">
        <f t="shared" si="34"/>
        <v>0</v>
      </c>
      <c r="M111" s="3396">
        <f t="shared" si="34"/>
        <v>0</v>
      </c>
      <c r="N111" s="3396">
        <f>$I$3</f>
        <v>0</v>
      </c>
    </row>
    <row r="112" spans="1:14">
      <c r="A112" s="3773"/>
      <c r="B112" s="3395">
        <v>6</v>
      </c>
      <c r="C112" s="3388">
        <f>(-0.5556*(C111^2)-0.2719*C111+8944)*(10^(-4))</f>
        <v>0.89440000000000008</v>
      </c>
      <c r="D112" s="3388">
        <f>(-0.5556*(D111^2)-0.2719*D111+8944)*(10^(-4))</f>
        <v>0.89440000000000008</v>
      </c>
      <c r="E112" s="3388">
        <f>(-0.7912*(E111^2)-11.3794*E111+8482)*(10^(-4))</f>
        <v>0.84820000000000007</v>
      </c>
      <c r="F112" s="3388">
        <f t="shared" ref="F112:I112" si="35">(-0.7912*(F111^2)-11.3794*F111+8482)*(10^(-4))</f>
        <v>0.84820000000000007</v>
      </c>
      <c r="G112" s="3388">
        <f t="shared" si="35"/>
        <v>0.84820000000000007</v>
      </c>
      <c r="H112" s="3388">
        <f t="shared" si="35"/>
        <v>0.84820000000000007</v>
      </c>
      <c r="I112" s="3388">
        <f t="shared" si="35"/>
        <v>0.84820000000000007</v>
      </c>
      <c r="J112" s="3388">
        <f>(-0.989*(J111^2)-63.78*J111+7771)*(10^(-4))</f>
        <v>0.77710000000000001</v>
      </c>
      <c r="K112" s="3388">
        <f t="shared" ref="K112:N112" si="36">(-0.989*(K111^2)-63.78*K111+7771)*(10^(-4))</f>
        <v>0.77710000000000001</v>
      </c>
      <c r="L112" s="3388">
        <f t="shared" si="36"/>
        <v>0.77710000000000001</v>
      </c>
      <c r="M112" s="3388">
        <f t="shared" si="36"/>
        <v>0.77710000000000001</v>
      </c>
      <c r="N112" s="3388">
        <f t="shared" si="36"/>
        <v>0.77710000000000001</v>
      </c>
    </row>
    <row r="113" spans="1:14">
      <c r="A113" s="3774" t="s">
        <v>3317</v>
      </c>
      <c r="B113" s="3774"/>
      <c r="C113" s="3774"/>
      <c r="D113" s="3774"/>
      <c r="E113" s="3774"/>
      <c r="F113" s="3774"/>
      <c r="G113" s="3774"/>
      <c r="H113" s="3774"/>
      <c r="I113" s="3774"/>
      <c r="J113" s="377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2.9</v>
      </c>
      <c r="C116" s="3400" t="s">
        <v>3319</v>
      </c>
      <c r="D116" s="3401">
        <f>SUMPRODUCT((A118:A122=F116)*(B117:M117=H116)*B118:M122)</f>
        <v>0.90029999999999999</v>
      </c>
      <c r="E116" s="2000" t="s">
        <v>3320</v>
      </c>
      <c r="F116" s="3402" t="str">
        <f>E2</f>
        <v>办公</v>
      </c>
      <c r="G116" s="2000" t="s">
        <v>3321</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0.96489999999999998</v>
      </c>
      <c r="C118" s="3388">
        <f>B118</f>
        <v>0.96489999999999998</v>
      </c>
      <c r="D118" s="3388">
        <f>ROUND(0.949-0.014*B116,4)</f>
        <v>0.90839999999999999</v>
      </c>
      <c r="E118" s="3388">
        <f>D118</f>
        <v>0.90839999999999999</v>
      </c>
      <c r="F118" s="3388">
        <f>E118</f>
        <v>0.90839999999999999</v>
      </c>
      <c r="G118" s="3388">
        <f>F118</f>
        <v>0.90839999999999999</v>
      </c>
      <c r="H118" s="3388">
        <f>G118</f>
        <v>0.90839999999999999</v>
      </c>
      <c r="I118" s="3388">
        <f>ROUND(0.8486-0.018*B116,4)</f>
        <v>0.7964</v>
      </c>
      <c r="J118" s="3388">
        <f t="shared" ref="J118:M122" si="37">I118</f>
        <v>0.7964</v>
      </c>
      <c r="K118" s="3388">
        <f t="shared" si="37"/>
        <v>0.7964</v>
      </c>
      <c r="L118" s="3388">
        <f t="shared" si="37"/>
        <v>0.7964</v>
      </c>
      <c r="M118" s="3411">
        <f t="shared" si="37"/>
        <v>0.7964</v>
      </c>
      <c r="N118" s="3398"/>
    </row>
    <row r="119" spans="1:14">
      <c r="A119" s="3410" t="s">
        <v>3335</v>
      </c>
      <c r="B119" s="3388">
        <f>ROUND(0.993-0.0112*B116,4)</f>
        <v>0.96050000000000002</v>
      </c>
      <c r="C119" s="3388">
        <f>B119</f>
        <v>0.96050000000000002</v>
      </c>
      <c r="D119" s="3388">
        <f>ROUND(0.9415-0.0142*B116,4)</f>
        <v>0.90029999999999999</v>
      </c>
      <c r="E119" s="3388">
        <f t="shared" ref="E119:H120" si="38">D119</f>
        <v>0.90029999999999999</v>
      </c>
      <c r="F119" s="3388">
        <f t="shared" si="38"/>
        <v>0.90029999999999999</v>
      </c>
      <c r="G119" s="3388">
        <f t="shared" si="38"/>
        <v>0.90029999999999999</v>
      </c>
      <c r="H119" s="3388">
        <f t="shared" si="38"/>
        <v>0.90029999999999999</v>
      </c>
      <c r="I119" s="3388">
        <f>ROUND(0.838-0.0182*B116,4)</f>
        <v>0.78520000000000001</v>
      </c>
      <c r="J119" s="3388">
        <f t="shared" si="37"/>
        <v>0.78520000000000001</v>
      </c>
      <c r="K119" s="3388">
        <f t="shared" si="37"/>
        <v>0.78520000000000001</v>
      </c>
      <c r="L119" s="3388">
        <f t="shared" si="37"/>
        <v>0.78520000000000001</v>
      </c>
      <c r="M119" s="3411">
        <f t="shared" si="37"/>
        <v>0.78520000000000001</v>
      </c>
      <c r="N119" s="3398"/>
    </row>
    <row r="120" spans="1:14">
      <c r="A120" s="3410" t="s">
        <v>3336</v>
      </c>
      <c r="B120" s="3388">
        <f>ROUND(0.9448-0.0115*B116,4)</f>
        <v>0.91149999999999998</v>
      </c>
      <c r="C120" s="3388">
        <f>B120</f>
        <v>0.91149999999999998</v>
      </c>
      <c r="D120" s="3388">
        <f>ROUND(0.937-0.0145*B116,4)</f>
        <v>0.89500000000000002</v>
      </c>
      <c r="E120" s="3388">
        <f t="shared" si="38"/>
        <v>0.89500000000000002</v>
      </c>
      <c r="F120" s="3388">
        <f t="shared" si="38"/>
        <v>0.89500000000000002</v>
      </c>
      <c r="G120" s="3388">
        <f t="shared" si="38"/>
        <v>0.89500000000000002</v>
      </c>
      <c r="H120" s="3388">
        <f t="shared" si="38"/>
        <v>0.89500000000000002</v>
      </c>
      <c r="I120" s="3388">
        <f>ROUND(0.7965-0.0185*B116,4)</f>
        <v>0.7429</v>
      </c>
      <c r="J120" s="3388">
        <f t="shared" si="37"/>
        <v>0.7429</v>
      </c>
      <c r="K120" s="3388">
        <f t="shared" si="37"/>
        <v>0.7429</v>
      </c>
      <c r="L120" s="3388">
        <f t="shared" si="37"/>
        <v>0.7429</v>
      </c>
      <c r="M120" s="3411">
        <f t="shared" si="37"/>
        <v>0.7429</v>
      </c>
      <c r="N120" s="3398"/>
    </row>
    <row r="121" spans="1:14" ht="13.5" thickBot="1">
      <c r="A121" s="3412" t="s">
        <v>3337</v>
      </c>
      <c r="B121" s="3413">
        <f>ROUND(0.7836-0.012*B116,4)</f>
        <v>0.74880000000000002</v>
      </c>
      <c r="C121" s="3413">
        <f>B121</f>
        <v>0.74880000000000002</v>
      </c>
      <c r="D121" s="3413">
        <f>ROUND(0.753-0.015*B116,4)</f>
        <v>0.70950000000000002</v>
      </c>
      <c r="E121" s="3413">
        <f>D121</f>
        <v>0.70950000000000002</v>
      </c>
      <c r="F121" s="3413">
        <f>E121</f>
        <v>0.70950000000000002</v>
      </c>
      <c r="G121" s="3413">
        <f>ROUND(0.6612-0.018*B116,4)</f>
        <v>0.60899999999999999</v>
      </c>
      <c r="H121" s="3413">
        <f>G121</f>
        <v>0.60899999999999999</v>
      </c>
      <c r="I121" s="3413">
        <f>ROUND(0.5905-0.019*B116,4)</f>
        <v>0.53539999999999999</v>
      </c>
      <c r="J121" s="3413">
        <f t="shared" si="37"/>
        <v>0.53539999999999999</v>
      </c>
      <c r="K121" s="3413">
        <f t="shared" si="37"/>
        <v>0.53539999999999999</v>
      </c>
      <c r="L121" s="3413">
        <f t="shared" si="37"/>
        <v>0.53539999999999999</v>
      </c>
      <c r="M121" s="3414">
        <f t="shared" si="37"/>
        <v>0.53539999999999999</v>
      </c>
      <c r="N121" s="3398"/>
    </row>
    <row r="122" spans="1:14">
      <c r="A122" s="3415" t="s">
        <v>2615</v>
      </c>
      <c r="B122" s="3388">
        <f>ROUND(0.9404-0.0106*B116,4)</f>
        <v>0.90969999999999995</v>
      </c>
      <c r="C122" s="3388">
        <f>B122</f>
        <v>0.90969999999999995</v>
      </c>
      <c r="D122" s="3388">
        <f>ROUND(0.8955-0.0135*B116,4)</f>
        <v>0.85640000000000005</v>
      </c>
      <c r="E122" s="3388">
        <f t="shared" ref="E122:H122" si="39">D122</f>
        <v>0.85640000000000005</v>
      </c>
      <c r="F122" s="3388">
        <f t="shared" si="39"/>
        <v>0.85640000000000005</v>
      </c>
      <c r="G122" s="3388">
        <f t="shared" si="39"/>
        <v>0.85640000000000005</v>
      </c>
      <c r="H122" s="3388">
        <f t="shared" si="39"/>
        <v>0.85640000000000005</v>
      </c>
      <c r="I122" s="3388">
        <f>ROUND(0.7632-0.0166*B116,4)</f>
        <v>0.71509999999999996</v>
      </c>
      <c r="J122" s="3388">
        <f t="shared" si="37"/>
        <v>0.71509999999999996</v>
      </c>
      <c r="K122" s="3388">
        <f t="shared" si="37"/>
        <v>0.71509999999999996</v>
      </c>
      <c r="L122" s="3388">
        <f t="shared" si="37"/>
        <v>0.71509999999999996</v>
      </c>
      <c r="M122" s="3411">
        <f t="shared" si="37"/>
        <v>0.71509999999999996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6" priority="6" stopIfTrue="1" operator="notEqual">
      <formula>"——"</formula>
    </cfRule>
  </conditionalFormatting>
  <conditionalFormatting sqref="F61">
    <cfRule type="cellIs" dxfId="25" priority="5" stopIfTrue="1" operator="notEqual">
      <formula>"——"</formula>
    </cfRule>
  </conditionalFormatting>
  <conditionalFormatting sqref="F72">
    <cfRule type="cellIs" dxfId="24" priority="4" stopIfTrue="1" operator="notEqual">
      <formula>"——"</formula>
    </cfRule>
  </conditionalFormatting>
  <conditionalFormatting sqref="F83">
    <cfRule type="cellIs" dxfId="23" priority="3" stopIfTrue="1" operator="notEqual">
      <formula>"——"</formula>
    </cfRule>
  </conditionalFormatting>
  <conditionalFormatting sqref="H50:H58 H61:H69 H72:H80 H83:H91">
    <cfRule type="cellIs" dxfId="22" priority="2" operator="notEqual">
      <formula>"——"</formula>
    </cfRule>
  </conditionalFormatting>
  <conditionalFormatting sqref="H93:H101">
    <cfRule type="cellIs" dxfId="2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1" zoomScale="70" zoomScaleNormal="100" zoomScaleSheetLayoutView="70" zoomScalePageLayoutView="80" workbookViewId="0">
      <selection activeCell="G36" sqref="G3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3416</v>
      </c>
      <c r="D4" s="1756" t="s">
        <v>3393</v>
      </c>
      <c r="E4" s="3612" t="s">
        <v>1267</v>
      </c>
      <c r="F4" s="3613"/>
      <c r="G4" s="3613"/>
      <c r="H4" s="3613"/>
      <c r="I4" s="3614"/>
      <c r="K4" s="146" t="str">
        <f>IF(ISNUMBER(FIND("比较法",'结果表-商业'!C4)),"比较法",IF(ISNUMBER(FIND("成本法",'结果表-商业'!C4)),"成本法",IF(ISNUMBER(FIND("假设开发法",'结果表-商业'!C4)),"假设开发法",IF(ISNUMBER(FIND("收益法",'结果表-商业'!C4)),"收益法","基准地价系数修正法"))))</f>
        <v>成本法</v>
      </c>
      <c r="L4" s="146"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86" t="s">
        <v>1268</v>
      </c>
      <c r="B5" s="3573">
        <v>25</v>
      </c>
      <c r="C5" s="3589"/>
      <c r="D5" s="3609"/>
      <c r="E5" s="131" t="s">
        <v>1269</v>
      </c>
      <c r="F5" s="1757"/>
      <c r="G5" s="1757"/>
      <c r="H5" s="1757"/>
      <c r="I5" s="1373"/>
    </row>
    <row r="6" spans="1:12" ht="12.75">
      <c r="A6" s="3586"/>
      <c r="B6" s="3573"/>
      <c r="C6" s="3590"/>
      <c r="D6" s="3609"/>
      <c r="E6" s="131" t="s">
        <v>1270</v>
      </c>
      <c r="F6" s="1757"/>
      <c r="G6" s="1757"/>
      <c r="H6" s="1757"/>
      <c r="I6" s="1373"/>
    </row>
    <row r="7" spans="1:12" ht="12.75">
      <c r="A7" s="3586"/>
      <c r="B7" s="3573"/>
      <c r="C7" s="3591"/>
      <c r="D7" s="3609"/>
      <c r="E7" s="131" t="s">
        <v>1271</v>
      </c>
      <c r="F7" s="1757"/>
      <c r="G7" s="1757"/>
      <c r="H7" s="1757"/>
      <c r="I7" s="1373"/>
    </row>
    <row r="8" spans="1:12" ht="12.75">
      <c r="A8" s="3586" t="s">
        <v>1272</v>
      </c>
      <c r="B8" s="3573">
        <v>15</v>
      </c>
      <c r="C8" s="3589"/>
      <c r="D8" s="3609"/>
      <c r="E8" s="131" t="s">
        <v>1273</v>
      </c>
      <c r="F8" s="1757"/>
      <c r="G8" s="1757"/>
      <c r="H8" s="1757"/>
      <c r="I8" s="1373"/>
    </row>
    <row r="9" spans="1:12" ht="12.75">
      <c r="A9" s="3586"/>
      <c r="B9" s="3573"/>
      <c r="C9" s="3591"/>
      <c r="D9" s="3609"/>
      <c r="E9" s="131" t="s">
        <v>1274</v>
      </c>
      <c r="F9" s="1757"/>
      <c r="G9" s="1757"/>
      <c r="H9" s="1757"/>
      <c r="I9" s="1373"/>
    </row>
    <row r="10" spans="1:12" ht="12.75">
      <c r="A10" s="3586" t="s">
        <v>1275</v>
      </c>
      <c r="B10" s="3573">
        <v>15</v>
      </c>
      <c r="C10" s="3589"/>
      <c r="D10" s="3609"/>
      <c r="E10" s="131" t="s">
        <v>1276</v>
      </c>
      <c r="F10" s="1757"/>
      <c r="G10" s="1757"/>
      <c r="H10" s="1757"/>
      <c r="I10" s="1373"/>
    </row>
    <row r="11" spans="1:12" ht="12.75">
      <c r="A11" s="3586"/>
      <c r="B11" s="3573"/>
      <c r="C11" s="3591"/>
      <c r="D11" s="3609"/>
      <c r="E11" s="131" t="s">
        <v>1277</v>
      </c>
      <c r="F11" s="1757"/>
      <c r="G11" s="1757"/>
      <c r="H11" s="1757"/>
      <c r="I11" s="1373"/>
    </row>
    <row r="12" spans="1:12" ht="12.75">
      <c r="A12" s="3586" t="s">
        <v>1278</v>
      </c>
      <c r="B12" s="3573">
        <v>15</v>
      </c>
      <c r="C12" s="3589"/>
      <c r="D12" s="3609"/>
      <c r="E12" s="131" t="s">
        <v>1279</v>
      </c>
      <c r="F12" s="1757"/>
      <c r="G12" s="1757"/>
      <c r="H12" s="1757"/>
      <c r="I12" s="1373"/>
    </row>
    <row r="13" spans="1:12" ht="12.75">
      <c r="A13" s="3586"/>
      <c r="B13" s="3573"/>
      <c r="C13" s="3591"/>
      <c r="D13" s="3609"/>
      <c r="E13" s="131" t="s">
        <v>1280</v>
      </c>
      <c r="F13" s="1757"/>
      <c r="G13" s="1757"/>
      <c r="H13" s="1757"/>
      <c r="I13" s="1373"/>
    </row>
    <row r="14" spans="1:12" ht="12.75">
      <c r="A14" s="3586" t="s">
        <v>1281</v>
      </c>
      <c r="B14" s="3573">
        <v>30</v>
      </c>
      <c r="C14" s="3589">
        <v>5</v>
      </c>
      <c r="D14" s="3609">
        <v>5</v>
      </c>
      <c r="E14" s="131" t="s">
        <v>1282</v>
      </c>
      <c r="F14" s="1757"/>
      <c r="G14" s="1757"/>
      <c r="H14" s="1757"/>
      <c r="I14" s="1373"/>
    </row>
    <row r="15" spans="1:12" ht="12.75">
      <c r="A15" s="3586"/>
      <c r="B15" s="3573"/>
      <c r="C15" s="3590"/>
      <c r="D15" s="3609"/>
      <c r="E15" s="131" t="s">
        <v>1283</v>
      </c>
      <c r="F15" s="1757"/>
      <c r="G15" s="1757"/>
      <c r="H15" s="1757"/>
      <c r="I15" s="1373"/>
    </row>
    <row r="16" spans="1:12" ht="12.75">
      <c r="A16" s="3586"/>
      <c r="B16" s="3573"/>
      <c r="C16" s="3591"/>
      <c r="D16" s="360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96" t="s">
        <v>2131</v>
      </c>
      <c r="F18" s="3597"/>
      <c r="G18" s="3597"/>
      <c r="H18" s="3597"/>
      <c r="I18" s="3597"/>
      <c r="K18" s="302" t="s">
        <v>1289</v>
      </c>
      <c r="L18" s="302">
        <f>IF(C1="",'数据-汇总表'!E3,SUMIF(项目类型,C1,'数据-汇总表'!E17:E26)+SUMIF(项目类型,C1,'数据-汇总表'!I17:I26))</f>
        <v>2015.47</v>
      </c>
      <c r="M18" s="302">
        <f>IF(C1="",'数据-汇总表'!E3,SUMIF(项目类型,C1,'数据-汇总表'!E17:E26))</f>
        <v>2015.47</v>
      </c>
    </row>
    <row r="19" spans="1:36" ht="15">
      <c r="A19" s="1761" t="s">
        <v>1290</v>
      </c>
      <c r="B19" s="1762" t="s">
        <v>1291</v>
      </c>
      <c r="C19" s="134">
        <f ca="1">SUMIF(INDIRECT("'"&amp;C4&amp;"'"&amp;"!A:A"),'结果表-商业'!B19,INDIRECT("'"&amp;C4&amp;"'"&amp;"!B:B"))</f>
        <v>4773</v>
      </c>
      <c r="D19" s="135">
        <f ca="1">SUMIF(INDIRECT("'"&amp;D4&amp;"'"&amp;"!A:A"),'结果表-商业'!B19,INDIRECT("'"&amp;D4&amp;"'"&amp;"!B:B"))</f>
        <v>4247</v>
      </c>
      <c r="E19" s="1761" t="s">
        <v>1292</v>
      </c>
      <c r="F19" s="1762" t="s">
        <v>1291</v>
      </c>
      <c r="G19" s="136">
        <f ca="1">ROUND(C19*$C$18+D19*$D$18,0)</f>
        <v>4510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SUMIF(INDIRECT("'"&amp;C4&amp;"'"&amp;"!A:A"),'结果表-商业'!B20,INDIRECT("'"&amp;C4&amp;"'"&amp;"!B:B"))</f>
        <v>23682</v>
      </c>
      <c r="D20" s="138">
        <f ca="1">SUMIF(INDIRECT("'"&amp;D4&amp;"'"&amp;"!A:A"),'结果表-商业'!B20,INDIRECT("'"&amp;D4&amp;"'"&amp;"!B:B"))</f>
        <v>21072</v>
      </c>
      <c r="E20" s="1764"/>
      <c r="F20" s="1026" t="s">
        <v>1295</v>
      </c>
      <c r="G20" s="139">
        <f ca="1">ROUND(C20*$C$18+D20*$D$18,0)</f>
        <v>22377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0.12385213091594061</v>
      </c>
      <c r="E22" s="129"/>
      <c r="F22" s="129"/>
      <c r="G22" s="129"/>
      <c r="H22" s="129"/>
      <c r="I22" s="129"/>
    </row>
    <row r="23" spans="1:36" ht="13.5" thickBot="1">
      <c r="A23" s="1747"/>
      <c r="B23" s="1747"/>
      <c r="C23" s="1747"/>
      <c r="D23" s="1747"/>
      <c r="E23" s="129"/>
      <c r="F23" s="129"/>
      <c r="G23" s="129"/>
      <c r="H23" s="129"/>
      <c r="I23" s="129"/>
    </row>
    <row r="24" spans="1:36" ht="14.25">
      <c r="A24" s="3580" t="s">
        <v>1299</v>
      </c>
      <c r="B24" s="1762" t="s">
        <v>1291</v>
      </c>
      <c r="C24" s="136">
        <f>IF(B30=0,0,D30)</f>
        <v>0</v>
      </c>
      <c r="D24" s="1769"/>
      <c r="E24" s="129"/>
      <c r="F24" s="129"/>
      <c r="G24" s="129"/>
      <c r="H24" s="129"/>
      <c r="I24" s="129"/>
    </row>
    <row r="25" spans="1:36" ht="14.25">
      <c r="A25" s="358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4510</v>
      </c>
      <c r="D32" s="1775" t="s">
        <v>3418</v>
      </c>
      <c r="E32" s="129"/>
      <c r="F32" s="129"/>
      <c r="G32" s="129"/>
      <c r="H32" s="129"/>
      <c r="I32" s="129"/>
    </row>
    <row r="33" spans="1:15" ht="15">
      <c r="A33" s="786" t="s">
        <v>1306</v>
      </c>
      <c r="B33" s="1776"/>
      <c r="C33" s="1777" t="s">
        <v>3422</v>
      </c>
      <c r="D33" s="1778" t="s">
        <v>3395</v>
      </c>
      <c r="E33" s="1779" t="s">
        <v>1307</v>
      </c>
      <c r="F33" s="1780" t="str">
        <f>IF(D32="楼面单价","取值（单价）","取值（总价）")</f>
        <v>取值（总价）</v>
      </c>
      <c r="G33" s="129"/>
      <c r="H33" s="129"/>
      <c r="I33" s="129"/>
    </row>
    <row r="34" spans="1:15" ht="15">
      <c r="A34" s="1781"/>
      <c r="B34" s="1782" t="s">
        <v>1308</v>
      </c>
      <c r="C34" s="148">
        <f ca="1">IF(C33="自定义",F34,C32-C35)</f>
        <v>3162</v>
      </c>
      <c r="D34" s="861">
        <f ca="1">IF(C33="自定义",ROUND(C34/C32,3),IF(C33="收益比率",SUMIF(INDIRECT("'"&amp;D33&amp;"'"&amp;"!b:b"),"土地收益比率",INDIRECT("'"&amp;D33&amp;"'"&amp;"!c:c")),SUMIF(INDIRECT("'"&amp;D33&amp;"'"&amp;"!b:b"),"土地成本比率",INDIRECT("'"&amp;D33&amp;"'"&amp;"!c:c"))))</f>
        <v>0.70100000000000007</v>
      </c>
      <c r="E34" s="1783" t="s">
        <v>1309</v>
      </c>
      <c r="F34" s="1330"/>
      <c r="G34" s="129"/>
      <c r="H34" s="129"/>
      <c r="I34" s="129"/>
    </row>
    <row r="35" spans="1:15" ht="15.75" thickBot="1">
      <c r="A35" s="1784"/>
      <c r="B35" s="1785" t="s">
        <v>1310</v>
      </c>
      <c r="C35" s="1170">
        <f ca="1">IF(C33="自定义",F35,ROUND(C32*D35,0))</f>
        <v>1348</v>
      </c>
      <c r="D35" s="1171">
        <f ca="1">IF(C33="自定义",ROUND(C35/C32,3),IF(C33="收益比率",SUMIF(INDIRECT("'"&amp;D33&amp;"'"&amp;"!b:b"),"建筑物收益比率",INDIRECT("'"&amp;D33&amp;"'"&amp;"!c:c")),SUMIF(INDIRECT("'"&amp;D33&amp;"'"&amp;"!b:b"),"建筑物成本比率",INDIRECT("'"&amp;D33&amp;"'"&amp;"!c:c"))))</f>
        <v>0.29899999999999999</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7" t="s">
        <v>1326</v>
      </c>
      <c r="B45" s="3578"/>
      <c r="C45" s="3579"/>
      <c r="D45" s="155">
        <f ca="1">ROUND(H101*F45,0)</f>
        <v>4510</v>
      </c>
      <c r="E45" s="156" t="s">
        <v>1327</v>
      </c>
      <c r="F45" s="157">
        <v>1</v>
      </c>
      <c r="G45" s="158" t="s">
        <v>1328</v>
      </c>
      <c r="H45" s="129"/>
      <c r="I45" s="129"/>
      <c r="J45" s="3655" t="s">
        <v>1329</v>
      </c>
      <c r="K45" s="3655"/>
      <c r="L45" s="3655"/>
      <c r="M45" s="3655"/>
      <c r="N45" s="3655"/>
      <c r="O45" s="3655"/>
    </row>
    <row r="46" spans="1:15" ht="14.25" customHeight="1">
      <c r="A46" s="3574" t="s">
        <v>1330</v>
      </c>
      <c r="B46" s="3575"/>
      <c r="C46" s="3575"/>
      <c r="D46" s="3575"/>
      <c r="E46" s="3575"/>
      <c r="F46" s="3575"/>
      <c r="G46" s="3576"/>
      <c r="H46" s="1806"/>
      <c r="I46" s="159"/>
      <c r="J46" s="3457">
        <v>1</v>
      </c>
      <c r="K46" s="3636" t="s">
        <v>1331</v>
      </c>
      <c r="L46" s="3636"/>
      <c r="M46" s="3656"/>
      <c r="N46" s="3656"/>
      <c r="O46" s="3656"/>
    </row>
    <row r="47" spans="1:15" ht="12" customHeight="1">
      <c r="A47" s="160" t="s">
        <v>1332</v>
      </c>
      <c r="B47" s="161"/>
      <c r="C47" s="162"/>
      <c r="D47" s="1087" t="s">
        <v>1333</v>
      </c>
      <c r="E47" s="302" t="s">
        <v>1334</v>
      </c>
      <c r="F47" s="163" t="s">
        <v>1335</v>
      </c>
      <c r="G47" s="2546" t="s">
        <v>1336</v>
      </c>
      <c r="H47" s="2547"/>
      <c r="I47" s="159"/>
      <c r="J47" s="3457">
        <v>2</v>
      </c>
      <c r="K47" s="3636" t="s">
        <v>1337</v>
      </c>
      <c r="L47" s="3636"/>
      <c r="M47" s="3657">
        <f>'数据-取费表'!B2</f>
        <v>44959</v>
      </c>
      <c r="N47" s="3657"/>
      <c r="O47" s="3657"/>
    </row>
    <row r="48" spans="1:15" ht="25.5">
      <c r="A48" s="3605" t="s">
        <v>1338</v>
      </c>
      <c r="B48" s="3588"/>
      <c r="C48" s="3588"/>
      <c r="D48" s="3452" t="b">
        <f>IF(H48="情况1",0,IF(H48="情况2",D52,IF(H48="情况3",D53,IF(H48="情况4",D54))))</f>
        <v>0</v>
      </c>
      <c r="E48" s="3468" t="str">
        <f>IF(H48="情况4","(销售额-原购置价)×税（费）率","销售额×税（费）率")</f>
        <v>销售额×税（费）率</v>
      </c>
      <c r="F48" s="2548">
        <f>IF(H48="情况1","免征",'数据-取费表'!B41)</f>
        <v>5.5000000000000007E-2</v>
      </c>
      <c r="G48" s="2549" t="s">
        <v>1339</v>
      </c>
      <c r="H48" s="2550"/>
      <c r="I48" s="1806"/>
      <c r="J48" s="3457">
        <v>3</v>
      </c>
      <c r="K48" s="3636" t="s">
        <v>1340</v>
      </c>
      <c r="L48" s="3636"/>
      <c r="M48" s="3658">
        <f ca="1">H101</f>
        <v>4510</v>
      </c>
      <c r="N48" s="3658"/>
      <c r="O48" s="3658"/>
    </row>
    <row r="49" spans="1:35" ht="25.5" customHeight="1">
      <c r="A49" s="3467" t="s">
        <v>1341</v>
      </c>
      <c r="B49" s="3572" t="s">
        <v>1342</v>
      </c>
      <c r="C49" s="3572"/>
      <c r="D49" s="1590">
        <v>0</v>
      </c>
      <c r="E49" s="324" t="s">
        <v>1343</v>
      </c>
      <c r="F49" s="3450" t="s">
        <v>28</v>
      </c>
      <c r="G49" s="3642"/>
      <c r="H49" s="2310" t="s">
        <v>2134</v>
      </c>
      <c r="I49" s="2311"/>
      <c r="J49" s="3457">
        <v>4</v>
      </c>
      <c r="K49" s="3636" t="str">
        <f>IF(项目基本情况!E8="房地产抵押价值","房地产抵押价值","抵押担保权已注销时的房地产抵押价值")</f>
        <v>房地产抵押价值</v>
      </c>
      <c r="L49" s="3636"/>
      <c r="M49" s="3658">
        <f ca="1">IF(项目基本情况!E8="房地产抵押价值",H107,H109)</f>
        <v>4510</v>
      </c>
      <c r="N49" s="3658"/>
      <c r="O49" s="3658"/>
    </row>
    <row r="50" spans="1:35" ht="25.5" customHeight="1">
      <c r="A50" s="2551"/>
      <c r="B50" s="3572" t="s">
        <v>1344</v>
      </c>
      <c r="C50" s="3572"/>
      <c r="D50" s="2552"/>
      <c r="E50" s="332"/>
      <c r="F50" s="3450"/>
      <c r="G50" s="3643"/>
      <c r="H50" s="2312" t="s">
        <v>2135</v>
      </c>
      <c r="I50" s="2311"/>
      <c r="J50" s="3655" t="s">
        <v>1345</v>
      </c>
      <c r="K50" s="3655"/>
      <c r="L50" s="3655"/>
      <c r="M50" s="3655"/>
      <c r="N50" s="3655"/>
      <c r="O50" s="3655"/>
    </row>
    <row r="51" spans="1:35" ht="20.45" customHeight="1">
      <c r="A51" s="2553"/>
      <c r="B51" s="3572" t="s">
        <v>1346</v>
      </c>
      <c r="C51" s="3572"/>
      <c r="D51" s="1087"/>
      <c r="E51" s="327"/>
      <c r="F51" s="3450"/>
      <c r="G51" s="3644"/>
      <c r="H51" s="2312" t="s">
        <v>2136</v>
      </c>
      <c r="I51" s="2311"/>
      <c r="J51" s="3451" t="s">
        <v>1347</v>
      </c>
      <c r="K51" s="3636" t="s">
        <v>1348</v>
      </c>
      <c r="L51" s="3636"/>
      <c r="M51" s="3451" t="s">
        <v>1349</v>
      </c>
      <c r="N51" s="3451" t="s">
        <v>1350</v>
      </c>
      <c r="O51" s="3451" t="s">
        <v>1351</v>
      </c>
    </row>
    <row r="52" spans="1:35" ht="24" customHeight="1">
      <c r="A52" s="3470" t="s">
        <v>1352</v>
      </c>
      <c r="B52" s="3572" t="s">
        <v>1353</v>
      </c>
      <c r="C52" s="3572"/>
      <c r="D52" s="1087">
        <f ca="1">ROUND(D45*'数据-取费表'!B41/(1+'数据-取费表'!C42),0)</f>
        <v>236</v>
      </c>
      <c r="E52" s="3468" t="s">
        <v>1354</v>
      </c>
      <c r="F52" s="2554">
        <f>'数据-取费表'!B41</f>
        <v>5.5000000000000007E-2</v>
      </c>
      <c r="G52" s="2555"/>
      <c r="H52" s="2544"/>
      <c r="I52" s="1807"/>
      <c r="J52" s="3457">
        <v>1</v>
      </c>
      <c r="K52" s="3637" t="s">
        <v>1355</v>
      </c>
      <c r="L52" s="3637"/>
      <c r="M52" s="2525" t="b">
        <f>D48</f>
        <v>0</v>
      </c>
      <c r="N52" s="3457" t="str">
        <f>E48</f>
        <v>销售额×税（费）率</v>
      </c>
      <c r="O52" s="2526">
        <f>F48</f>
        <v>5.5000000000000007E-2</v>
      </c>
    </row>
    <row r="53" spans="1:35" ht="12" customHeight="1">
      <c r="A53" s="3470" t="s">
        <v>1356</v>
      </c>
      <c r="B53" s="3598" t="s">
        <v>2291</v>
      </c>
      <c r="C53" s="3599"/>
      <c r="D53" s="1087">
        <f ca="1">ROUND(D45*'数据-取费表'!B41/(1+'数据-取费表'!C42),0)</f>
        <v>236</v>
      </c>
      <c r="E53" s="3468" t="s">
        <v>1354</v>
      </c>
      <c r="F53" s="2554">
        <f>'数据-取费表'!B41</f>
        <v>5.5000000000000007E-2</v>
      </c>
      <c r="G53" s="2555"/>
      <c r="H53" s="2544"/>
      <c r="I53" s="1807"/>
      <c r="J53" s="3457">
        <v>2</v>
      </c>
      <c r="K53" s="3637" t="s">
        <v>1357</v>
      </c>
      <c r="L53" s="3637"/>
      <c r="M53" s="2525">
        <f t="shared" ref="M53:O54" ca="1" si="0">D55</f>
        <v>2</v>
      </c>
      <c r="N53" s="3457" t="str">
        <f t="shared" si="0"/>
        <v>销售额×税（费）率</v>
      </c>
      <c r="O53" s="2526" t="str">
        <f t="shared" si="0"/>
        <v>免征</v>
      </c>
    </row>
    <row r="54" spans="1:35" ht="12" customHeight="1">
      <c r="A54" s="3470" t="s">
        <v>1358</v>
      </c>
      <c r="B54" s="3598" t="s">
        <v>2292</v>
      </c>
      <c r="C54" s="3599"/>
      <c r="D54" s="1087">
        <f ca="1">C68</f>
        <v>236</v>
      </c>
      <c r="E54" s="327" t="s">
        <v>1359</v>
      </c>
      <c r="F54" s="2554">
        <f>'数据-取费表'!B41</f>
        <v>5.5000000000000007E-2</v>
      </c>
      <c r="G54" s="2555"/>
      <c r="H54" s="2556"/>
      <c r="I54" s="1807"/>
      <c r="J54" s="3457">
        <v>3</v>
      </c>
      <c r="K54" s="3637" t="s">
        <v>1360</v>
      </c>
      <c r="L54" s="3637"/>
      <c r="M54" s="2525">
        <f t="shared" ca="1" si="0"/>
        <v>2557</v>
      </c>
      <c r="N54" s="3457" t="str">
        <f t="shared" si="0"/>
        <v>增值额×税（费）率</v>
      </c>
      <c r="O54" s="2527" t="str">
        <f t="shared" si="0"/>
        <v>免征</v>
      </c>
    </row>
    <row r="55" spans="1:35" ht="24" customHeight="1">
      <c r="A55" s="3587" t="s">
        <v>1361</v>
      </c>
      <c r="B55" s="3588"/>
      <c r="C55" s="3588"/>
      <c r="D55" s="3452">
        <f ca="1">IF(H55="个人住宅",0,ROUND(D45*I55,0))</f>
        <v>2</v>
      </c>
      <c r="E55" s="3468" t="s">
        <v>1362</v>
      </c>
      <c r="F55" s="2554" t="str">
        <f>IF(H55="正常",I55,"免征")</f>
        <v>免征</v>
      </c>
      <c r="G55" s="2555"/>
      <c r="H55" s="2550"/>
      <c r="I55" s="165">
        <f>'数据-取费表'!B49</f>
        <v>5.0000000000000001E-4</v>
      </c>
      <c r="J55" s="3457">
        <f>IF(H59="非个人房产","",4)</f>
        <v>4</v>
      </c>
      <c r="K55" s="3637" t="str">
        <f>IF(H59="非个人房产","——","个人所得税")</f>
        <v>个人所得税</v>
      </c>
      <c r="L55" s="3637"/>
      <c r="M55" s="2528">
        <f ca="1">D59</f>
        <v>43</v>
      </c>
      <c r="N55" s="3458" t="str">
        <f>E59</f>
        <v>差额计税</v>
      </c>
      <c r="O55" s="2529">
        <f>F59</f>
        <v>0.01</v>
      </c>
    </row>
    <row r="56" spans="1:35" ht="24.75">
      <c r="A56" s="3587" t="s">
        <v>1363</v>
      </c>
      <c r="B56" s="3588"/>
      <c r="C56" s="3588"/>
      <c r="D56" s="3452">
        <f ca="1">IF(H56="个人住宅",D57,D58)</f>
        <v>2557</v>
      </c>
      <c r="E56" s="3468" t="s">
        <v>1364</v>
      </c>
      <c r="F56" s="2554" t="str">
        <f>IF(H56="正常",F58,"免征")</f>
        <v>免征</v>
      </c>
      <c r="G56" s="2557" t="s">
        <v>1365</v>
      </c>
      <c r="H56" s="2558"/>
      <c r="I56" s="1808"/>
      <c r="J56" s="3457" t="str">
        <f>IF(项目基本情况!K6="上海银行",IF(J55="",4,J55+1),"")</f>
        <v/>
      </c>
      <c r="K56" s="3660" t="str">
        <f>IF(项目基本情况!K6="上海银行","其他处置费用","")</f>
        <v/>
      </c>
      <c r="L56" s="3661"/>
      <c r="M56" s="2525" t="str">
        <f>IF(项目基本情况!K6="上海银行",M69,"")</f>
        <v/>
      </c>
      <c r="N56" s="3660" t="str">
        <f>IF(项目基本情况!K6="上海银行","包含处置中涉及的律师、诉讼、拍卖、评估等费用","")</f>
        <v/>
      </c>
      <c r="O56" s="3663"/>
    </row>
    <row r="57" spans="1:35" ht="12.75">
      <c r="A57" s="3470" t="s">
        <v>1341</v>
      </c>
      <c r="B57" s="3598" t="s">
        <v>1366</v>
      </c>
      <c r="C57" s="3599"/>
      <c r="D57" s="1590">
        <v>0</v>
      </c>
      <c r="E57" s="324" t="s">
        <v>1343</v>
      </c>
      <c r="F57" s="302"/>
      <c r="G57" s="2555"/>
      <c r="H57" s="2559"/>
      <c r="I57" s="1808"/>
      <c r="J57" s="3637">
        <f>IF(AND(J55="",J56=""),4,IF(项目基本情况!K6="上海银行",'结果表-商业'!J56+1,'结果表-商业'!J55+1))</f>
        <v>5</v>
      </c>
      <c r="K57" s="3637" t="s">
        <v>1367</v>
      </c>
      <c r="L57" s="2530" t="s">
        <v>1368</v>
      </c>
      <c r="M57" s="2531"/>
      <c r="N57" s="2532">
        <f ca="1">SUMIF(M52:M56,"&lt;9e307")</f>
        <v>2602</v>
      </c>
      <c r="O57" s="2533"/>
      <c r="P57" s="2690">
        <f ca="1">N57/M49</f>
        <v>0.57694013303769398</v>
      </c>
    </row>
    <row r="58" spans="1:35" ht="24.75">
      <c r="A58" s="3470" t="s">
        <v>1352</v>
      </c>
      <c r="B58" s="3598" t="s">
        <v>1369</v>
      </c>
      <c r="C58" s="3572"/>
      <c r="D58" s="3452">
        <f ca="1">IF(H58="转让取得",C81,C97)</f>
        <v>2557</v>
      </c>
      <c r="E58" s="3468" t="s">
        <v>1364</v>
      </c>
      <c r="F58" s="302" t="s">
        <v>28</v>
      </c>
      <c r="G58" s="2555"/>
      <c r="H58" s="2558"/>
      <c r="I58" s="1808"/>
      <c r="J58" s="3637"/>
      <c r="K58" s="3637"/>
      <c r="L58" s="2530" t="s">
        <v>1370</v>
      </c>
      <c r="M58" s="2534"/>
      <c r="N58" s="2535" t="str">
        <f ca="1">NUMBERSTRING(INT(N57*10000),2)&amp;"元整"</f>
        <v>贰仟陆佰零贰万元整</v>
      </c>
      <c r="O58" s="2536"/>
    </row>
    <row r="59" spans="1:35" ht="24.75" thickBot="1">
      <c r="A59" s="3640" t="s">
        <v>1371</v>
      </c>
      <c r="B59" s="3641"/>
      <c r="C59" s="3641"/>
      <c r="D59" s="2560">
        <f ca="1">IF(H59="非个人房产","——",IF(H59="个人住宅（满五唯一有凭证）",0,IF(H59="个人其他（无凭证）",ROUND(D45*F59,0),ROUND(C67*F59,0))))</f>
        <v>43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38">
        <f>J57+1</f>
        <v>6</v>
      </c>
      <c r="K59" s="3637" t="s">
        <v>1372</v>
      </c>
      <c r="L59" s="3457" t="s">
        <v>1368</v>
      </c>
      <c r="M59" s="2537"/>
      <c r="N59" s="2538">
        <f ca="1">M49-N57</f>
        <v>1908</v>
      </c>
      <c r="O59" s="2539"/>
    </row>
    <row r="60" spans="1:35" ht="12" customHeight="1">
      <c r="A60" s="1809"/>
      <c r="B60" s="1747"/>
      <c r="C60" s="1747"/>
      <c r="D60" s="1747"/>
      <c r="E60" s="1578"/>
      <c r="F60" s="1808"/>
      <c r="G60" s="1808"/>
      <c r="H60" s="1810"/>
      <c r="I60" s="129"/>
      <c r="J60" s="3639"/>
      <c r="K60" s="3637"/>
      <c r="L60" s="2530" t="s">
        <v>1370</v>
      </c>
      <c r="M60" s="2534"/>
      <c r="N60" s="2535" t="str">
        <f ca="1">NUMBERSTRING(INT(N59*10000),2)&amp;"元整"</f>
        <v>壹仟玖佰零捌万元整</v>
      </c>
      <c r="O60" s="2536"/>
    </row>
    <row r="61" spans="1:35" ht="13.5" thickBot="1">
      <c r="A61" s="3585" t="s">
        <v>1373</v>
      </c>
      <c r="B61" s="3585"/>
      <c r="C61" s="3585"/>
      <c r="D61" s="3585"/>
      <c r="E61" s="3585"/>
      <c r="F61" s="1808"/>
      <c r="G61" s="1808"/>
      <c r="H61" s="1810"/>
      <c r="I61" s="129"/>
      <c r="J61" s="3457">
        <f>J59+1</f>
        <v>7</v>
      </c>
      <c r="K61" s="3637" t="s">
        <v>1374</v>
      </c>
      <c r="L61" s="3637"/>
      <c r="M61" s="2540"/>
      <c r="N61" s="2541">
        <f ca="1">ROUND(N59*10000/'数据-汇总表'!E3,0)</f>
        <v>3791</v>
      </c>
      <c r="O61" s="2542"/>
    </row>
    <row r="62" spans="1:35" ht="12.75">
      <c r="A62" s="3603" t="s">
        <v>1375</v>
      </c>
      <c r="B62" s="3604"/>
      <c r="C62" s="3463"/>
      <c r="D62" s="3463" t="s">
        <v>1376</v>
      </c>
      <c r="E62" s="166" t="s">
        <v>1377</v>
      </c>
      <c r="F62" s="1808"/>
      <c r="G62" s="1808"/>
      <c r="H62" s="1810"/>
      <c r="I62" s="129"/>
    </row>
    <row r="63" spans="1:35" ht="12.75">
      <c r="A63" s="173" t="s">
        <v>330</v>
      </c>
      <c r="B63" s="167" t="s">
        <v>1378</v>
      </c>
      <c r="C63" s="2564">
        <f ca="1">ROUND((C64+C65)/(1+'数据-取费表'!C42),0)</f>
        <v>4295</v>
      </c>
      <c r="D63" s="167"/>
      <c r="E63" s="168"/>
      <c r="F63" s="1808"/>
      <c r="G63" s="1808"/>
      <c r="H63" s="1810"/>
      <c r="I63" s="129"/>
      <c r="J63" s="3662" t="s">
        <v>1379</v>
      </c>
      <c r="K63" s="3453" t="s">
        <v>1380</v>
      </c>
      <c r="L63" s="3453">
        <f ca="1">IF(M49&gt;10000,M49*0.5%,IF(AND(M49&gt;1000,M49&lt;=10000),M49*1%,IF(AND(M49&gt;100,M49&lt;=1000),M49*3%,IF(AND(M49&gt;10,M49&lt;=100),M49*5%,M49*8%))))</f>
        <v>45.1</v>
      </c>
      <c r="M63" s="302">
        <f ca="1">ROUND(L63,1)</f>
        <v>45.1</v>
      </c>
      <c r="N63" s="2543"/>
      <c r="Z63" s="1752"/>
      <c r="AI63" s="1753"/>
    </row>
    <row r="64" spans="1:35" ht="14.25" customHeight="1">
      <c r="A64" s="169" t="s">
        <v>325</v>
      </c>
      <c r="B64" s="170" t="s">
        <v>1381</v>
      </c>
      <c r="C64" s="2565">
        <f ca="1">D45</f>
        <v>4510</v>
      </c>
      <c r="D64" s="170" t="s">
        <v>26</v>
      </c>
      <c r="E64" s="172"/>
      <c r="F64" s="1808"/>
      <c r="G64" s="1808"/>
      <c r="H64" s="1810"/>
      <c r="I64" s="129"/>
      <c r="J64" s="3662"/>
      <c r="K64" s="3453" t="s">
        <v>1382</v>
      </c>
      <c r="L64" s="3453">
        <f ca="1">IF(M49&gt;2000,M49*0.5%,IF(AND(M49&gt;1000,M49&lt;=2000),M49*0.6%,IF(AND(M49&gt;500,M49&lt;=1000),M49*0.7%,IF(AND(M49&gt;200,M49&lt;=500),M49*0.8%,IF(AND(M49&gt;100,M49&lt;=200),M49*0.9%,IF(AND(M49&gt;50,M49&lt;=100),M49*1%,IF(AND(M49&gt;20,M49&lt;=50),M49*1.5%,IF(AND(M49&gt;10,M49&lt;=20),M49*2%,IF(AND(M49&gt;1,M49&lt;=10),M49*2.5%)))))))))</f>
        <v>22.55</v>
      </c>
      <c r="M64" s="302">
        <f t="shared" ref="M64:M65" ca="1" si="1">ROUND(L64,1)</f>
        <v>22.6</v>
      </c>
      <c r="N64" s="2544" t="s">
        <v>1383</v>
      </c>
      <c r="Z64" s="1752"/>
      <c r="AI64" s="1753"/>
    </row>
    <row r="65" spans="1:35" ht="14.25" customHeight="1">
      <c r="A65" s="169" t="s">
        <v>326</v>
      </c>
      <c r="B65" s="170" t="s">
        <v>1384</v>
      </c>
      <c r="C65" s="2566"/>
      <c r="D65" s="170"/>
      <c r="E65" s="172"/>
      <c r="F65" s="1808"/>
      <c r="G65" s="1808"/>
      <c r="H65" s="1810"/>
      <c r="I65" s="129"/>
      <c r="J65" s="3662"/>
      <c r="K65" s="3453" t="s">
        <v>1385</v>
      </c>
      <c r="L65" s="3453">
        <f ca="1">IF(M49&gt;1000,M49*0.1%,IF(AND(M49&gt;500,M49&lt;=1000),M49*0.5%,IF(AND(M49&gt;50,M49&lt;=500),M49*1%,IF(AND(M49&gt;1,M49&lt;=50),M49*1.5%))))</f>
        <v>4.51</v>
      </c>
      <c r="M65" s="302">
        <f t="shared" ca="1" si="1"/>
        <v>4.5</v>
      </c>
      <c r="N65" s="2544" t="s">
        <v>1383</v>
      </c>
      <c r="Z65" s="1752"/>
      <c r="AI65" s="1753"/>
    </row>
    <row r="66" spans="1:35" ht="14.25" customHeight="1">
      <c r="A66" s="173" t="s">
        <v>327</v>
      </c>
      <c r="B66" s="174" t="s">
        <v>1386</v>
      </c>
      <c r="C66" s="2567"/>
      <c r="D66" s="174" t="s">
        <v>26</v>
      </c>
      <c r="E66" s="1338" t="s">
        <v>671</v>
      </c>
      <c r="F66" s="1808"/>
      <c r="G66" s="1808"/>
      <c r="H66" s="1810"/>
      <c r="I66" s="129"/>
      <c r="J66" s="3662"/>
      <c r="K66" s="3453" t="s">
        <v>1387</v>
      </c>
      <c r="L66" s="3453">
        <f ca="1">M49*0.5%</f>
        <v>22.55</v>
      </c>
      <c r="M66" s="302">
        <f ca="1">IF(L66&gt;0.5,0.5,ROUND(L66,0))</f>
        <v>0.5</v>
      </c>
      <c r="N66" s="2544" t="s">
        <v>1388</v>
      </c>
      <c r="Z66" s="1752"/>
      <c r="AI66" s="1753"/>
    </row>
    <row r="67" spans="1:35" ht="14.25" customHeight="1">
      <c r="A67" s="173" t="s">
        <v>328</v>
      </c>
      <c r="B67" s="174" t="s">
        <v>1389</v>
      </c>
      <c r="C67" s="2568">
        <f ca="1">C63-C66</f>
        <v>4295</v>
      </c>
      <c r="D67" s="170" t="s">
        <v>26</v>
      </c>
      <c r="E67" s="172"/>
      <c r="F67" s="1808"/>
      <c r="G67" s="1808"/>
      <c r="H67" s="1810"/>
      <c r="I67" s="129"/>
      <c r="J67" s="3662"/>
      <c r="K67" s="3453" t="s">
        <v>1390</v>
      </c>
      <c r="L67" s="3453">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236</v>
      </c>
      <c r="D68" s="2570">
        <f>'数据-取费表'!B41</f>
        <v>5.5000000000000007E-2</v>
      </c>
      <c r="E68" s="178"/>
      <c r="F68" s="1808"/>
      <c r="G68" s="1808"/>
      <c r="H68" s="1810"/>
      <c r="I68" s="129"/>
      <c r="J68" s="3662"/>
      <c r="K68" s="3453" t="s">
        <v>1392</v>
      </c>
      <c r="L68" s="3453">
        <f ca="1">IF(M49&gt;10000,M49*0.5%,IF(AND(M49&gt;5000,M49&lt;=10000),M49*1%,IF(AND(M49&gt;1000,M49&lt;=5000),M49*2%,IF(AND(M49&gt;200,M49&lt;=1000),M49*3%,M49*5%))))</f>
        <v>90.2</v>
      </c>
      <c r="M68" s="302">
        <f ca="1">ROUND(L68,1)</f>
        <v>90.2</v>
      </c>
      <c r="N68" s="2543"/>
      <c r="Z68" s="1752"/>
      <c r="AI68" s="1753"/>
    </row>
    <row r="69" spans="1:35" s="1772" customFormat="1" ht="16.5" customHeight="1">
      <c r="A69" s="1811"/>
      <c r="B69" s="1812"/>
      <c r="C69" s="1813"/>
      <c r="D69" s="1814"/>
      <c r="E69" s="1815"/>
      <c r="F69" s="1578"/>
      <c r="G69" s="1578"/>
      <c r="H69" s="1577"/>
      <c r="I69" s="1747"/>
      <c r="J69" s="3662"/>
      <c r="K69" s="3453" t="s">
        <v>1393</v>
      </c>
      <c r="L69" s="3453"/>
      <c r="M69" s="302">
        <f ca="1">ROUND(SUM(M63:M68),0)</f>
        <v>165</v>
      </c>
      <c r="N69" s="2545">
        <f ca="1">M69/M49</f>
        <v>3.6585365853658534E-2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4" t="s">
        <v>1394</v>
      </c>
      <c r="B70" s="3625"/>
      <c r="C70" s="3625"/>
      <c r="D70" s="3625"/>
      <c r="E70" s="3625"/>
      <c r="F70" s="3625"/>
      <c r="G70" s="3625"/>
      <c r="H70" s="362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3" t="s">
        <v>1375</v>
      </c>
      <c r="B71" s="3604"/>
      <c r="C71" s="3463"/>
      <c r="D71" s="3463"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4295</v>
      </c>
      <c r="D72" s="170" t="s">
        <v>26</v>
      </c>
      <c r="E72" s="3465"/>
      <c r="F72" s="3464"/>
      <c r="G72" s="3464"/>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21</v>
      </c>
      <c r="D73" s="170" t="s">
        <v>26</v>
      </c>
      <c r="E73" s="3465"/>
      <c r="F73" s="3464"/>
      <c r="G73" s="3464"/>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5"/>
      <c r="F74" s="3464"/>
      <c r="G74" s="3464"/>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8" t="s">
        <v>1402</v>
      </c>
      <c r="F76" s="3572"/>
      <c r="G76" s="3572"/>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52" t="s">
        <v>1404</v>
      </c>
      <c r="F77" s="186"/>
      <c r="G77" s="1822"/>
      <c r="H77" s="3466"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21</v>
      </c>
      <c r="D78" s="2577">
        <f>'数据-取费表'!B43</f>
        <v>5.000000000000001E-3</v>
      </c>
      <c r="E78" s="3582" t="s">
        <v>1406</v>
      </c>
      <c r="F78" s="3583"/>
      <c r="G78" s="3583"/>
      <c r="H78" s="359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4274</v>
      </c>
      <c r="D79" s="170" t="s">
        <v>26</v>
      </c>
      <c r="E79" s="3465"/>
      <c r="F79" s="3464"/>
      <c r="G79" s="3464"/>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203.52380952380952</v>
      </c>
      <c r="D80" s="170" t="s">
        <v>26</v>
      </c>
      <c r="E80" s="3452" t="str">
        <f ca="1">IF(C80&gt;=200%,"增值额超过扣除项目金额200%",IF(C80&gt;=100%,"增值额超过扣除项目金额100%，未超过200%",IF(C80&gt;=50%,"增值额超过扣除项目金额50%，未超过100%",IF(C80&lt;50%,"增值额未超过扣除项目金额50%"))))</f>
        <v>增值额超过扣除项目金额200%</v>
      </c>
      <c r="F80" s="3464"/>
      <c r="G80" s="3464"/>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2557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4" t="s">
        <v>1410</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3" t="s">
        <v>1375</v>
      </c>
      <c r="B84" s="3604"/>
      <c r="C84" s="3463"/>
      <c r="D84" s="3463"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4295</v>
      </c>
      <c r="D85" s="170" t="s">
        <v>26</v>
      </c>
      <c r="E85" s="3465"/>
      <c r="F85" s="3464"/>
      <c r="G85" s="3464"/>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21</v>
      </c>
      <c r="D86" s="2581"/>
      <c r="E86" s="3465"/>
      <c r="F86" s="3464"/>
      <c r="G86" s="3464"/>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60"/>
      <c r="F87" s="3461"/>
      <c r="G87" s="3461"/>
      <c r="H87" s="3462"/>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61"/>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61"/>
      <c r="G89" s="3461"/>
      <c r="H89" s="3462"/>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61"/>
      <c r="G90" s="3664" t="s">
        <v>2129</v>
      </c>
      <c r="H90" s="366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9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21</v>
      </c>
      <c r="D93" s="2577">
        <f>'数据-取费表'!B43</f>
        <v>5.000000000000001E-3</v>
      </c>
      <c r="E93" s="3582" t="s">
        <v>1406</v>
      </c>
      <c r="F93" s="3583"/>
      <c r="G93" s="3583"/>
      <c r="H93" s="359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3" t="s">
        <v>1426</v>
      </c>
      <c r="F94" s="3594"/>
      <c r="G94" s="3594"/>
      <c r="H94" s="359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4274</v>
      </c>
      <c r="D95" s="170" t="s">
        <v>26</v>
      </c>
      <c r="E95" s="3465"/>
      <c r="F95" s="3464"/>
      <c r="G95" s="3464"/>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203.52380952380952</v>
      </c>
      <c r="D96" s="170" t="s">
        <v>26</v>
      </c>
      <c r="E96" s="3452" t="str">
        <f ca="1">IF(C96&gt;=200%,"增值额超过扣除项目金额200%",IF(C96&gt;=100%,"增值额超过扣除项目金额100%，未超过200%",IF(C96&gt;=50%,"增值额超过扣除项目金额50%，未超过100%",IF(C96&lt;50%,"增值额未超过扣除项目金额50%"))))</f>
        <v>增值额超过扣除项目金额200%</v>
      </c>
      <c r="F96" s="3464"/>
      <c r="G96" s="3464"/>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2557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6" t="s">
        <v>1428</v>
      </c>
      <c r="B100" s="3567"/>
      <c r="C100" s="3567"/>
      <c r="D100" s="3584"/>
      <c r="E100" s="3567" t="s">
        <v>1429</v>
      </c>
      <c r="F100" s="3567"/>
      <c r="G100" s="3567"/>
      <c r="H100" s="3584"/>
      <c r="I100" s="129"/>
    </row>
    <row r="101" spans="1:35" ht="18.75" customHeight="1">
      <c r="A101" s="3645" t="s">
        <v>1430</v>
      </c>
      <c r="B101" s="3646"/>
      <c r="C101" s="2585" t="str">
        <f>C4</f>
        <v>成本法-商业</v>
      </c>
      <c r="D101" s="2586" t="str">
        <f>D4</f>
        <v>收益法-商业</v>
      </c>
      <c r="E101" s="3659" t="s">
        <v>1431</v>
      </c>
      <c r="F101" s="3616"/>
      <c r="G101" s="1827" t="s">
        <v>1432</v>
      </c>
      <c r="H101" s="2595">
        <f ca="1">H118</f>
        <v>4510</v>
      </c>
      <c r="I101" s="129"/>
    </row>
    <row r="102" spans="1:35" ht="18.75" customHeight="1">
      <c r="A102" s="3618" t="s">
        <v>1433</v>
      </c>
      <c r="B102" s="2584" t="s">
        <v>1432</v>
      </c>
      <c r="C102" s="2585">
        <f ca="1">IF(D32="楼面单价",ROUND(C19,0),C19)</f>
        <v>4773</v>
      </c>
      <c r="D102" s="2586">
        <f ca="1">IF(D32="楼面单价",ROUND(D19,0),D19)</f>
        <v>4247</v>
      </c>
      <c r="E102" s="3659"/>
      <c r="F102" s="3616"/>
      <c r="G102" s="1827" t="s">
        <v>1434</v>
      </c>
      <c r="H102" s="2555">
        <f ca="1">I118</f>
        <v>22377</v>
      </c>
      <c r="I102" s="129"/>
    </row>
    <row r="103" spans="1:35" ht="42.75" customHeight="1">
      <c r="A103" s="3618"/>
      <c r="B103" s="2584" t="s">
        <v>1434</v>
      </c>
      <c r="C103" s="2587">
        <f ca="1">C20</f>
        <v>23682</v>
      </c>
      <c r="D103" s="2588">
        <f ca="1">D20</f>
        <v>21072</v>
      </c>
      <c r="E103" s="3653" t="s">
        <v>1435</v>
      </c>
      <c r="F103" s="3654"/>
      <c r="G103" s="1828" t="s">
        <v>1436</v>
      </c>
      <c r="H103" s="2595">
        <f>IF(D36="正常操作",H104+H105+H106,H105+H106)</f>
        <v>0</v>
      </c>
      <c r="I103" s="129"/>
    </row>
    <row r="104" spans="1:35" ht="18.75" customHeight="1">
      <c r="A104" s="3618" t="s">
        <v>1437</v>
      </c>
      <c r="B104" s="2589" t="s">
        <v>1432</v>
      </c>
      <c r="C104" s="2590">
        <f ca="1">H118</f>
        <v>4510</v>
      </c>
      <c r="D104" s="2591"/>
      <c r="E104" s="1674" t="s">
        <v>1438</v>
      </c>
      <c r="F104" s="1666"/>
      <c r="G104" s="1828" t="s">
        <v>1436</v>
      </c>
      <c r="H104" s="2596">
        <f>IF(D36="同一抵押权人同一抵押物续贷",C36&amp;"（续贷，未扣减，详见特别提示）",C36)</f>
        <v>0</v>
      </c>
      <c r="I104" s="129"/>
    </row>
    <row r="105" spans="1:35" ht="18.75" customHeight="1" thickBot="1">
      <c r="A105" s="3619"/>
      <c r="B105" s="2592" t="s">
        <v>1434</v>
      </c>
      <c r="C105" s="2593">
        <f ca="1">I118</f>
        <v>22377</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5" t="str">
        <f>IF(项目基本情况!E8="已注销","——","3.房地产抵押价值")</f>
        <v>3.房地产抵押价值</v>
      </c>
      <c r="F107" s="3616"/>
      <c r="G107" s="1827" t="s">
        <v>1432</v>
      </c>
      <c r="H107" s="2595">
        <f ca="1">IF(E107="——","——",H101-H103)</f>
        <v>4510</v>
      </c>
      <c r="I107" s="129"/>
    </row>
    <row r="108" spans="1:35" ht="18.75" customHeight="1">
      <c r="A108" s="129"/>
      <c r="B108" s="129"/>
      <c r="C108" s="129"/>
      <c r="D108" s="129"/>
      <c r="E108" s="3615"/>
      <c r="F108" s="3616"/>
      <c r="G108" s="1827" t="s">
        <v>1434</v>
      </c>
      <c r="H108" s="2555">
        <f ca="1">IF(H107=H101,H102,ROUND(H107*10000/'数据-汇总表'!E3,0))</f>
        <v>22377</v>
      </c>
      <c r="I108" s="129"/>
    </row>
    <row r="109" spans="1:35" ht="18.75" customHeight="1">
      <c r="A109" s="129"/>
      <c r="B109" s="129"/>
      <c r="C109" s="129"/>
      <c r="D109" s="129"/>
      <c r="E109" s="3615" t="str">
        <f>IF(项目基本情况!E8="已注销及未注销","4.抵押担保权已注销时的房地产抵押价值",IF(项目基本情况!E8="已注销","3.抵押担保权已注销时的房地产抵押价值","——"))</f>
        <v>——</v>
      </c>
      <c r="F109" s="3616"/>
      <c r="G109" s="1827" t="s">
        <v>1432</v>
      </c>
      <c r="H109" s="2598" t="str">
        <f>IF(E109="——","——",H101-H105-H106)</f>
        <v>——</v>
      </c>
      <c r="I109" s="129"/>
    </row>
    <row r="110" spans="1:35" ht="18.75" customHeight="1">
      <c r="A110" s="129"/>
      <c r="B110" s="129"/>
      <c r="C110" s="129"/>
      <c r="D110" s="129"/>
      <c r="E110" s="3615"/>
      <c r="F110" s="3616"/>
      <c r="G110" s="1827" t="s">
        <v>1434</v>
      </c>
      <c r="H110" s="2555" t="str">
        <f>IF(H109="——","——",ROUND(H109*10000/'数据-汇总表'!E3,0))</f>
        <v>——</v>
      </c>
      <c r="I110" s="129"/>
    </row>
    <row r="111" spans="1:35" ht="18.75" customHeight="1">
      <c r="A111" s="129"/>
      <c r="B111" s="129"/>
      <c r="C111" s="129"/>
      <c r="D111" s="129"/>
      <c r="E111" s="3647" t="str">
        <f>IF(项目基本情况!E9="抵押净值",IF(OR(项目基本情况!E8="已注销",项目基本情况!E8="房地产抵押价值"),"4.抵押净值","5.抵押净值"),"——")</f>
        <v>——</v>
      </c>
      <c r="F111" s="3617"/>
      <c r="G111" s="1827" t="s">
        <v>1432</v>
      </c>
      <c r="H111" s="2595" t="str">
        <f>IF(E111="——","——",N59)</f>
        <v>——</v>
      </c>
      <c r="I111" s="129"/>
    </row>
    <row r="112" spans="1:35" ht="18.75" customHeight="1" thickBot="1">
      <c r="A112" s="129"/>
      <c r="B112" s="129"/>
      <c r="C112" s="129"/>
      <c r="D112" s="129"/>
      <c r="E112" s="3648"/>
      <c r="F112" s="3649"/>
      <c r="G112" s="1830" t="s">
        <v>1434</v>
      </c>
      <c r="H112" s="2599" t="str">
        <f>IF(E111="——","——",N61)</f>
        <v>——</v>
      </c>
      <c r="I112" s="129"/>
    </row>
    <row r="113" spans="1:27" ht="18.75" customHeight="1">
      <c r="A113" s="129"/>
      <c r="B113" s="129"/>
      <c r="C113" s="129"/>
      <c r="D113" s="129"/>
      <c r="E113" s="3620" t="s">
        <v>1440</v>
      </c>
      <c r="F113" s="3620"/>
      <c r="G113" s="3620"/>
      <c r="H113" s="3620"/>
      <c r="I113" s="129"/>
    </row>
    <row r="114" spans="1:27" ht="3.75" customHeight="1">
      <c r="A114" s="1747"/>
      <c r="B114" s="1747"/>
      <c r="C114" s="1747"/>
      <c r="D114" s="1747"/>
      <c r="E114" s="1809"/>
      <c r="F114" s="1809"/>
      <c r="G114" s="1809"/>
      <c r="H114" s="1809"/>
      <c r="I114" s="1747"/>
    </row>
    <row r="115" spans="1:27" ht="18.75" customHeight="1">
      <c r="A115" s="3630" t="s">
        <v>1442</v>
      </c>
      <c r="B115" s="3631"/>
      <c r="C115" s="3631"/>
      <c r="D115" s="3631"/>
      <c r="E115" s="3631"/>
      <c r="F115" s="3631"/>
      <c r="G115" s="3631"/>
      <c r="H115" s="3631"/>
      <c r="I115" s="3632"/>
    </row>
    <row r="116" spans="1:27" ht="27" customHeight="1">
      <c r="A116" s="3586" t="s">
        <v>1443</v>
      </c>
      <c r="B116" s="3621" t="s">
        <v>1444</v>
      </c>
      <c r="C116" s="3621" t="s">
        <v>1445</v>
      </c>
      <c r="D116" s="3634" t="s">
        <v>1446</v>
      </c>
      <c r="E116" s="3635"/>
      <c r="F116" s="3629" t="s">
        <v>1447</v>
      </c>
      <c r="G116" s="3629"/>
      <c r="H116" s="3586" t="s">
        <v>1448</v>
      </c>
      <c r="I116" s="3586"/>
    </row>
    <row r="117" spans="1:27" ht="18.75" customHeight="1">
      <c r="A117" s="3586"/>
      <c r="B117" s="3622"/>
      <c r="C117" s="3622"/>
      <c r="D117" s="3455" t="s">
        <v>1449</v>
      </c>
      <c r="E117" s="3455" t="s">
        <v>1450</v>
      </c>
      <c r="F117" s="3455" t="s">
        <v>1449</v>
      </c>
      <c r="G117" s="3455" t="s">
        <v>1451</v>
      </c>
      <c r="H117" s="3455" t="s">
        <v>1449</v>
      </c>
      <c r="I117" s="3455" t="s">
        <v>1451</v>
      </c>
    </row>
    <row r="118" spans="1:27" ht="24.75" customHeight="1">
      <c r="A118" s="2600" t="str">
        <f>项目基本情况!S2</f>
        <v>北京市房地产</v>
      </c>
      <c r="B118" s="3455">
        <f>M18</f>
        <v>2015.47</v>
      </c>
      <c r="C118" s="3455">
        <f>M19</f>
        <v>0</v>
      </c>
      <c r="D118" s="3455">
        <f ca="1">ROUND(IF(D32="总价",C34,E118*B118/10000),0)</f>
        <v>3162</v>
      </c>
      <c r="E118" s="3455">
        <f ca="1">ROUND(IF(C33="自定义",IF(D32="楼面单价",C34,D118*10000/B118),I118-G118),0)</f>
        <v>15689</v>
      </c>
      <c r="F118" s="3455">
        <f ca="1">ROUND(IF(D32="总价",C35,G118*B118/10000),0)</f>
        <v>1348</v>
      </c>
      <c r="G118" s="3455">
        <f ca="1">ROUND(IF(D32="楼面单价",C35,F118*10000/B118),0)</f>
        <v>6688</v>
      </c>
      <c r="H118" s="3455">
        <f ca="1">ROUND(IF(D32="总价",C32,I118*B118/10000),0)</f>
        <v>4510</v>
      </c>
      <c r="I118" s="3455">
        <f ca="1">ROUND(IF(D32="楼面单价",C32,H118*10000/B118),0)</f>
        <v>22377</v>
      </c>
    </row>
    <row r="119" spans="1:27" ht="18.75" customHeight="1">
      <c r="A119" s="3586" t="s">
        <v>1452</v>
      </c>
      <c r="B119" s="3586"/>
      <c r="C119" s="3586"/>
      <c r="D119" s="3626" t="str">
        <f ca="1">NUMBERSTRING(INT(D118*10000),2)&amp;"元整"</f>
        <v>叁仟壹佰陆拾贰万元整</v>
      </c>
      <c r="E119" s="3628"/>
      <c r="F119" s="3626" t="str">
        <f ca="1">NUMBERSTRING(INT(F118*10000),2)&amp;"元整"</f>
        <v>壹仟叁佰肆拾捌万元整</v>
      </c>
      <c r="G119" s="3628"/>
      <c r="H119" s="3626" t="str">
        <f ca="1">NUMBERSTRING(INT(H118*10000),2)&amp;"元整"</f>
        <v>肆仟伍佰壹拾万元整</v>
      </c>
      <c r="I119" s="3628"/>
    </row>
    <row r="120" spans="1:27" ht="18.75" customHeight="1">
      <c r="A120" s="3650" t="str">
        <f>IF(项目基本情况!B9="房地产市场价值","",MID(E103,3,LEN(E103)-2))</f>
        <v>估价师知悉的法定优先受偿款</v>
      </c>
      <c r="B120" s="3651"/>
      <c r="C120" s="3652"/>
      <c r="D120" s="3650">
        <f>H103</f>
        <v>0</v>
      </c>
      <c r="E120" s="3651"/>
      <c r="F120" s="3651"/>
      <c r="G120" s="3651"/>
      <c r="H120" s="3651"/>
      <c r="I120" s="365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26" t="s">
        <v>1452</v>
      </c>
      <c r="B121" s="3627"/>
      <c r="C121" s="3628"/>
      <c r="D121" s="3626" t="str">
        <f>IF(D120=0,"零元整",NUMBERSTRING(INT(D120*10000),2)&amp;"元整")</f>
        <v>零元整</v>
      </c>
      <c r="E121" s="3627"/>
      <c r="F121" s="3627"/>
      <c r="G121" s="3627"/>
      <c r="H121" s="3627"/>
      <c r="I121" s="3628"/>
      <c r="AA121" s="725"/>
    </row>
    <row r="122" spans="1:27" ht="18.75" customHeight="1">
      <c r="A122" s="3617" t="str">
        <f>IF(项目基本情况!B9="房地产市场价值","",MID(E107,3,LEN(E107)-2))</f>
        <v>房地产抵押价值</v>
      </c>
      <c r="B122" s="3617"/>
      <c r="C122" s="3617"/>
      <c r="D122" s="3650">
        <f ca="1">H107</f>
        <v>4510</v>
      </c>
      <c r="E122" s="3651"/>
      <c r="F122" s="3651"/>
      <c r="G122" s="3651"/>
      <c r="H122" s="3651"/>
      <c r="I122" s="3652"/>
      <c r="AA122" s="725"/>
    </row>
    <row r="123" spans="1:27" ht="18.75" customHeight="1">
      <c r="A123" s="3586" t="s">
        <v>1452</v>
      </c>
      <c r="B123" s="3586"/>
      <c r="C123" s="3586"/>
      <c r="D123" s="3626" t="str">
        <f ca="1">NUMBERSTRING(INT(D122*10000),2)&amp;"元整"</f>
        <v>肆仟伍佰壹拾万元整</v>
      </c>
      <c r="E123" s="3627"/>
      <c r="F123" s="3627"/>
      <c r="G123" s="3627"/>
      <c r="H123" s="3627"/>
      <c r="I123" s="3628"/>
      <c r="AA123" s="725"/>
    </row>
    <row r="124" spans="1:27" ht="18.75" customHeight="1">
      <c r="A124" s="3617" t="str">
        <f>IF(项目基本情况!B9="房地产市场价值","",MID(E109,3,LEN(E109)-2))</f>
        <v/>
      </c>
      <c r="B124" s="3617"/>
      <c r="C124" s="3617"/>
      <c r="D124" s="3650" t="str">
        <f>H109</f>
        <v>——</v>
      </c>
      <c r="E124" s="3651"/>
      <c r="F124" s="3651"/>
      <c r="G124" s="3651"/>
      <c r="H124" s="3651"/>
      <c r="I124" s="3652"/>
      <c r="AA124" s="725"/>
    </row>
    <row r="125" spans="1:27" ht="18.75" customHeight="1">
      <c r="A125" s="3586" t="s">
        <v>1452</v>
      </c>
      <c r="B125" s="3586"/>
      <c r="C125" s="3586"/>
      <c r="D125" s="3626" t="e">
        <f>NUMBERSTRING(INT(D124*10000),2)&amp;"元整"</f>
        <v>#VALUE!</v>
      </c>
      <c r="E125" s="3627"/>
      <c r="F125" s="3627"/>
      <c r="G125" s="3627"/>
      <c r="H125" s="3627"/>
      <c r="I125" s="3628"/>
      <c r="AA125" s="725"/>
    </row>
    <row r="126" spans="1:27" ht="18.75" customHeight="1">
      <c r="A126" s="3617" t="str">
        <f>IF(项目基本情况!B9="房地产市场价值","",MID(E111,3,LEN(E111)-2))</f>
        <v/>
      </c>
      <c r="B126" s="3617"/>
      <c r="C126" s="3617"/>
      <c r="D126" s="3650" t="str">
        <f>H111</f>
        <v>——</v>
      </c>
      <c r="E126" s="3651"/>
      <c r="F126" s="3651"/>
      <c r="G126" s="3651"/>
      <c r="H126" s="3651"/>
      <c r="I126" s="3652"/>
      <c r="AA126" s="725"/>
    </row>
    <row r="127" spans="1:27" ht="18.75" customHeight="1">
      <c r="A127" s="3586" t="s">
        <v>1452</v>
      </c>
      <c r="B127" s="3586"/>
      <c r="C127" s="3586"/>
      <c r="D127" s="3626" t="e">
        <f>NUMBERSTRING(INT(D126*10000),2)&amp;"元整"</f>
        <v>#VALUE!</v>
      </c>
      <c r="E127" s="3627"/>
      <c r="F127" s="3627"/>
      <c r="G127" s="3627"/>
      <c r="H127" s="3627"/>
      <c r="I127" s="3628"/>
      <c r="AA127" s="725"/>
    </row>
    <row r="128" spans="1:27" ht="21.75" customHeight="1">
      <c r="A128" s="3633" t="s">
        <v>1453</v>
      </c>
      <c r="B128" s="3633"/>
      <c r="C128" s="3633"/>
      <c r="D128" s="3633"/>
      <c r="E128" s="3633"/>
      <c r="F128" s="3633"/>
      <c r="G128" s="3633"/>
      <c r="H128" s="3633"/>
      <c r="I128" s="363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0" priority="10" stopIfTrue="1" operator="equal">
      <formula>25</formula>
    </cfRule>
  </conditionalFormatting>
  <conditionalFormatting sqref="C8:C9">
    <cfRule type="cellIs" dxfId="19" priority="9" stopIfTrue="1" operator="equal">
      <formula>15</formula>
    </cfRule>
  </conditionalFormatting>
  <conditionalFormatting sqref="C14:C16">
    <cfRule type="cellIs" dxfId="18" priority="8" stopIfTrue="1" operator="equal">
      <formula>30</formula>
    </cfRule>
  </conditionalFormatting>
  <conditionalFormatting sqref="D5:D7">
    <cfRule type="cellIs" dxfId="17" priority="7" stopIfTrue="1" operator="equal">
      <formula>25</formula>
    </cfRule>
  </conditionalFormatting>
  <conditionalFormatting sqref="D8:D9">
    <cfRule type="cellIs" dxfId="16" priority="6" stopIfTrue="1" operator="equal">
      <formula>15</formula>
    </cfRule>
  </conditionalFormatting>
  <conditionalFormatting sqref="C10:D13">
    <cfRule type="cellIs" dxfId="15" priority="5" stopIfTrue="1" operator="equal">
      <formula>15</formula>
    </cfRule>
  </conditionalFormatting>
  <conditionalFormatting sqref="D14:D16">
    <cfRule type="cellIs" dxfId="14" priority="4" stopIfTrue="1" operator="equal">
      <formula>30</formula>
    </cfRule>
  </conditionalFormatting>
  <conditionalFormatting sqref="C90">
    <cfRule type="expression" dxfId="13" priority="3" stopIfTrue="1">
      <formula>$H$88&lt;&gt;"仅含出让金"</formula>
    </cfRule>
  </conditionalFormatting>
  <conditionalFormatting sqref="C91">
    <cfRule type="expression" dxfId="12" priority="2" stopIfTrue="1">
      <formula>$H$91="由企业提供"</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 zoomScale="70" zoomScaleNormal="70" zoomScaleSheetLayoutView="70" workbookViewId="0">
      <selection activeCell="C10" sqref="C1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673</v>
      </c>
      <c r="C1" s="198"/>
      <c r="D1" s="198"/>
      <c r="E1" s="198"/>
      <c r="F1" s="198"/>
      <c r="G1" s="1126">
        <f>MATCH(B1,'数据-取费表'!A6:A16,0)+5</f>
        <v>7</v>
      </c>
    </row>
    <row r="2" spans="1:9" s="200" customFormat="1" ht="18" customHeight="1">
      <c r="A2" s="201" t="s">
        <v>685</v>
      </c>
      <c r="B2" s="202">
        <f ca="1">IF(D2="——",C52,C52-E2)</f>
        <v>4773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23682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2612</v>
      </c>
      <c r="D5" s="211" t="s">
        <v>1469</v>
      </c>
      <c r="E5" s="212" t="s">
        <v>1470</v>
      </c>
      <c r="F5" s="212" t="s">
        <v>1471</v>
      </c>
      <c r="G5" s="213"/>
    </row>
    <row r="6" spans="1:9" s="214" customFormat="1" ht="13.5" customHeight="1">
      <c r="A6" s="778" t="s">
        <v>1472</v>
      </c>
      <c r="B6" s="215" t="s">
        <v>1473</v>
      </c>
      <c r="C6" s="216">
        <f>'基准地价修正-商业'!B2</f>
        <v>2535</v>
      </c>
      <c r="D6" s="217"/>
      <c r="E6" s="218"/>
      <c r="F6" s="218"/>
      <c r="G6" s="219"/>
    </row>
    <row r="7" spans="1:9" s="214" customFormat="1" ht="13.5" customHeight="1">
      <c r="A7" s="778" t="s">
        <v>347</v>
      </c>
      <c r="B7" s="215" t="s">
        <v>1475</v>
      </c>
      <c r="C7" s="220">
        <f>ROUND(C6*F7,0)</f>
        <v>77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6" t="s">
        <v>3413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2015.47</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1477</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2015.47</v>
      </c>
      <c r="E19" s="211">
        <f>'数据-取费表'!B31</f>
        <v>200</v>
      </c>
      <c r="F19" s="231"/>
      <c r="G19" s="1856" t="s">
        <v>3415</v>
      </c>
    </row>
    <row r="20" spans="1:7" s="214" customFormat="1" ht="13.5" customHeight="1">
      <c r="A20" s="255" t="s">
        <v>1493</v>
      </c>
      <c r="B20" s="210" t="s">
        <v>1494</v>
      </c>
      <c r="C20" s="232">
        <f ca="1">ROUND((C5+C19)*F20,0)</f>
        <v>52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223</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349</v>
      </c>
      <c r="B23" s="215" t="s">
        <v>1503</v>
      </c>
      <c r="C23" s="1105">
        <f ca="1">ROUND(IF('数据-取费表'!B22&lt;=1,C5*F22*'数据-取费表'!B23,C5*(POWER((1+F22),'数据-取费表'!B23)-1)),0)</f>
        <v>221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1476</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533</v>
      </c>
      <c r="D27" s="235">
        <f ca="1">C29</f>
        <v>4.0000000000000001E-3</v>
      </c>
      <c r="E27" s="236" t="s">
        <v>1498</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533</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1498</v>
      </c>
      <c r="E30" s="241"/>
      <c r="F30" s="237">
        <f>'数据-取费表'!B41</f>
        <v>5.5000000000000007E-2</v>
      </c>
      <c r="G30" s="234" t="s">
        <v>1520</v>
      </c>
    </row>
    <row r="31" spans="1:7" ht="16.5" customHeight="1">
      <c r="A31" s="209">
        <v>1</v>
      </c>
      <c r="B31" s="210" t="s">
        <v>1521</v>
      </c>
      <c r="C31" s="211">
        <f ca="1">ROUND((C5+C19+C20+C22+C27)/(1-C21-D22-D27-C30),0)</f>
        <v>3706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882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806</v>
      </c>
      <c r="D34" s="217"/>
      <c r="E34" s="220"/>
      <c r="F34" s="257">
        <f ca="1">IF('数据-取费表'!B24=0,1,IF(B1="",'数据-取费表'!N16,INDIRECT("'数据-取费表'!n"&amp;$G$1)))</f>
        <v>1</v>
      </c>
      <c r="G34" s="219" t="s">
        <v>1526</v>
      </c>
    </row>
    <row r="35" spans="1:7" ht="13.5" customHeight="1">
      <c r="A35" s="780" t="s">
        <v>351</v>
      </c>
      <c r="B35" s="215" t="s">
        <v>1527</v>
      </c>
      <c r="C35" s="220">
        <f ca="1">ROUND(C34*F35,0)</f>
        <v>24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40</v>
      </c>
      <c r="D37" s="217">
        <f ca="1">D19</f>
        <v>2015.47</v>
      </c>
      <c r="E37" s="249">
        <f>'数据-取费表'!B35</f>
        <v>200</v>
      </c>
      <c r="F37" s="259"/>
      <c r="G37" s="261" t="s">
        <v>1532</v>
      </c>
    </row>
    <row r="38" spans="1:7" ht="13.5" customHeight="1">
      <c r="A38" s="780" t="s">
        <v>354</v>
      </c>
      <c r="B38" s="215" t="s">
        <v>1533</v>
      </c>
      <c r="C38" s="220">
        <f ca="1">ROUND(C34*F38,0)</f>
        <v>12</v>
      </c>
      <c r="D38" s="220"/>
      <c r="E38" s="220"/>
      <c r="F38" s="259">
        <f>'数据-取费表'!B36</f>
        <v>1.4999999999999999E-2</v>
      </c>
      <c r="G38" s="219" t="s">
        <v>1528</v>
      </c>
    </row>
    <row r="39" spans="1:7" s="214" customFormat="1" ht="13.5" customHeight="1">
      <c r="A39" s="255" t="s">
        <v>1491</v>
      </c>
      <c r="B39" s="210" t="s">
        <v>1494</v>
      </c>
      <c r="C39" s="232">
        <f ca="1">ROUND(C33*F20,0)</f>
        <v>18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1496</v>
      </c>
      <c r="B41" s="210" t="s">
        <v>1542</v>
      </c>
      <c r="C41" s="232">
        <f ca="1">ROUND(SUM(C42:C43),0)</f>
        <v>38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37</v>
      </c>
      <c r="D42" s="238"/>
      <c r="E42" s="238"/>
      <c r="F42" s="239"/>
      <c r="G42" s="3666" t="s">
        <v>1544</v>
      </c>
    </row>
    <row r="43" spans="1:7" ht="13.5" customHeight="1">
      <c r="A43" s="780" t="s">
        <v>347</v>
      </c>
      <c r="B43" s="215" t="s">
        <v>1545</v>
      </c>
      <c r="C43" s="238">
        <f ca="1">ROUND(IF('数据-取费表'!B22&lt;=1,C39*F22*'数据-取费表'!B21/2,C39*(POWER((1+F22),'数据-取费表'!B21/2)-1)),0)</f>
        <v>1</v>
      </c>
      <c r="D43" s="238"/>
      <c r="E43" s="238"/>
      <c r="F43" s="239"/>
      <c r="G43" s="3667"/>
    </row>
    <row r="44" spans="1:7" ht="13.5" customHeight="1">
      <c r="A44" s="780" t="s">
        <v>348</v>
      </c>
      <c r="B44" s="215" t="s">
        <v>1509</v>
      </c>
      <c r="C44" s="238">
        <f ca="1">ROUND(IF('数据-取费表'!B22&lt;=1,C40*F22*'数据-取费表'!B21/2,C40*(POWER((1+F22),'数据-取费表'!B21/2)-1)),4)</f>
        <v>8.0000000000000004E-4</v>
      </c>
      <c r="D44" s="238"/>
      <c r="E44" s="238"/>
      <c r="F44" s="239"/>
      <c r="G44" s="3668"/>
    </row>
    <row r="45" spans="1:7" s="214" customFormat="1" ht="13.5" customHeight="1">
      <c r="A45" s="255" t="s">
        <v>1547</v>
      </c>
      <c r="B45" s="244" t="s">
        <v>1513</v>
      </c>
      <c r="C45" s="245">
        <f ca="1">C46</f>
        <v>180</v>
      </c>
      <c r="D45" s="235">
        <f ca="1">C47</f>
        <v>4.0000000000000001E-3</v>
      </c>
      <c r="E45" s="236" t="s">
        <v>1539</v>
      </c>
      <c r="F45" s="246">
        <f ca="1">F27</f>
        <v>0.2</v>
      </c>
      <c r="G45" s="247" t="s">
        <v>1548</v>
      </c>
    </row>
    <row r="46" spans="1:7" s="214" customFormat="1" ht="13.5" customHeight="1">
      <c r="A46" s="780" t="s">
        <v>346</v>
      </c>
      <c r="B46" s="248" t="s">
        <v>1549</v>
      </c>
      <c r="C46" s="249">
        <f ca="1">ROUND((C33+C39)*F27,0)</f>
        <v>180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1212</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1067</v>
      </c>
      <c r="D51" s="232"/>
      <c r="E51" s="232"/>
      <c r="F51" s="264"/>
      <c r="G51" s="234" t="s">
        <v>1560</v>
      </c>
    </row>
    <row r="52" spans="1:7" s="208" customFormat="1" ht="16.5" thickBot="1">
      <c r="A52" s="265" t="s">
        <v>1561</v>
      </c>
      <c r="B52" s="266"/>
      <c r="C52" s="267">
        <f ca="1">C31+C51</f>
        <v>4773</v>
      </c>
      <c r="D52" s="266"/>
      <c r="E52" s="266"/>
      <c r="F52" s="266"/>
      <c r="G52" s="268"/>
    </row>
    <row r="55" spans="1:7" ht="15">
      <c r="B55" s="270" t="s">
        <v>1562</v>
      </c>
      <c r="C55" s="271"/>
    </row>
    <row r="56" spans="1:7">
      <c r="B56" s="273" t="s">
        <v>802</v>
      </c>
      <c r="C56" s="275">
        <f ca="1">1-C57</f>
        <v>0.77600000000000002</v>
      </c>
    </row>
    <row r="57" spans="1:7">
      <c r="B57" s="273" t="s">
        <v>803</v>
      </c>
      <c r="C57" s="274">
        <f ca="1">ROUND(C51/C52,3)</f>
        <v>0.224</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6"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A43" sqref="A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30.6</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4247</v>
      </c>
      <c r="C2" s="1387" t="s">
        <v>805</v>
      </c>
      <c r="D2" s="1387"/>
      <c r="E2" s="1388"/>
      <c r="F2" s="1389"/>
      <c r="G2" s="2706"/>
      <c r="H2" s="2695"/>
      <c r="I2" s="2695"/>
      <c r="J2" s="2695"/>
      <c r="K2" s="2696"/>
      <c r="L2" s="2695"/>
      <c r="M2" s="2695"/>
    </row>
    <row r="3" spans="1:37" ht="18" customHeight="1" thickBot="1">
      <c r="A3" s="1390" t="s">
        <v>806</v>
      </c>
      <c r="B3" s="1391">
        <f ca="1">IF(ISERROR(B2*10000/F43),0,ROUND(B2*10000/F43,0))</f>
        <v>21072</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294</v>
      </c>
      <c r="D5" s="1364" t="s">
        <v>693</v>
      </c>
      <c r="E5" s="1071"/>
      <c r="F5" s="1072"/>
      <c r="G5" s="1384"/>
      <c r="H5" s="299">
        <v>1</v>
      </c>
      <c r="I5" s="300" t="s">
        <v>692</v>
      </c>
      <c r="J5" s="1070">
        <f ca="1">J6+J10+J12</f>
        <v>0</v>
      </c>
      <c r="K5" s="1364" t="s">
        <v>693</v>
      </c>
      <c r="L5" s="1071"/>
      <c r="M5" s="1072"/>
    </row>
    <row r="6" spans="1:37" ht="18" customHeight="1">
      <c r="A6" s="1069" t="s">
        <v>398</v>
      </c>
      <c r="B6" s="3671" t="s">
        <v>694</v>
      </c>
      <c r="C6" s="1074">
        <f ca="1">ROUND(F6*F8*F7*(1-F9)/10000,0)</f>
        <v>294</v>
      </c>
      <c r="D6" s="155" t="s">
        <v>2109</v>
      </c>
      <c r="E6" s="302" t="s">
        <v>696</v>
      </c>
      <c r="F6" s="303">
        <f ca="1">INDIRECT("'数据-取费表'!u"&amp;$G$1)</f>
        <v>5</v>
      </c>
      <c r="G6" s="1384"/>
      <c r="H6" s="1069" t="s">
        <v>398</v>
      </c>
      <c r="I6" s="3671" t="s">
        <v>694</v>
      </c>
      <c r="J6" s="301">
        <f ca="1">ROUND(M6*M8*M7*(1-M9)/10000,0)</f>
        <v>0</v>
      </c>
      <c r="K6" s="155" t="s">
        <v>2108</v>
      </c>
      <c r="L6" s="302" t="s">
        <v>696</v>
      </c>
      <c r="M6" s="303">
        <f ca="1">INDIRECT("'数据-取费表'!z"&amp;$G$1)</f>
        <v>0</v>
      </c>
    </row>
    <row r="7" spans="1:37" ht="18" customHeight="1">
      <c r="A7" s="1073"/>
      <c r="B7" s="3672"/>
      <c r="C7" s="1075"/>
      <c r="D7" s="307"/>
      <c r="E7" s="3454" t="s">
        <v>697</v>
      </c>
      <c r="F7" s="303">
        <f ca="1">IF(INDIRECT("'数据-取费表'!ah"&amp;$G$1)="",INDIRECT("'数据-取费表'!k"&amp;$G$1),INDIRECT("'数据-取费表'!ah"&amp;$G$1))</f>
        <v>2015.47</v>
      </c>
      <c r="G7" s="1384"/>
      <c r="H7" s="304"/>
      <c r="I7" s="3672"/>
      <c r="J7" s="306"/>
      <c r="K7" s="307"/>
      <c r="L7" s="302" t="s">
        <v>697</v>
      </c>
      <c r="M7" s="303">
        <f ca="1">F7</f>
        <v>2015.47</v>
      </c>
    </row>
    <row r="8" spans="1:37" ht="18" customHeight="1">
      <c r="A8" s="304"/>
      <c r="B8" s="3672"/>
      <c r="C8" s="306"/>
      <c r="D8" s="307"/>
      <c r="E8" s="302" t="s">
        <v>698</v>
      </c>
      <c r="F8" s="303">
        <f ca="1">INDIRECT("'数据-取费表'!ai"&amp;$G$1)</f>
        <v>365</v>
      </c>
      <c r="G8" s="1384"/>
      <c r="H8" s="304"/>
      <c r="I8" s="3672"/>
      <c r="J8" s="306"/>
      <c r="K8" s="307"/>
      <c r="L8" s="302" t="s">
        <v>698</v>
      </c>
      <c r="M8" s="303">
        <f ca="1">INDIRECT("'数据-取费表'!ai"&amp;$G$1)</f>
        <v>365</v>
      </c>
    </row>
    <row r="9" spans="1:37" ht="18" customHeight="1">
      <c r="A9" s="304"/>
      <c r="B9" s="3673"/>
      <c r="C9" s="306"/>
      <c r="D9" s="307"/>
      <c r="E9" s="302" t="s">
        <v>699</v>
      </c>
      <c r="F9" s="312">
        <f ca="1">INDIRECT("'数据-取费表'!w"&amp;$G$1)</f>
        <v>0.2</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1067</v>
      </c>
      <c r="D13" s="3448" t="s">
        <v>705</v>
      </c>
      <c r="E13" s="3448"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806</v>
      </c>
      <c r="D14" s="3465" t="s">
        <v>708</v>
      </c>
      <c r="E14" s="3464"/>
      <c r="F14" s="319"/>
      <c r="G14" s="1384"/>
      <c r="H14" s="982" t="s">
        <v>398</v>
      </c>
      <c r="I14" s="302" t="s">
        <v>709</v>
      </c>
      <c r="J14" s="21">
        <f ca="1">C29</f>
        <v>1212</v>
      </c>
      <c r="K14" s="3452"/>
      <c r="L14" s="807"/>
      <c r="M14" s="808"/>
    </row>
    <row r="15" spans="1:37" s="1397" customFormat="1" ht="18" customHeight="1" thickBot="1">
      <c r="A15" s="982" t="s">
        <v>399</v>
      </c>
      <c r="B15" s="302" t="s">
        <v>710</v>
      </c>
      <c r="C15" s="21">
        <f ca="1">ROUND(C14*F15,0)</f>
        <v>24</v>
      </c>
      <c r="D15" s="3449" t="s">
        <v>711</v>
      </c>
      <c r="E15" s="3449"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3469"/>
      <c r="M16" s="1072"/>
    </row>
    <row r="17" spans="1:37" s="1397" customFormat="1" ht="18" customHeight="1">
      <c r="A17" s="982" t="s">
        <v>681</v>
      </c>
      <c r="B17" s="302" t="s">
        <v>716</v>
      </c>
      <c r="C17" s="21">
        <f ca="1">ROUND(F17*(F43+INDIRECT("'数据-取费表'!S"&amp;$G$1))/10000,0)</f>
        <v>40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3465" t="s">
        <v>720</v>
      </c>
      <c r="L17" s="3468"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v>
      </c>
      <c r="D18" s="302" t="s">
        <v>711</v>
      </c>
      <c r="E18" s="302" t="s">
        <v>712</v>
      </c>
      <c r="F18" s="322">
        <f>'数据-取费表'!B36</f>
        <v>1.4999999999999999E-2</v>
      </c>
      <c r="G18" s="1396"/>
      <c r="H18" s="982" t="s">
        <v>397</v>
      </c>
      <c r="I18" s="302" t="s">
        <v>723</v>
      </c>
      <c r="J18" s="21">
        <f ca="1">ROUND(J6*M18/(1+'数据-取费表'!C42),2)</f>
        <v>0</v>
      </c>
      <c r="K18" s="3468"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882</v>
      </c>
      <c r="D19" s="131" t="s">
        <v>726</v>
      </c>
      <c r="E19" s="3474"/>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18</v>
      </c>
      <c r="D20" s="2428"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74"/>
      <c r="F22" s="23"/>
      <c r="G22" s="1384"/>
      <c r="H22" s="982" t="s">
        <v>402</v>
      </c>
      <c r="I22" s="302" t="s">
        <v>738</v>
      </c>
      <c r="J22" s="21">
        <f ca="1">ROUND(J14*M22,2)</f>
        <v>12.12</v>
      </c>
      <c r="K22" s="3468"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68"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74"/>
      <c r="F25" s="23"/>
      <c r="G25" s="1384"/>
      <c r="H25" s="1079" t="s">
        <v>394</v>
      </c>
      <c r="I25" s="1094" t="s">
        <v>752</v>
      </c>
      <c r="J25" s="310">
        <f ca="1">J5-J16</f>
        <v>-12</v>
      </c>
      <c r="K25" s="1095" t="s">
        <v>753</v>
      </c>
      <c r="L25" s="1096"/>
      <c r="M25" s="1097"/>
    </row>
    <row r="26" spans="1:37">
      <c r="A26" s="982" t="s">
        <v>397</v>
      </c>
      <c r="B26" s="302" t="s">
        <v>754</v>
      </c>
      <c r="C26" s="21">
        <f ca="1">ROUND((C19+C20)*F26,0)</f>
        <v>180</v>
      </c>
      <c r="D26" s="2428"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2428" t="s">
        <v>761</v>
      </c>
      <c r="E27" s="344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2428"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1212</v>
      </c>
      <c r="D29" s="1092"/>
      <c r="E29" s="1090"/>
      <c r="F29" s="1093"/>
      <c r="G29" s="1396"/>
      <c r="H29" s="334" t="s">
        <v>396</v>
      </c>
      <c r="I29" s="335" t="s">
        <v>768</v>
      </c>
      <c r="J29" s="336">
        <f ca="1">ROUND(J26/(1+F40)^F41,0)</f>
        <v>0</v>
      </c>
      <c r="K29" s="337" t="s">
        <v>769</v>
      </c>
      <c r="L29" s="338"/>
      <c r="M29" s="339">
        <f ca="1">INDIRECT("'数据-取费表'!k"&amp;$G$1)</f>
        <v>2015.47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65</v>
      </c>
      <c r="D30" s="1087" t="s">
        <v>715</v>
      </c>
      <c r="E30" s="3469"/>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49</v>
      </c>
      <c r="D31" s="3465" t="s">
        <v>720</v>
      </c>
      <c r="E31" s="3468"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15.4</v>
      </c>
      <c r="D32" s="3468"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33.6</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12.12</v>
      </c>
      <c r="D36" s="3468"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1.07</v>
      </c>
      <c r="D37" s="3468"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ROUND(C5*F38,2)</f>
        <v>2.94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229</v>
      </c>
      <c r="D39" s="1095" t="s">
        <v>773</v>
      </c>
      <c r="E39" s="1096"/>
      <c r="F39" s="1097"/>
      <c r="G39" s="1384"/>
      <c r="H39" s="2700"/>
      <c r="I39" s="1398"/>
      <c r="J39" s="1399"/>
      <c r="K39" s="2704"/>
      <c r="L39" s="2700"/>
      <c r="M39" s="2700"/>
    </row>
    <row r="40" spans="1:18" ht="18" customHeight="1">
      <c r="A40" s="299" t="s">
        <v>395</v>
      </c>
      <c r="B40" s="300" t="s">
        <v>774</v>
      </c>
      <c r="C40" s="301">
        <f ca="1">ROUND(C39*(1-((1+F42)/(1+F40))^F41)/(F40-F42),0)</f>
        <v>4201</v>
      </c>
      <c r="D40" s="324" t="s">
        <v>758</v>
      </c>
      <c r="E40" s="302" t="s">
        <v>759</v>
      </c>
      <c r="F40" s="312">
        <f ca="1">INDIRECT("'数据-取费表'!I"&amp;$G$1)</f>
        <v>0.06</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30.6</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20844</v>
      </c>
      <c r="D43" s="337" t="s">
        <v>777</v>
      </c>
      <c r="E43" s="338" t="s">
        <v>778</v>
      </c>
      <c r="F43" s="339">
        <f ca="1">INDIRECT("'数据-取费表'!k"&amp;$G$1)</f>
        <v>2015.47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-4381</v>
      </c>
      <c r="D46" s="1406" t="str">
        <f>C2</f>
        <v>万元</v>
      </c>
      <c r="E46" s="1400"/>
      <c r="F46" s="1400"/>
      <c r="I46" s="1407" t="s">
        <v>810</v>
      </c>
      <c r="J46" s="1408"/>
      <c r="K46" s="1409"/>
      <c r="L46" s="1410">
        <f ca="1">IF(M47="住宅",0,IF(L48&gt;J51,L60,J60))</f>
        <v>46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3390</v>
      </c>
      <c r="K47" s="1416" t="s">
        <v>816</v>
      </c>
      <c r="L47" s="1417">
        <f ca="1">INDIRECT("'数据-取费表'!d"&amp;$G$1)</f>
        <v>40</v>
      </c>
      <c r="M47" s="1380" t="str">
        <f>IF(ISNUMBER(FIND("住宅",C1)),"住宅","非住宅")</f>
        <v>非住宅</v>
      </c>
      <c r="O47" s="1418" t="s">
        <v>403</v>
      </c>
      <c r="P47" s="1419" t="s">
        <v>817</v>
      </c>
      <c r="Q47" s="1420">
        <f ca="1">C40+J29</f>
        <v>4201</v>
      </c>
      <c r="R47" s="1420" t="s">
        <v>818</v>
      </c>
    </row>
    <row r="48" spans="1:18" s="1384" customFormat="1" ht="28.5" thickBot="1">
      <c r="A48" s="1110" t="s">
        <v>438</v>
      </c>
      <c r="B48" s="300" t="s">
        <v>692</v>
      </c>
      <c r="C48" s="3473">
        <f ca="1">C49+C53+C55</f>
        <v>0</v>
      </c>
      <c r="D48" s="1112"/>
      <c r="E48" s="1113"/>
      <c r="F48" s="962"/>
      <c r="G48" s="722"/>
      <c r="H48" s="723"/>
      <c r="I48" s="1421" t="s">
        <v>819</v>
      </c>
      <c r="J48" s="1422" t="s">
        <v>3391</v>
      </c>
      <c r="K48" s="1423" t="s">
        <v>820</v>
      </c>
      <c r="L48" s="1424">
        <f ca="1">INDIRECT("'数据-取费表'!f"&amp;$G$1)</f>
        <v>30.6</v>
      </c>
      <c r="O48" s="1418" t="s">
        <v>404</v>
      </c>
      <c r="P48" s="1419" t="s">
        <v>821</v>
      </c>
      <c r="Q48" s="1420">
        <f ca="1">J60</f>
        <v>46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2016</v>
      </c>
      <c r="K49" s="1423" t="s">
        <v>824</v>
      </c>
      <c r="L49" s="1427"/>
      <c r="O49" s="1428" t="s">
        <v>405</v>
      </c>
      <c r="P49" s="1419" t="s">
        <v>825</v>
      </c>
      <c r="Q49" s="1420">
        <f ca="1">C29</f>
        <v>1212</v>
      </c>
      <c r="R49" s="1420" t="s">
        <v>818</v>
      </c>
    </row>
    <row r="50" spans="1:18" s="1384" customFormat="1" ht="13.5" thickBot="1">
      <c r="A50" s="976"/>
      <c r="B50" s="979"/>
      <c r="C50" s="1118"/>
      <c r="D50" s="953"/>
      <c r="E50" s="1056" t="s">
        <v>697</v>
      </c>
      <c r="F50" s="1057">
        <f ca="1">F7</f>
        <v>2015.47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2550</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30.6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30.6</v>
      </c>
      <c r="K53" s="3669" t="s">
        <v>837</v>
      </c>
      <c r="L53" s="3670"/>
      <c r="O53" s="1418" t="s">
        <v>409</v>
      </c>
      <c r="P53" s="1419" t="s">
        <v>838</v>
      </c>
      <c r="Q53" s="1420">
        <f ca="1">Q47+Q48</f>
        <v>4247</v>
      </c>
      <c r="R53" s="1420" t="s">
        <v>410</v>
      </c>
    </row>
    <row r="54" spans="1:18" s="1384" customFormat="1" ht="13.5" thickBot="1">
      <c r="A54" s="1153"/>
      <c r="B54" s="1367" t="s">
        <v>679</v>
      </c>
      <c r="C54" s="959"/>
      <c r="D54" s="1366"/>
      <c r="E54" s="3456"/>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f ca="1">ROUND(IF(J47="钢混",J57/J50,1-(1-2%)*(J50-J57)/J50),3)</f>
        <v>0.373</v>
      </c>
      <c r="K55" s="1445" t="s">
        <v>841</v>
      </c>
      <c r="L55" s="1446"/>
      <c r="O55" s="1411" t="s">
        <v>811</v>
      </c>
      <c r="P55" s="1412" t="s">
        <v>812</v>
      </c>
      <c r="Q55" s="1413" t="s">
        <v>813</v>
      </c>
      <c r="R55" s="1413" t="s">
        <v>814</v>
      </c>
    </row>
    <row r="56" spans="1:18" s="1384" customFormat="1" ht="25.5" thickTop="1" thickBot="1">
      <c r="A56" s="957">
        <v>2</v>
      </c>
      <c r="B56" s="958" t="s">
        <v>704</v>
      </c>
      <c r="C56" s="232">
        <f ca="1">C13</f>
        <v>1067</v>
      </c>
      <c r="D56" s="1447"/>
      <c r="E56" s="1448"/>
      <c r="F56" s="1440"/>
      <c r="I56" s="1449" t="s">
        <v>842</v>
      </c>
      <c r="J56" s="1450" t="s">
        <v>3392</v>
      </c>
      <c r="K56" s="1421" t="s">
        <v>843</v>
      </c>
      <c r="L56" s="1424" t="str">
        <f ca="1">IF(L48&lt;J51,"——",L48-J53)</f>
        <v>——</v>
      </c>
      <c r="O56" s="1418" t="s">
        <v>403</v>
      </c>
      <c r="P56" s="1419" t="s">
        <v>817</v>
      </c>
      <c r="Q56" s="1420">
        <f ca="1">C40+J29</f>
        <v>4201</v>
      </c>
      <c r="R56" s="1420" t="s">
        <v>818</v>
      </c>
    </row>
    <row r="57" spans="1:18" s="1384" customFormat="1" ht="24.75" thickBot="1">
      <c r="A57" s="1451"/>
      <c r="B57" s="950" t="s">
        <v>767</v>
      </c>
      <c r="C57" s="238">
        <f ca="1">C29</f>
        <v>1212</v>
      </c>
      <c r="D57" s="1452"/>
      <c r="E57" s="1453"/>
      <c r="F57" s="1454"/>
      <c r="I57" s="1455" t="s">
        <v>844</v>
      </c>
      <c r="J57" s="1456">
        <f ca="1">IF(OR(M47="住宅",J51&lt;L48,J56="是"),"——",J51-L48)</f>
        <v>22.4</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485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46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731</v>
      </c>
      <c r="E62" s="950" t="s">
        <v>732</v>
      </c>
      <c r="F62" s="325">
        <f t="shared" si="0"/>
        <v>1.5</v>
      </c>
      <c r="I62" s="1462" t="s">
        <v>858</v>
      </c>
      <c r="J62" s="1463" t="s">
        <v>859</v>
      </c>
      <c r="K62" s="1463" t="s">
        <v>860</v>
      </c>
      <c r="L62" s="1463" t="s">
        <v>861</v>
      </c>
      <c r="M62" s="1464" t="s">
        <v>862</v>
      </c>
      <c r="O62" s="1418" t="s">
        <v>409</v>
      </c>
      <c r="P62" s="1419" t="s">
        <v>863</v>
      </c>
      <c r="Q62" s="1420">
        <f ca="1">Q56+Q57</f>
        <v>4201</v>
      </c>
      <c r="R62" s="1420" t="s">
        <v>410</v>
      </c>
    </row>
    <row r="63" spans="1:18" s="1384" customFormat="1" ht="13.5" thickBot="1">
      <c r="A63" s="326"/>
      <c r="B63" s="956"/>
      <c r="C63" s="26"/>
      <c r="D63" s="966"/>
      <c r="E63" s="950" t="s">
        <v>736</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12.12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1.07</v>
      </c>
      <c r="D65" s="964" t="s">
        <v>743</v>
      </c>
      <c r="E65" s="950" t="s">
        <v>744</v>
      </c>
      <c r="F65" s="330">
        <f t="shared" ca="1" si="0"/>
        <v>1E-3</v>
      </c>
      <c r="I65" s="1462" t="s">
        <v>867</v>
      </c>
      <c r="J65" s="1463">
        <v>40</v>
      </c>
      <c r="K65" s="1463">
        <v>30</v>
      </c>
      <c r="L65" s="1463">
        <v>50</v>
      </c>
      <c r="M65" s="1465">
        <v>0.02</v>
      </c>
      <c r="O65" s="1418" t="s">
        <v>403</v>
      </c>
      <c r="P65" s="1419" t="s">
        <v>817</v>
      </c>
      <c r="Q65" s="1420">
        <f ca="1">C40+J29</f>
        <v>4201</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-13</v>
      </c>
      <c r="D67" s="963" t="s">
        <v>753</v>
      </c>
      <c r="E67" s="968"/>
      <c r="F67" s="969"/>
      <c r="O67" s="1428" t="s">
        <v>405</v>
      </c>
      <c r="P67" s="1419" t="s">
        <v>850</v>
      </c>
      <c r="Q67" s="1466">
        <f ca="1">L51</f>
        <v>2550</v>
      </c>
      <c r="R67" s="1420" t="s">
        <v>870</v>
      </c>
    </row>
    <row r="68" spans="1:18" s="1384" customFormat="1" ht="16.5" thickBot="1">
      <c r="A68" s="947" t="s">
        <v>395</v>
      </c>
      <c r="B68" s="948" t="s">
        <v>774</v>
      </c>
      <c r="C68" s="301">
        <f ca="1">ROUND(C67*(1-((1+F70)/(1+F68))^F69)/(F68-F70),0)</f>
        <v>-180</v>
      </c>
      <c r="D68" s="965" t="s">
        <v>758</v>
      </c>
      <c r="E68" s="950" t="s">
        <v>759</v>
      </c>
      <c r="F68" s="312">
        <f ca="1">F40</f>
        <v>0.06</v>
      </c>
      <c r="O68" s="1428" t="s">
        <v>406</v>
      </c>
      <c r="P68" s="1467" t="s">
        <v>871</v>
      </c>
      <c r="Q68" s="1420">
        <f ca="1">ROUND(Q69-Q70*Q71,0)</f>
        <v>149</v>
      </c>
      <c r="R68" s="1420" t="s">
        <v>414</v>
      </c>
    </row>
    <row r="69" spans="1:18" s="1384" customFormat="1" ht="13.5" thickBot="1">
      <c r="A69" s="951"/>
      <c r="B69" s="952"/>
      <c r="C69" s="306"/>
      <c r="D69" s="970" t="s">
        <v>762</v>
      </c>
      <c r="E69" s="950" t="s">
        <v>763</v>
      </c>
      <c r="F69" s="333">
        <f ca="1">F41</f>
        <v>30.6</v>
      </c>
      <c r="O69" s="1428" t="s">
        <v>411</v>
      </c>
      <c r="P69" s="1467" t="s">
        <v>872</v>
      </c>
      <c r="Q69" s="1420">
        <f ca="1">C39</f>
        <v>229</v>
      </c>
      <c r="R69" s="1420" t="s">
        <v>818</v>
      </c>
    </row>
    <row r="70" spans="1:18" s="1384" customFormat="1" ht="13.5" thickBot="1">
      <c r="A70" s="954"/>
      <c r="B70" s="955"/>
      <c r="C70" s="310"/>
      <c r="D70" s="966"/>
      <c r="E70" s="950" t="s">
        <v>766</v>
      </c>
      <c r="F70" s="1054"/>
      <c r="O70" s="1428" t="s">
        <v>412</v>
      </c>
      <c r="P70" s="1467" t="s">
        <v>873</v>
      </c>
      <c r="Q70" s="1420">
        <f ca="1">C13</f>
        <v>1067</v>
      </c>
      <c r="R70" s="1420" t="s">
        <v>818</v>
      </c>
    </row>
    <row r="71" spans="1:18" s="1384" customFormat="1" ht="13.5" thickBot="1">
      <c r="A71" s="971" t="s">
        <v>396</v>
      </c>
      <c r="B71" s="972" t="s">
        <v>776</v>
      </c>
      <c r="C71" s="336">
        <f ca="1">ROUND(C68*10000/F71,0)</f>
        <v>-893</v>
      </c>
      <c r="D71" s="973" t="s">
        <v>777</v>
      </c>
      <c r="E71" s="974" t="s">
        <v>778</v>
      </c>
      <c r="F71" s="339">
        <f ca="1">F43</f>
        <v>2015.47</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80</v>
      </c>
      <c r="D75" s="1384"/>
      <c r="E75" s="1384"/>
      <c r="F75" s="1384"/>
      <c r="K75" s="1402"/>
      <c r="L75" s="1384"/>
      <c r="O75" s="1418" t="s">
        <v>409</v>
      </c>
      <c r="P75" s="1419" t="s">
        <v>838</v>
      </c>
      <c r="Q75" s="1420">
        <f ca="1">Q65+Q66</f>
        <v>4201</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0.65100000000000002</v>
      </c>
    </row>
    <row r="80" spans="1:18">
      <c r="B80" s="340" t="s">
        <v>800</v>
      </c>
      <c r="C80" s="274">
        <f ca="1">ROUND(C75/C39,3)</f>
        <v>0.34899999999999998</v>
      </c>
    </row>
    <row r="81" spans="2:3">
      <c r="B81" s="270" t="s">
        <v>801</v>
      </c>
      <c r="C81" s="238"/>
    </row>
    <row r="82" spans="2:3">
      <c r="B82" s="273" t="s">
        <v>802</v>
      </c>
      <c r="C82" s="275">
        <f ca="1">1-C83</f>
        <v>0.746</v>
      </c>
    </row>
    <row r="83" spans="2:3">
      <c r="B83" s="273" t="s">
        <v>803</v>
      </c>
      <c r="C83" s="274">
        <f ca="1">ROUND(C13/C40,3)</f>
        <v>0.254</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70" zoomScaleNormal="80" zoomScaleSheetLayoutView="70" workbookViewId="0">
      <selection activeCell="B29" sqref="B2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2015.47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2535</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12578</v>
      </c>
      <c r="U2" s="1213">
        <f>'数据-汇总表'!F20</f>
        <v>2015.47</v>
      </c>
      <c r="V2" s="3361">
        <f>ROUND(T2*U2/10000,0)</f>
        <v>2535</v>
      </c>
      <c r="W2" s="1216"/>
      <c r="X2" s="1216"/>
      <c r="Y2" s="1216"/>
      <c r="Z2" s="1216"/>
      <c r="AA2" s="1216"/>
      <c r="AB2" s="1216"/>
      <c r="AC2" s="1217"/>
      <c r="AD2" s="1218"/>
      <c r="AE2" s="1218"/>
      <c r="AF2" s="1218"/>
      <c r="AG2" s="1218"/>
      <c r="AH2" s="1218"/>
      <c r="AI2" s="1218"/>
      <c r="AJ2" s="1219"/>
    </row>
    <row r="3" spans="1:36" ht="15.75">
      <c r="A3" s="203" t="s">
        <v>1940</v>
      </c>
      <c r="B3" s="204">
        <f>ROUND(B2*10000/D1,0)</f>
        <v>12578</v>
      </c>
      <c r="C3" s="1999" t="s">
        <v>1941</v>
      </c>
      <c r="D3" s="2000" t="s">
        <v>1942</v>
      </c>
      <c r="E3" s="3420" t="s">
        <v>2442</v>
      </c>
      <c r="F3" s="2004" t="s">
        <v>3399</v>
      </c>
      <c r="G3" s="752" t="e">
        <f>IF(F3="宗地容积率",'数据-汇总表'!I4,IF(F3="估价对象容积率",'数据-汇总表'!I6,'数据-汇总表'!I7))</f>
        <v>#DIV/0!</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9914</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8379</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8704</v>
      </c>
      <c r="D5" s="1339">
        <f>ROUND(C6*C17+C20,0)</f>
        <v>8704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7390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7102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3463"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8740</v>
      </c>
      <c r="N7" s="866">
        <f>SUMPRODUCT((因素修正幅度!B190:B233=I2)*(因素修正幅度!C3:G3=E2)*(因素修正幅度!C190:G233))</f>
        <v>0.13</v>
      </c>
      <c r="O7" s="1119"/>
      <c r="P7" s="1119"/>
      <c r="Q7" s="1119"/>
      <c r="R7" s="1212">
        <v>6</v>
      </c>
      <c r="S7" s="3419"/>
      <c r="T7" s="3361">
        <f t="shared" si="0"/>
        <v>0</v>
      </c>
      <c r="U7" s="1213"/>
      <c r="V7" s="3361">
        <f t="shared" si="1"/>
        <v>0</v>
      </c>
      <c r="W7" s="3476" t="s">
        <v>1955</v>
      </c>
      <c r="X7" s="1214" t="str">
        <f>G2</f>
        <v>七级</v>
      </c>
      <c r="Y7" s="1214" t="s">
        <v>1956</v>
      </c>
      <c r="Z7" s="1215" t="e">
        <f>G3</f>
        <v>#DIV/0!</v>
      </c>
      <c r="AA7" s="1216"/>
      <c r="AB7" s="1216"/>
      <c r="AC7" s="1217"/>
      <c r="AD7" s="1218"/>
      <c r="AE7" s="1218"/>
      <c r="AF7" s="1218"/>
      <c r="AG7" s="1218"/>
      <c r="AH7" s="1218"/>
      <c r="AI7" s="1218"/>
      <c r="AJ7" s="1219"/>
    </row>
    <row r="8" spans="1:36" ht="25.5">
      <c r="A8" s="3299"/>
      <c r="B8" s="170" t="s">
        <v>1957</v>
      </c>
      <c r="C8" s="2026" t="s">
        <v>3408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3458"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3459"/>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457"/>
      <c r="C18" s="3328"/>
      <c r="D18" s="3323" t="s">
        <v>3255</v>
      </c>
      <c r="E18" s="3329"/>
      <c r="F18" s="3324" t="s">
        <v>3258</v>
      </c>
      <c r="G18" s="3328">
        <f>ROUND(1-(1/(POWER(1+G24,E18))),4)</f>
        <v>0</v>
      </c>
      <c r="H18" s="3324" t="s">
        <v>3260</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2" t="s">
        <v>3261</v>
      </c>
      <c r="B20" s="167" t="s">
        <v>1994</v>
      </c>
      <c r="C20" s="3325">
        <f>ROUND(IF(F21="与级别开发程度一致",0,(G21-E21)/C21),0)</f>
        <v>-36</v>
      </c>
      <c r="D20" s="3341" t="s">
        <v>1998</v>
      </c>
      <c r="E20" s="3342"/>
      <c r="F20" s="3788" t="s">
        <v>1995</v>
      </c>
      <c r="G20" s="3789"/>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2002</v>
      </c>
      <c r="E23" s="761">
        <v>44197</v>
      </c>
      <c r="F23" s="2054" t="s">
        <v>2003</v>
      </c>
      <c r="G23" s="762">
        <f>'数据-取费表'!B2</f>
        <v>44959</v>
      </c>
      <c r="H23" s="3343" t="s">
        <v>3262</v>
      </c>
      <c r="I23" s="3344" t="str">
        <f>IF(H23="季度增幅（自定义）",SUMIF(N25:N28,E2,O25:O28),"")</f>
        <v/>
      </c>
      <c r="J23" s="3446" t="s">
        <v>3407</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0.91290000000000004</v>
      </c>
      <c r="D24" s="2060" t="s">
        <v>2007</v>
      </c>
      <c r="E24" s="1335">
        <f>存贷款利率!E22/100</f>
        <v>4.3499999999999997E-2</v>
      </c>
      <c r="F24" s="2060" t="s">
        <v>1999</v>
      </c>
      <c r="G24" s="768">
        <f>SUMIF(M30:Q30,E2,M33:Q33)</f>
        <v>5.5E-2</v>
      </c>
      <c r="H24" s="2060" t="s">
        <v>2008</v>
      </c>
      <c r="I24" s="769">
        <f>SUMIF('数据-取费表'!C6:C15,E2,'数据-取费表'!F6:F15)/COUNTIF('数据-取费表'!C6:C15,E2)</f>
        <v>30.6</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3412</v>
      </c>
      <c r="C25" s="3472">
        <f>IF(B25="容积率修正",IF(G3&lt;10,D26,J26),C27)</f>
        <v>1.5019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3471" t="e">
        <f>IF(E26=G26,F26,IF(G3&lt;10,ROUND(F26+(H26-F26)*(G3-E26)/(G26-E26),4),"——"))</f>
        <v>#DIV/0!</v>
      </c>
      <c r="E26" s="752" t="e">
        <f>ROUNDDOWN(G3,1)</f>
        <v>#DIV/0!</v>
      </c>
      <c r="F26" s="3471"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3471"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5" t="s">
        <v>3264</v>
      </c>
      <c r="J26" s="772" t="e">
        <f>IF(G3&gt;=10,D115,"——")</f>
        <v>#DIV/0!</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1.0246</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2535</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12578</v>
      </c>
      <c r="D33" s="2098">
        <f>U2</f>
        <v>2015.47</v>
      </c>
      <c r="E33" s="773">
        <f>ROUND(C33*D33/10000,0)</f>
        <v>2535</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6"/>
      <c r="B37" s="2113" t="s">
        <v>2036</v>
      </c>
      <c r="C37" s="175">
        <f>ROUND(D5*C22*C23*C24*C28*F37,0)</f>
        <v>5025</v>
      </c>
      <c r="D37" s="2098"/>
      <c r="E37" s="171">
        <f>ROUND(C37*D37/10000,0)</f>
        <v>0</v>
      </c>
      <c r="F37" s="171">
        <f>SUMIF(修正!A57:A68,G2,修正!B57:B68)</f>
        <v>0.6</v>
      </c>
      <c r="G37" s="171">
        <f>ROUND(IF(E2="工业",C37*$M$42,C37*$M$41),0)</f>
        <v>1256</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f>ROUND(D5*C22*C23*C24*C28*F38,0)</f>
        <v>2513</v>
      </c>
      <c r="D38" s="2098"/>
      <c r="E38" s="171">
        <f t="shared" ref="E38:E42" si="4">ROUND(C38*D38/10000,0)</f>
        <v>0</v>
      </c>
      <c r="F38" s="171">
        <f>SUMIF(修正!A57:A68,G2,修正!C57:C68)</f>
        <v>0.3</v>
      </c>
      <c r="G38" s="171">
        <f>ROUND(IF(E2="工业",C38*$M$42,C38*$M$41),0)</f>
        <v>628</v>
      </c>
      <c r="H38" s="171">
        <f t="shared" ref="H38:H42" si="5">D38</f>
        <v>0</v>
      </c>
      <c r="I38" s="171">
        <f t="shared" ref="I38:I42" si="6">ROUND(G38*H38/10000,0)</f>
        <v>0</v>
      </c>
      <c r="J38" s="3479"/>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7"/>
      <c r="B39" s="2041" t="s">
        <v>3265</v>
      </c>
      <c r="C39" s="175">
        <f>ROUND(D5*C22*C23*C24*C28*F39,0)</f>
        <v>2094</v>
      </c>
      <c r="D39" s="2098"/>
      <c r="E39" s="171">
        <f t="shared" si="4"/>
        <v>0</v>
      </c>
      <c r="F39" s="171">
        <f>SUMIF(修正!A57:A68,G2,修正!D57:D68)</f>
        <v>0.25</v>
      </c>
      <c r="G39" s="171">
        <f>ROUND(IF(E2="工业",C39*$M$42,C39*$M$41),0)</f>
        <v>524</v>
      </c>
      <c r="H39" s="171">
        <f t="shared" si="5"/>
        <v>0</v>
      </c>
      <c r="I39" s="171">
        <f t="shared" si="6"/>
        <v>0</v>
      </c>
      <c r="J39" s="347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2094</v>
      </c>
      <c r="D40" s="2098"/>
      <c r="E40" s="171">
        <f t="shared" si="4"/>
        <v>0</v>
      </c>
      <c r="F40" s="175">
        <f>SUMIF(修正!A57:A68,G2,修正!E57:E68)</f>
        <v>0.25</v>
      </c>
      <c r="G40" s="171">
        <f>ROUND(IF(E2="工业",C40*$M$42,C40*$M$41),0)</f>
        <v>524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1.0246</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3409</v>
      </c>
      <c r="D50" s="1065">
        <f t="shared" ref="D50:D58" si="7">SUMIF($J$49:$N$49,C50,J50:N50)</f>
        <v>0</v>
      </c>
      <c r="E50" s="744">
        <f>ROUND(SUM(D50:D58),4)</f>
        <v>2.46E-2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3409</v>
      </c>
      <c r="D51" s="1065">
        <f t="shared" si="7"/>
        <v>0</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3410</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3410</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3409</v>
      </c>
      <c r="D54" s="1065">
        <f t="shared" si="7"/>
        <v>0</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3410</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3409</v>
      </c>
      <c r="D56" s="1065">
        <f t="shared" si="7"/>
        <v>0</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3411</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3409</v>
      </c>
      <c r="D58" s="1065">
        <f t="shared" si="7"/>
        <v>0</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t="e">
        <f>1+E61</f>
        <v>#VALUE!</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3410</v>
      </c>
      <c r="D61" s="1065" t="e">
        <f t="shared" ref="D61:D69" si="13">SUMIF($J$60:$N$60,C61,J61:N61)</f>
        <v>#VALUE!</v>
      </c>
      <c r="E61" s="744" t="e">
        <f>ROUND(SUM(D61:D69),4)</f>
        <v>#VALUE!</v>
      </c>
      <c r="F61" s="1814" t="str">
        <f>IF(E2="办公",SUMIF(L1:L12,G2,N1:N12),"——")</f>
        <v>——</v>
      </c>
      <c r="G61" s="1063" t="str">
        <f>H61</f>
        <v>——</v>
      </c>
      <c r="H61" s="1066" t="str">
        <f t="shared" ref="H61:H69" si="14">IFERROR(ROUNDDOWN($F$61*I61/2,4),"——")</f>
        <v>——</v>
      </c>
      <c r="I61" s="3367">
        <v>0.25</v>
      </c>
      <c r="J61" s="1064" t="e">
        <f t="shared" ref="J61:J69" si="15">K61+$G61</f>
        <v>#VALUE!</v>
      </c>
      <c r="K61" s="1064" t="e">
        <f t="shared" ref="K61:K69" si="16">$L61+$G61</f>
        <v>#VALUE!</v>
      </c>
      <c r="L61" s="1064">
        <v>0</v>
      </c>
      <c r="M61" s="1064" t="e">
        <f t="shared" ref="M61:N69" si="17">L61-$G61</f>
        <v>#VALUE!</v>
      </c>
      <c r="N61" s="1064" t="e">
        <f t="shared" si="17"/>
        <v>#VALUE!</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3409</v>
      </c>
      <c r="D62" s="1065">
        <f t="shared" si="13"/>
        <v>0</v>
      </c>
      <c r="E62" s="745"/>
      <c r="F62" s="1814"/>
      <c r="G62" s="1063" t="str">
        <f t="shared" ref="G62:G69" si="18">H62</f>
        <v>——</v>
      </c>
      <c r="H62" s="1066" t="str">
        <f t="shared" si="14"/>
        <v>——</v>
      </c>
      <c r="I62" s="3367">
        <v>0.26</v>
      </c>
      <c r="J62" s="1064" t="e">
        <f t="shared" si="15"/>
        <v>#VALUE!</v>
      </c>
      <c r="K62" s="1064" t="e">
        <f t="shared" si="16"/>
        <v>#VALUE!</v>
      </c>
      <c r="L62" s="1064">
        <v>0</v>
      </c>
      <c r="M62" s="1064" t="e">
        <f t="shared" si="17"/>
        <v>#VALUE!</v>
      </c>
      <c r="N62" s="1064" t="e">
        <f t="shared" si="17"/>
        <v>#VALUE!</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3410</v>
      </c>
      <c r="D63" s="1065" t="e">
        <f t="shared" si="13"/>
        <v>#VALUE!</v>
      </c>
      <c r="E63" s="745"/>
      <c r="F63" s="1814"/>
      <c r="G63" s="1063" t="str">
        <f t="shared" si="18"/>
        <v>——</v>
      </c>
      <c r="H63" s="1066" t="str">
        <f t="shared" si="14"/>
        <v>——</v>
      </c>
      <c r="I63" s="3367">
        <v>0.11</v>
      </c>
      <c r="J63" s="1064" t="e">
        <f t="shared" si="15"/>
        <v>#VALUE!</v>
      </c>
      <c r="K63" s="1064" t="e">
        <f t="shared" si="16"/>
        <v>#VALUE!</v>
      </c>
      <c r="L63" s="1064">
        <v>0</v>
      </c>
      <c r="M63" s="1064" t="e">
        <f t="shared" si="17"/>
        <v>#VALUE!</v>
      </c>
      <c r="N63" s="1064" t="e">
        <f t="shared" si="17"/>
        <v>#VALUE!</v>
      </c>
      <c r="AA63" s="1120"/>
      <c r="AB63" s="1120"/>
      <c r="AC63" s="1120"/>
      <c r="AD63" s="1120"/>
      <c r="AE63" s="1120"/>
      <c r="AF63" s="1120"/>
      <c r="AG63" s="1120"/>
      <c r="AH63" s="1120"/>
      <c r="AI63" s="1120"/>
      <c r="AJ63" s="1120"/>
      <c r="AK63" s="1120"/>
    </row>
    <row r="64" spans="1:37" s="1119" customFormat="1" ht="36.75">
      <c r="A64" s="2130" t="s">
        <v>2054</v>
      </c>
      <c r="B64" s="2135" t="s">
        <v>2055</v>
      </c>
      <c r="C64" s="2044" t="s">
        <v>3410</v>
      </c>
      <c r="D64" s="1065" t="e">
        <f t="shared" si="13"/>
        <v>#VALUE!</v>
      </c>
      <c r="E64" s="745"/>
      <c r="F64" s="1814"/>
      <c r="G64" s="1063" t="str">
        <f t="shared" si="18"/>
        <v>——</v>
      </c>
      <c r="H64" s="1066" t="str">
        <f t="shared" si="14"/>
        <v>——</v>
      </c>
      <c r="I64" s="3367">
        <v>0.05</v>
      </c>
      <c r="J64" s="1064" t="e">
        <f t="shared" si="15"/>
        <v>#VALUE!</v>
      </c>
      <c r="K64" s="1064" t="e">
        <f t="shared" si="16"/>
        <v>#VALUE!</v>
      </c>
      <c r="L64" s="1064">
        <v>0</v>
      </c>
      <c r="M64" s="1064" t="e">
        <f t="shared" si="17"/>
        <v>#VALUE!</v>
      </c>
      <c r="N64" s="1064" t="e">
        <f t="shared" si="17"/>
        <v>#VALUE!</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3409</v>
      </c>
      <c r="D65" s="1065">
        <f t="shared" si="13"/>
        <v>0</v>
      </c>
      <c r="E65" s="745"/>
      <c r="F65" s="1814"/>
      <c r="G65" s="1063" t="str">
        <f t="shared" si="18"/>
        <v>——</v>
      </c>
      <c r="H65" s="1066" t="str">
        <f t="shared" si="14"/>
        <v>——</v>
      </c>
      <c r="I65" s="3367">
        <v>0.05</v>
      </c>
      <c r="J65" s="1064" t="e">
        <f t="shared" si="15"/>
        <v>#VALUE!</v>
      </c>
      <c r="K65" s="1064" t="e">
        <f t="shared" si="16"/>
        <v>#VALUE!</v>
      </c>
      <c r="L65" s="1064">
        <v>0</v>
      </c>
      <c r="M65" s="1064" t="e">
        <f t="shared" si="17"/>
        <v>#VALUE!</v>
      </c>
      <c r="N65" s="1064" t="e">
        <f t="shared" si="17"/>
        <v>#VALUE!</v>
      </c>
      <c r="AA65" s="1120"/>
      <c r="AB65" s="1120"/>
      <c r="AC65" s="1120"/>
      <c r="AD65" s="1120"/>
      <c r="AE65" s="1120"/>
      <c r="AF65" s="1120"/>
      <c r="AG65" s="1120"/>
      <c r="AH65" s="1120"/>
      <c r="AI65" s="1120"/>
      <c r="AJ65" s="1120"/>
      <c r="AK65" s="1120"/>
    </row>
    <row r="66" spans="1:37" s="1119" customFormat="1" ht="24">
      <c r="A66" s="2130" t="s">
        <v>2057</v>
      </c>
      <c r="B66" s="2136" t="s">
        <v>2058</v>
      </c>
      <c r="C66" s="2044" t="s">
        <v>3410</v>
      </c>
      <c r="D66" s="1065" t="e">
        <f t="shared" si="13"/>
        <v>#VALUE!</v>
      </c>
      <c r="E66" s="745"/>
      <c r="F66" s="1814"/>
      <c r="G66" s="1063" t="str">
        <f t="shared" si="18"/>
        <v>——</v>
      </c>
      <c r="H66" s="1066" t="str">
        <f t="shared" si="14"/>
        <v>——</v>
      </c>
      <c r="I66" s="3367">
        <v>0.06</v>
      </c>
      <c r="J66" s="1064" t="e">
        <f t="shared" si="15"/>
        <v>#VALUE!</v>
      </c>
      <c r="K66" s="1064" t="e">
        <f t="shared" si="16"/>
        <v>#VALUE!</v>
      </c>
      <c r="L66" s="1064">
        <v>0</v>
      </c>
      <c r="M66" s="1064" t="e">
        <f t="shared" si="17"/>
        <v>#VALUE!</v>
      </c>
      <c r="N66" s="1064" t="e">
        <f t="shared" si="17"/>
        <v>#VALUE!</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3409</v>
      </c>
      <c r="D67" s="1065">
        <f t="shared" si="13"/>
        <v>0</v>
      </c>
      <c r="E67" s="745"/>
      <c r="F67" s="1814"/>
      <c r="G67" s="1063" t="str">
        <f t="shared" si="18"/>
        <v>——</v>
      </c>
      <c r="H67" s="1066" t="str">
        <f t="shared" si="14"/>
        <v>——</v>
      </c>
      <c r="I67" s="3367">
        <v>0.06</v>
      </c>
      <c r="J67" s="1064" t="e">
        <f t="shared" si="15"/>
        <v>#VALUE!</v>
      </c>
      <c r="K67" s="1064" t="e">
        <f t="shared" si="16"/>
        <v>#VALUE!</v>
      </c>
      <c r="L67" s="1064">
        <v>0</v>
      </c>
      <c r="M67" s="1064" t="e">
        <f t="shared" si="17"/>
        <v>#VALUE!</v>
      </c>
      <c r="N67" s="1064" t="e">
        <f t="shared" si="17"/>
        <v>#VALUE!</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3411</v>
      </c>
      <c r="D68" s="1065" t="e">
        <f t="shared" si="13"/>
        <v>#VALUE!</v>
      </c>
      <c r="E68" s="745"/>
      <c r="F68" s="1814"/>
      <c r="G68" s="1063" t="str">
        <f t="shared" si="18"/>
        <v>——</v>
      </c>
      <c r="H68" s="1066" t="str">
        <f t="shared" si="14"/>
        <v>——</v>
      </c>
      <c r="I68" s="3367">
        <v>0.09</v>
      </c>
      <c r="J68" s="1064" t="e">
        <f t="shared" si="15"/>
        <v>#VALUE!</v>
      </c>
      <c r="K68" s="1064" t="e">
        <f t="shared" si="16"/>
        <v>#VALUE!</v>
      </c>
      <c r="L68" s="1064">
        <v>0</v>
      </c>
      <c r="M68" s="1064" t="e">
        <f t="shared" si="17"/>
        <v>#VALUE!</v>
      </c>
      <c r="N68" s="1064" t="e">
        <f t="shared" si="17"/>
        <v>#VALUE!</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3409</v>
      </c>
      <c r="D69" s="1065">
        <f t="shared" si="13"/>
        <v>0</v>
      </c>
      <c r="E69" s="746"/>
      <c r="F69" s="1814"/>
      <c r="G69" s="1063" t="str">
        <f t="shared" si="18"/>
        <v>——</v>
      </c>
      <c r="H69" s="1066" t="str">
        <f t="shared" si="14"/>
        <v>——</v>
      </c>
      <c r="I69" s="3368">
        <v>7.0000000000000007E-2</v>
      </c>
      <c r="J69" s="1064" t="e">
        <f t="shared" si="15"/>
        <v>#VALUE!</v>
      </c>
      <c r="K69" s="1064" t="e">
        <f t="shared" si="16"/>
        <v>#VALUE!</v>
      </c>
      <c r="L69" s="1064">
        <v>0</v>
      </c>
      <c r="M69" s="1064" t="e">
        <f t="shared" si="17"/>
        <v>#VALUE!</v>
      </c>
      <c r="N69" s="1064" t="e">
        <f t="shared" si="17"/>
        <v>#VALUE!</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3275</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2046</v>
      </c>
      <c r="D92" s="3366" t="s">
        <v>3287</v>
      </c>
      <c r="E92" s="3348" t="s">
        <v>3288</v>
      </c>
      <c r="F92" s="3381" t="s">
        <v>3289</v>
      </c>
      <c r="G92" s="3366" t="s">
        <v>1989</v>
      </c>
      <c r="H92" s="3388" t="s">
        <v>3293</v>
      </c>
      <c r="I92" s="3366" t="s">
        <v>2051</v>
      </c>
      <c r="J92" s="3389" t="s">
        <v>3295</v>
      </c>
      <c r="K92" s="3389" t="s">
        <v>3296</v>
      </c>
      <c r="L92" s="3389" t="s">
        <v>3297</v>
      </c>
      <c r="M92" s="3389" t="s">
        <v>1724</v>
      </c>
      <c r="N92" s="3389" t="s">
        <v>1725</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2053</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3280</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3281</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3282</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3283</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2060</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2061</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784" t="s">
        <v>3300</v>
      </c>
      <c r="B103" s="3784"/>
      <c r="C103" s="3784"/>
      <c r="D103" s="3784"/>
      <c r="E103" s="3784"/>
      <c r="F103" s="3784"/>
      <c r="G103" s="3784"/>
      <c r="H103" s="3784"/>
      <c r="I103" s="3784"/>
      <c r="J103" s="3784"/>
      <c r="K103" s="3477"/>
      <c r="L103" s="3477"/>
      <c r="M103" s="3477"/>
      <c r="N103" s="3477"/>
    </row>
    <row r="104" spans="1:14">
      <c r="A104" s="3785" t="s">
        <v>3301</v>
      </c>
      <c r="B104" s="3785" t="s">
        <v>3302</v>
      </c>
      <c r="C104" s="3391" t="s">
        <v>3303</v>
      </c>
      <c r="D104" s="3392"/>
      <c r="E104" s="3392"/>
      <c r="F104" s="3392"/>
      <c r="G104" s="3392"/>
      <c r="H104" s="3392"/>
      <c r="I104" s="3392"/>
      <c r="J104" s="3393"/>
      <c r="K104" s="3394"/>
      <c r="L104" s="3394"/>
      <c r="M104" s="3394"/>
      <c r="N104" s="3394"/>
    </row>
    <row r="105" spans="1:14">
      <c r="A105" s="3785"/>
      <c r="B105" s="3785"/>
      <c r="C105" s="3478" t="s">
        <v>1961</v>
      </c>
      <c r="D105" s="3478" t="s">
        <v>3305</v>
      </c>
      <c r="E105" s="3478" t="s">
        <v>3306</v>
      </c>
      <c r="F105" s="3478" t="s">
        <v>1964</v>
      </c>
      <c r="G105" s="3478" t="s">
        <v>3308</v>
      </c>
      <c r="H105" s="3478" t="s">
        <v>3309</v>
      </c>
      <c r="I105" s="3478" t="s">
        <v>3310</v>
      </c>
      <c r="J105" s="3478" t="s">
        <v>1968</v>
      </c>
      <c r="K105" s="3478" t="s">
        <v>1969</v>
      </c>
      <c r="L105" s="3478" t="s">
        <v>3313</v>
      </c>
      <c r="M105" s="3478" t="s">
        <v>3314</v>
      </c>
      <c r="N105" s="3478" t="s">
        <v>3315</v>
      </c>
    </row>
    <row r="106" spans="1:14">
      <c r="A106" s="3771" t="s">
        <v>3316</v>
      </c>
      <c r="B106" s="3478">
        <v>1</v>
      </c>
      <c r="C106" s="3478">
        <v>1.5206</v>
      </c>
      <c r="D106" s="3478">
        <v>1.5206</v>
      </c>
      <c r="E106" s="3478">
        <v>1.5019</v>
      </c>
      <c r="F106" s="3478">
        <v>1.5019</v>
      </c>
      <c r="G106" s="3478">
        <v>1.5019</v>
      </c>
      <c r="H106" s="3478">
        <v>1.5019</v>
      </c>
      <c r="I106" s="3478">
        <v>1.5019</v>
      </c>
      <c r="J106" s="3478">
        <v>1.5418000000000001</v>
      </c>
      <c r="K106" s="3478">
        <v>1.5418000000000001</v>
      </c>
      <c r="L106" s="3478">
        <v>1.5418000000000001</v>
      </c>
      <c r="M106" s="3478">
        <v>1.5418000000000001</v>
      </c>
      <c r="N106" s="3478">
        <v>1.5418000000000001</v>
      </c>
    </row>
    <row r="107" spans="1:14">
      <c r="A107" s="3772"/>
      <c r="B107" s="3478">
        <v>2</v>
      </c>
      <c r="C107" s="3478">
        <v>1.2072000000000001</v>
      </c>
      <c r="D107" s="3478">
        <v>1.2072000000000001</v>
      </c>
      <c r="E107" s="3478">
        <v>1.1838</v>
      </c>
      <c r="F107" s="3478">
        <v>1.1838</v>
      </c>
      <c r="G107" s="3478">
        <v>1.1838</v>
      </c>
      <c r="H107" s="3478">
        <v>1.1838</v>
      </c>
      <c r="I107" s="3478">
        <v>1.1838</v>
      </c>
      <c r="J107" s="3478">
        <v>1.1883999999999999</v>
      </c>
      <c r="K107" s="3478">
        <v>1.1883999999999999</v>
      </c>
      <c r="L107" s="3478">
        <v>1.1883999999999999</v>
      </c>
      <c r="M107" s="3478">
        <v>1.1883999999999999</v>
      </c>
      <c r="N107" s="3478">
        <v>1.1883999999999999</v>
      </c>
    </row>
    <row r="108" spans="1:14">
      <c r="A108" s="3772"/>
      <c r="B108" s="3478">
        <v>3</v>
      </c>
      <c r="C108" s="3478">
        <v>1.0430999999999999</v>
      </c>
      <c r="D108" s="3478">
        <v>1.0430999999999999</v>
      </c>
      <c r="E108" s="3478">
        <v>1.0004999999999999</v>
      </c>
      <c r="F108" s="3478">
        <v>1.0004999999999999</v>
      </c>
      <c r="G108" s="3478">
        <v>1.0004999999999999</v>
      </c>
      <c r="H108" s="3478">
        <v>1.0004999999999999</v>
      </c>
      <c r="I108" s="3478">
        <v>1.0004999999999999</v>
      </c>
      <c r="J108" s="3478">
        <v>0.96940000000000004</v>
      </c>
      <c r="K108" s="3478">
        <v>0.96940000000000004</v>
      </c>
      <c r="L108" s="3478">
        <v>0.96940000000000004</v>
      </c>
      <c r="M108" s="3478">
        <v>0.96940000000000004</v>
      </c>
      <c r="N108" s="3478">
        <v>0.96940000000000004</v>
      </c>
    </row>
    <row r="109" spans="1:14">
      <c r="A109" s="3772"/>
      <c r="B109" s="3478">
        <v>4</v>
      </c>
      <c r="C109" s="3478">
        <v>0.94389999999999996</v>
      </c>
      <c r="D109" s="3478">
        <v>0.94389999999999996</v>
      </c>
      <c r="E109" s="3478">
        <v>0.88239999999999996</v>
      </c>
      <c r="F109" s="3478">
        <v>0.88239999999999996</v>
      </c>
      <c r="G109" s="3478">
        <v>0.88239999999999996</v>
      </c>
      <c r="H109" s="3478">
        <v>0.88239999999999996</v>
      </c>
      <c r="I109" s="3478">
        <v>0.88239999999999996</v>
      </c>
      <c r="J109" s="3478">
        <v>0.82299999999999995</v>
      </c>
      <c r="K109" s="3478">
        <v>0.82299999999999995</v>
      </c>
      <c r="L109" s="3478">
        <v>0.82299999999999995</v>
      </c>
      <c r="M109" s="3478">
        <v>0.82299999999999995</v>
      </c>
      <c r="N109" s="3478">
        <v>0.82299999999999995</v>
      </c>
    </row>
    <row r="110" spans="1:14">
      <c r="A110" s="3772"/>
      <c r="B110" s="3478">
        <v>5</v>
      </c>
      <c r="C110" s="3478">
        <v>0.89959999999999996</v>
      </c>
      <c r="D110" s="3478">
        <v>0.89959999999999996</v>
      </c>
      <c r="E110" s="3478">
        <v>0.84799999999999998</v>
      </c>
      <c r="F110" s="3478">
        <v>0.84799999999999998</v>
      </c>
      <c r="G110" s="3478">
        <v>0.84799999999999998</v>
      </c>
      <c r="H110" s="3478">
        <v>0.84799999999999998</v>
      </c>
      <c r="I110" s="3478">
        <v>0.84799999999999998</v>
      </c>
      <c r="J110" s="3478">
        <v>0.74980000000000002</v>
      </c>
      <c r="K110" s="3478">
        <v>0.74980000000000002</v>
      </c>
      <c r="L110" s="3478">
        <v>0.74980000000000002</v>
      </c>
      <c r="M110" s="3478">
        <v>0.74980000000000002</v>
      </c>
      <c r="N110" s="3478">
        <v>0.74980000000000002</v>
      </c>
    </row>
    <row r="111" spans="1:14">
      <c r="A111" s="3772"/>
      <c r="B111" s="3478" t="s">
        <v>3274</v>
      </c>
      <c r="C111" s="3396">
        <f>$I$3</f>
        <v>1</v>
      </c>
      <c r="D111" s="3396">
        <f t="shared" ref="D111:M111" si="34">$I$3</f>
        <v>1</v>
      </c>
      <c r="E111" s="3396">
        <f t="shared" si="34"/>
        <v>1</v>
      </c>
      <c r="F111" s="3396">
        <f t="shared" si="34"/>
        <v>1</v>
      </c>
      <c r="G111" s="3396">
        <f t="shared" si="34"/>
        <v>1</v>
      </c>
      <c r="H111" s="3396">
        <f t="shared" si="34"/>
        <v>1</v>
      </c>
      <c r="I111" s="3396">
        <f t="shared" si="34"/>
        <v>1</v>
      </c>
      <c r="J111" s="3396">
        <f t="shared" si="34"/>
        <v>1</v>
      </c>
      <c r="K111" s="3396">
        <f t="shared" si="34"/>
        <v>1</v>
      </c>
      <c r="L111" s="3396">
        <f t="shared" si="34"/>
        <v>1</v>
      </c>
      <c r="M111" s="3396">
        <f t="shared" si="34"/>
        <v>1</v>
      </c>
      <c r="N111" s="3396">
        <f>$I$3</f>
        <v>1</v>
      </c>
    </row>
    <row r="112" spans="1:14">
      <c r="A112" s="3773"/>
      <c r="B112" s="3478">
        <v>6</v>
      </c>
      <c r="C112" s="3388">
        <f>(-0.5556*(C111^2)-0.2719*C111+8944)*(10^(-4))</f>
        <v>0.89431725000000006</v>
      </c>
      <c r="D112" s="3388">
        <f>(-0.5556*(D111^2)-0.2719*D111+8944)*(10^(-4))</f>
        <v>0.89431725000000006</v>
      </c>
      <c r="E112" s="3388">
        <f>(-0.7912*(E111^2)-11.3794*E111+8482)*(10^(-4))</f>
        <v>0.84698294000000007</v>
      </c>
      <c r="F112" s="3388">
        <f t="shared" ref="F112:I112" si="35">(-0.7912*(F111^2)-11.3794*F111+8482)*(10^(-4))</f>
        <v>0.84698294000000007</v>
      </c>
      <c r="G112" s="3388">
        <f t="shared" si="35"/>
        <v>0.84698294000000007</v>
      </c>
      <c r="H112" s="3388">
        <f t="shared" si="35"/>
        <v>0.84698294000000007</v>
      </c>
      <c r="I112" s="3388">
        <f t="shared" si="35"/>
        <v>0.84698294000000007</v>
      </c>
      <c r="J112" s="3388">
        <f>(-0.989*(J111^2)-63.78*J111+7771)*(10^(-4))</f>
        <v>0.77062310000000001</v>
      </c>
      <c r="K112" s="3388">
        <f t="shared" ref="K112:N112" si="36">(-0.989*(K111^2)-63.78*K111+7771)*(10^(-4))</f>
        <v>0.77062310000000001</v>
      </c>
      <c r="L112" s="3388">
        <f t="shared" si="36"/>
        <v>0.77062310000000001</v>
      </c>
      <c r="M112" s="3388">
        <f t="shared" si="36"/>
        <v>0.77062310000000001</v>
      </c>
      <c r="N112" s="3388">
        <f t="shared" si="36"/>
        <v>0.77062310000000001</v>
      </c>
    </row>
    <row r="113" spans="1:14">
      <c r="A113" s="3774" t="s">
        <v>3317</v>
      </c>
      <c r="B113" s="3774"/>
      <c r="C113" s="3774"/>
      <c r="D113" s="3774"/>
      <c r="E113" s="3774"/>
      <c r="F113" s="3774"/>
      <c r="G113" s="3774"/>
      <c r="H113" s="3774"/>
      <c r="I113" s="3774"/>
      <c r="J113" s="3774"/>
      <c r="K113" s="3475"/>
      <c r="L113" s="3475"/>
      <c r="M113" s="3475"/>
      <c r="N113" s="3475"/>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t="e">
        <f>G3</f>
        <v>#DIV/0!</v>
      </c>
      <c r="C116" s="3400" t="s">
        <v>3319</v>
      </c>
      <c r="D116" s="3401" t="e">
        <f>SUMPRODUCT((A118:A122=F116)*(B117:M117=H116)*B118:M122)</f>
        <v>#DIV/0!</v>
      </c>
      <c r="E116" s="2000" t="s">
        <v>1936</v>
      </c>
      <c r="F116" s="3402" t="str">
        <f>E2</f>
        <v>商业</v>
      </c>
      <c r="G116" s="2000" t="s">
        <v>1937</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1990</v>
      </c>
      <c r="B118" s="3388" t="e">
        <f>ROUND(0.9968-0.011*B116,4)</f>
        <v>#DIV/0!</v>
      </c>
      <c r="C118" s="3388" t="e">
        <f>B118</f>
        <v>#DIV/0!</v>
      </c>
      <c r="D118" s="3388" t="e">
        <f>ROUND(0.949-0.014*B116,4)</f>
        <v>#DIV/0!</v>
      </c>
      <c r="E118" s="3388" t="e">
        <f>D118</f>
        <v>#DIV/0!</v>
      </c>
      <c r="F118" s="3388" t="e">
        <f>E118</f>
        <v>#DIV/0!</v>
      </c>
      <c r="G118" s="3388" t="e">
        <f>F118</f>
        <v>#DIV/0!</v>
      </c>
      <c r="H118" s="3388" t="e">
        <f>G118</f>
        <v>#DIV/0!</v>
      </c>
      <c r="I118" s="3388" t="e">
        <f>ROUND(0.8486-0.018*B116,4)</f>
        <v>#DIV/0!</v>
      </c>
      <c r="J118" s="3388" t="e">
        <f t="shared" ref="J118:M122" si="37">I118</f>
        <v>#DIV/0!</v>
      </c>
      <c r="K118" s="3388" t="e">
        <f t="shared" si="37"/>
        <v>#DIV/0!</v>
      </c>
      <c r="L118" s="3388" t="e">
        <f t="shared" si="37"/>
        <v>#DIV/0!</v>
      </c>
      <c r="M118" s="3411" t="e">
        <f t="shared" si="37"/>
        <v>#DIV/0!</v>
      </c>
      <c r="N118" s="3398"/>
    </row>
    <row r="119" spans="1:14">
      <c r="A119" s="3410" t="s">
        <v>3335</v>
      </c>
      <c r="B119" s="3388" t="e">
        <f>ROUND(0.993-0.0112*B116,4)</f>
        <v>#DIV/0!</v>
      </c>
      <c r="C119" s="3388" t="e">
        <f>B119</f>
        <v>#DIV/0!</v>
      </c>
      <c r="D119" s="3388" t="e">
        <f>ROUND(0.9415-0.0142*B116,4)</f>
        <v>#DIV/0!</v>
      </c>
      <c r="E119" s="3388" t="e">
        <f t="shared" ref="E119:H120" si="38">D119</f>
        <v>#DIV/0!</v>
      </c>
      <c r="F119" s="3388" t="e">
        <f t="shared" si="38"/>
        <v>#DIV/0!</v>
      </c>
      <c r="G119" s="3388" t="e">
        <f t="shared" si="38"/>
        <v>#DIV/0!</v>
      </c>
      <c r="H119" s="3388" t="e">
        <f t="shared" si="38"/>
        <v>#DIV/0!</v>
      </c>
      <c r="I119" s="3388" t="e">
        <f>ROUND(0.838-0.0182*B116,4)</f>
        <v>#DIV/0!</v>
      </c>
      <c r="J119" s="3388" t="e">
        <f t="shared" si="37"/>
        <v>#DIV/0!</v>
      </c>
      <c r="K119" s="3388" t="e">
        <f t="shared" si="37"/>
        <v>#DIV/0!</v>
      </c>
      <c r="L119" s="3388" t="e">
        <f t="shared" si="37"/>
        <v>#DIV/0!</v>
      </c>
      <c r="M119" s="3411" t="e">
        <f t="shared" si="37"/>
        <v>#DIV/0!</v>
      </c>
      <c r="N119" s="3398"/>
    </row>
    <row r="120" spans="1:14">
      <c r="A120" s="3410" t="s">
        <v>1992</v>
      </c>
      <c r="B120" s="3388" t="e">
        <f>ROUND(0.9448-0.0115*B116,4)</f>
        <v>#DIV/0!</v>
      </c>
      <c r="C120" s="3388" t="e">
        <f>B120</f>
        <v>#DIV/0!</v>
      </c>
      <c r="D120" s="3388" t="e">
        <f>ROUND(0.937-0.0145*B116,4)</f>
        <v>#DIV/0!</v>
      </c>
      <c r="E120" s="3388" t="e">
        <f t="shared" si="38"/>
        <v>#DIV/0!</v>
      </c>
      <c r="F120" s="3388" t="e">
        <f t="shared" si="38"/>
        <v>#DIV/0!</v>
      </c>
      <c r="G120" s="3388" t="e">
        <f t="shared" si="38"/>
        <v>#DIV/0!</v>
      </c>
      <c r="H120" s="3388" t="e">
        <f t="shared" si="38"/>
        <v>#DIV/0!</v>
      </c>
      <c r="I120" s="3388" t="e">
        <f>ROUND(0.7965-0.0185*B116,4)</f>
        <v>#DIV/0!</v>
      </c>
      <c r="J120" s="3388" t="e">
        <f t="shared" si="37"/>
        <v>#DIV/0!</v>
      </c>
      <c r="K120" s="3388" t="e">
        <f t="shared" si="37"/>
        <v>#DIV/0!</v>
      </c>
      <c r="L120" s="3388" t="e">
        <f t="shared" si="37"/>
        <v>#DIV/0!</v>
      </c>
      <c r="M120" s="3411" t="e">
        <f t="shared" si="37"/>
        <v>#DIV/0!</v>
      </c>
      <c r="N120" s="3398"/>
    </row>
    <row r="121" spans="1:14" ht="13.5" thickBot="1">
      <c r="A121" s="3412" t="s">
        <v>1993</v>
      </c>
      <c r="B121" s="3413" t="e">
        <f>ROUND(0.7836-0.012*B116,4)</f>
        <v>#DIV/0!</v>
      </c>
      <c r="C121" s="3413" t="e">
        <f>B121</f>
        <v>#DIV/0!</v>
      </c>
      <c r="D121" s="3413" t="e">
        <f>ROUND(0.753-0.015*B116,4)</f>
        <v>#DIV/0!</v>
      </c>
      <c r="E121" s="3413" t="e">
        <f>D121</f>
        <v>#DIV/0!</v>
      </c>
      <c r="F121" s="3413" t="e">
        <f>E121</f>
        <v>#DIV/0!</v>
      </c>
      <c r="G121" s="3413" t="e">
        <f>ROUND(0.6612-0.018*B116,4)</f>
        <v>#DIV/0!</v>
      </c>
      <c r="H121" s="3413" t="e">
        <f>G121</f>
        <v>#DIV/0!</v>
      </c>
      <c r="I121" s="3413" t="e">
        <f>ROUND(0.5905-0.019*B116,4)</f>
        <v>#DIV/0!</v>
      </c>
      <c r="J121" s="3413" t="e">
        <f t="shared" si="37"/>
        <v>#DIV/0!</v>
      </c>
      <c r="K121" s="3413" t="e">
        <f t="shared" si="37"/>
        <v>#DIV/0!</v>
      </c>
      <c r="L121" s="3413" t="e">
        <f t="shared" si="37"/>
        <v>#DIV/0!</v>
      </c>
      <c r="M121" s="3414" t="e">
        <f t="shared" si="37"/>
        <v>#DIV/0!</v>
      </c>
      <c r="N121" s="3398"/>
    </row>
    <row r="122" spans="1:14">
      <c r="A122" s="3415" t="s">
        <v>2615</v>
      </c>
      <c r="B122" s="3388" t="e">
        <f>ROUND(0.9404-0.0106*B116,4)</f>
        <v>#DIV/0!</v>
      </c>
      <c r="C122" s="3388" t="e">
        <f>B122</f>
        <v>#DIV/0!</v>
      </c>
      <c r="D122" s="3388" t="e">
        <f>ROUND(0.8955-0.0135*B116,4)</f>
        <v>#DIV/0!</v>
      </c>
      <c r="E122" s="3388" t="e">
        <f t="shared" ref="E122:H122" si="39">D122</f>
        <v>#DIV/0!</v>
      </c>
      <c r="F122" s="3388" t="e">
        <f t="shared" si="39"/>
        <v>#DIV/0!</v>
      </c>
      <c r="G122" s="3388" t="e">
        <f t="shared" si="39"/>
        <v>#DIV/0!</v>
      </c>
      <c r="H122" s="3388" t="e">
        <f t="shared" si="39"/>
        <v>#DIV/0!</v>
      </c>
      <c r="I122" s="3388" t="e">
        <f>ROUND(0.7632-0.0166*B116,4)</f>
        <v>#DIV/0!</v>
      </c>
      <c r="J122" s="3388" t="e">
        <f t="shared" si="37"/>
        <v>#DIV/0!</v>
      </c>
      <c r="K122" s="3388" t="e">
        <f t="shared" si="37"/>
        <v>#DIV/0!</v>
      </c>
      <c r="L122" s="3388" t="e">
        <f t="shared" si="37"/>
        <v>#DIV/0!</v>
      </c>
      <c r="M122" s="3411" t="e">
        <f t="shared" si="37"/>
        <v>#DIV/0!</v>
      </c>
      <c r="N122" s="3398"/>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99" t="s">
        <v>2610</v>
      </c>
      <c r="B20" s="3794" t="s">
        <v>2631</v>
      </c>
      <c r="C20" s="3103" t="s">
        <v>2442</v>
      </c>
      <c r="D20" s="3104"/>
      <c r="E20" s="3105">
        <v>1</v>
      </c>
      <c r="F20" s="3106" t="s">
        <v>2443</v>
      </c>
      <c r="G20" s="3106"/>
    </row>
    <row r="21" spans="1:13" ht="19.5" customHeight="1">
      <c r="A21" s="3800"/>
      <c r="B21" s="3793"/>
      <c r="C21" s="3107" t="s">
        <v>2444</v>
      </c>
      <c r="D21" s="3108"/>
      <c r="E21" s="3109">
        <v>1</v>
      </c>
      <c r="F21" s="3106" t="s">
        <v>2445</v>
      </c>
      <c r="G21" s="3106"/>
    </row>
    <row r="22" spans="1:13" ht="19.5" customHeight="1">
      <c r="A22" s="3800"/>
      <c r="B22" s="3793"/>
      <c r="C22" s="3107" t="s">
        <v>2446</v>
      </c>
      <c r="D22" s="3108"/>
      <c r="E22" s="3109">
        <v>0.9</v>
      </c>
      <c r="F22" s="3106" t="s">
        <v>2447</v>
      </c>
      <c r="G22" s="3106"/>
    </row>
    <row r="23" spans="1:13" ht="19.5" customHeight="1">
      <c r="A23" s="3800"/>
      <c r="B23" s="3793"/>
      <c r="C23" s="3107" t="s">
        <v>2448</v>
      </c>
      <c r="D23" s="3108"/>
      <c r="E23" s="3109">
        <v>0.9</v>
      </c>
      <c r="F23" s="3106" t="s">
        <v>2449</v>
      </c>
      <c r="G23" s="3106"/>
    </row>
    <row r="24" spans="1:13" ht="19.5" customHeight="1">
      <c r="A24" s="3800"/>
      <c r="B24" s="3793"/>
      <c r="C24" s="3107" t="s">
        <v>2450</v>
      </c>
      <c r="D24" s="3108"/>
      <c r="E24" s="3109">
        <v>0.8</v>
      </c>
      <c r="F24" s="3106" t="s">
        <v>2451</v>
      </c>
      <c r="G24" s="3106"/>
    </row>
    <row r="25" spans="1:13" ht="19.5" customHeight="1" thickBot="1">
      <c r="A25" s="3801"/>
      <c r="B25" s="3795"/>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96" t="s">
        <v>2634</v>
      </c>
      <c r="B27" s="3794" t="s">
        <v>2615</v>
      </c>
      <c r="C27" s="3103" t="s">
        <v>2455</v>
      </c>
      <c r="D27" s="3104"/>
      <c r="E27" s="3105">
        <v>1</v>
      </c>
      <c r="F27" s="3106" t="s">
        <v>2456</v>
      </c>
      <c r="G27" s="3106"/>
    </row>
    <row r="28" spans="1:13" ht="19.5" customHeight="1">
      <c r="A28" s="3797"/>
      <c r="B28" s="3793"/>
      <c r="C28" s="3107" t="s">
        <v>2457</v>
      </c>
      <c r="D28" s="3108"/>
      <c r="E28" s="3109">
        <v>1</v>
      </c>
      <c r="F28" s="3106" t="s">
        <v>2458</v>
      </c>
      <c r="G28" s="3106"/>
    </row>
    <row r="29" spans="1:13" ht="19.5" customHeight="1">
      <c r="A29" s="3797"/>
      <c r="B29" s="3793"/>
      <c r="C29" s="3107" t="s">
        <v>2459</v>
      </c>
      <c r="D29" s="3108"/>
      <c r="E29" s="3109">
        <v>0.8</v>
      </c>
      <c r="F29" s="3106" t="s">
        <v>2460</v>
      </c>
      <c r="G29" s="3106"/>
    </row>
    <row r="30" spans="1:13" ht="19.5" customHeight="1">
      <c r="A30" s="3797"/>
      <c r="B30" s="3793"/>
      <c r="C30" s="3107" t="s">
        <v>2461</v>
      </c>
      <c r="D30" s="3108"/>
      <c r="E30" s="3109">
        <v>0.8</v>
      </c>
      <c r="F30" s="3106" t="s">
        <v>2462</v>
      </c>
      <c r="G30" s="3106"/>
    </row>
    <row r="31" spans="1:13" ht="19.5" customHeight="1">
      <c r="A31" s="3797"/>
      <c r="B31" s="3793"/>
      <c r="C31" s="3107" t="s">
        <v>2463</v>
      </c>
      <c r="D31" s="3108"/>
      <c r="E31" s="3109">
        <v>0.8</v>
      </c>
      <c r="F31" s="3106" t="s">
        <v>2464</v>
      </c>
      <c r="G31" s="3106"/>
    </row>
    <row r="32" spans="1:13" ht="19.5" customHeight="1">
      <c r="A32" s="3797"/>
      <c r="B32" s="3793"/>
      <c r="C32" s="3107" t="s">
        <v>2465</v>
      </c>
      <c r="D32" s="3108"/>
      <c r="E32" s="3109">
        <v>0.7</v>
      </c>
      <c r="F32" s="3106" t="s">
        <v>2466</v>
      </c>
      <c r="G32" s="3106"/>
    </row>
    <row r="33" spans="1:7" ht="19.5" customHeight="1">
      <c r="A33" s="3797"/>
      <c r="B33" s="3793"/>
      <c r="C33" s="3107" t="s">
        <v>2467</v>
      </c>
      <c r="D33" s="3108"/>
      <c r="E33" s="3109">
        <v>0.8</v>
      </c>
      <c r="F33" s="3106" t="s">
        <v>2468</v>
      </c>
      <c r="G33" s="3106"/>
    </row>
    <row r="34" spans="1:7" ht="19.5" customHeight="1">
      <c r="A34" s="3797"/>
      <c r="B34" s="3793"/>
      <c r="C34" s="3107" t="s">
        <v>2469</v>
      </c>
      <c r="D34" s="3108"/>
      <c r="E34" s="3109">
        <v>0.6</v>
      </c>
      <c r="F34" s="3106" t="s">
        <v>2470</v>
      </c>
      <c r="G34" s="3106"/>
    </row>
    <row r="35" spans="1:7" ht="19.5" customHeight="1">
      <c r="A35" s="3797"/>
      <c r="B35" s="3793"/>
      <c r="C35" s="3107" t="s">
        <v>2471</v>
      </c>
      <c r="D35" s="3108"/>
      <c r="E35" s="3109">
        <v>0.2</v>
      </c>
      <c r="F35" s="3106" t="s">
        <v>2472</v>
      </c>
      <c r="G35" s="3106"/>
    </row>
    <row r="36" spans="1:7" ht="19.5" customHeight="1">
      <c r="A36" s="3797"/>
      <c r="B36" s="3793"/>
      <c r="C36" s="3107" t="s">
        <v>2473</v>
      </c>
      <c r="D36" s="3108"/>
      <c r="E36" s="3109">
        <v>0.2</v>
      </c>
      <c r="F36" s="3106" t="s">
        <v>2474</v>
      </c>
      <c r="G36" s="3106"/>
    </row>
    <row r="37" spans="1:7" ht="19.5" customHeight="1">
      <c r="A37" s="3797"/>
      <c r="B37" s="3791" t="s">
        <v>2635</v>
      </c>
      <c r="C37" s="3107" t="s">
        <v>2475</v>
      </c>
      <c r="D37" s="3108"/>
      <c r="E37" s="3109">
        <v>0.6</v>
      </c>
      <c r="F37" s="3106" t="s">
        <v>2476</v>
      </c>
      <c r="G37" s="3106"/>
    </row>
    <row r="38" spans="1:7" ht="19.5" customHeight="1">
      <c r="A38" s="3797"/>
      <c r="B38" s="3793"/>
      <c r="C38" s="3107" t="s">
        <v>2477</v>
      </c>
      <c r="D38" s="3108"/>
      <c r="E38" s="3109">
        <v>0.6</v>
      </c>
      <c r="F38" s="3106" t="s">
        <v>2478</v>
      </c>
      <c r="G38" s="3106"/>
    </row>
    <row r="39" spans="1:7" ht="19.5" customHeight="1" thickBot="1">
      <c r="A39" s="3798"/>
      <c r="B39" s="3795"/>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99" t="s">
        <v>2613</v>
      </c>
      <c r="B41" s="3794" t="s">
        <v>2637</v>
      </c>
      <c r="C41" s="3103" t="s">
        <v>2482</v>
      </c>
      <c r="D41" s="3104"/>
      <c r="E41" s="3105">
        <v>1</v>
      </c>
      <c r="F41" s="3106" t="s">
        <v>2483</v>
      </c>
      <c r="G41" s="3106"/>
    </row>
    <row r="42" spans="1:7" ht="19.5" customHeight="1">
      <c r="A42" s="3800"/>
      <c r="B42" s="3793"/>
      <c r="C42" s="3107" t="s">
        <v>2484</v>
      </c>
      <c r="D42" s="3108"/>
      <c r="E42" s="3109">
        <v>1</v>
      </c>
      <c r="F42" s="3106" t="s">
        <v>2485</v>
      </c>
      <c r="G42" s="3106"/>
    </row>
    <row r="43" spans="1:7" ht="19.5" customHeight="1">
      <c r="A43" s="3800"/>
      <c r="B43" s="3792"/>
      <c r="C43" s="3107" t="s">
        <v>2486</v>
      </c>
      <c r="D43" s="3108"/>
      <c r="E43" s="3109">
        <v>1.5</v>
      </c>
      <c r="F43" s="3106" t="s">
        <v>2487</v>
      </c>
      <c r="G43" s="3106"/>
    </row>
    <row r="44" spans="1:7" ht="19.5" customHeight="1">
      <c r="A44" s="3800"/>
      <c r="B44" s="3118" t="s">
        <v>2638</v>
      </c>
      <c r="C44" s="3107" t="s">
        <v>2639</v>
      </c>
      <c r="D44" s="3108"/>
      <c r="E44" s="3109">
        <v>2</v>
      </c>
      <c r="F44" s="3106" t="s">
        <v>2488</v>
      </c>
      <c r="G44" s="3106"/>
    </row>
    <row r="45" spans="1:7" ht="19.5" customHeight="1">
      <c r="A45" s="3800"/>
      <c r="B45" s="3791" t="s">
        <v>2640</v>
      </c>
      <c r="C45" s="3107" t="s">
        <v>2489</v>
      </c>
      <c r="D45" s="3108"/>
      <c r="E45" s="3109">
        <v>1</v>
      </c>
      <c r="F45" s="3106" t="s">
        <v>2490</v>
      </c>
      <c r="G45" s="3106"/>
    </row>
    <row r="46" spans="1:7" ht="19.5" customHeight="1">
      <c r="A46" s="3800"/>
      <c r="B46" s="3793"/>
      <c r="C46" s="3107" t="s">
        <v>2491</v>
      </c>
      <c r="D46" s="3108"/>
      <c r="E46" s="3109">
        <v>1</v>
      </c>
      <c r="F46" s="3106" t="s">
        <v>2492</v>
      </c>
      <c r="G46" s="3106"/>
    </row>
    <row r="47" spans="1:7" ht="19.5" customHeight="1">
      <c r="A47" s="3800"/>
      <c r="B47" s="3793"/>
      <c r="C47" s="3107" t="s">
        <v>2493</v>
      </c>
      <c r="D47" s="3108"/>
      <c r="E47" s="3109">
        <v>1</v>
      </c>
      <c r="F47" s="3106" t="s">
        <v>2494</v>
      </c>
      <c r="G47" s="3106"/>
    </row>
    <row r="48" spans="1:7" ht="19.5" customHeight="1">
      <c r="A48" s="3800"/>
      <c r="B48" s="3793"/>
      <c r="C48" s="3107" t="s">
        <v>2495</v>
      </c>
      <c r="D48" s="3108"/>
      <c r="E48" s="3109">
        <v>1</v>
      </c>
      <c r="F48" s="3106" t="s">
        <v>2496</v>
      </c>
      <c r="G48" s="3106"/>
    </row>
    <row r="49" spans="1:7" ht="19.5" customHeight="1">
      <c r="A49" s="3800"/>
      <c r="B49" s="3793"/>
      <c r="C49" s="3107" t="s">
        <v>2497</v>
      </c>
      <c r="D49" s="3108"/>
      <c r="E49" s="3109">
        <v>1</v>
      </c>
      <c r="F49" s="3106" t="s">
        <v>2498</v>
      </c>
      <c r="G49" s="3106"/>
    </row>
    <row r="50" spans="1:7" ht="19.5" customHeight="1">
      <c r="A50" s="3800"/>
      <c r="B50" s="3793"/>
      <c r="C50" s="3107" t="s">
        <v>2499</v>
      </c>
      <c r="D50" s="3108"/>
      <c r="E50" s="3109">
        <v>1</v>
      </c>
      <c r="F50" s="3106" t="s">
        <v>2500</v>
      </c>
      <c r="G50" s="3106"/>
    </row>
    <row r="51" spans="1:7" ht="19.5" customHeight="1" thickBot="1">
      <c r="A51" s="3801"/>
      <c r="B51" s="3795"/>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91" t="s">
        <v>2654</v>
      </c>
      <c r="C73" s="3092" t="s">
        <v>2655</v>
      </c>
      <c r="D73" s="3092" t="s">
        <v>2656</v>
      </c>
      <c r="E73" s="3118">
        <v>0.2</v>
      </c>
      <c r="F73" s="3118">
        <v>25</v>
      </c>
    </row>
    <row r="74" spans="1:7" ht="24">
      <c r="A74" s="3118">
        <v>2</v>
      </c>
      <c r="B74" s="3793"/>
      <c r="C74" s="3092" t="s">
        <v>2657</v>
      </c>
      <c r="D74" s="3092" t="s">
        <v>2658</v>
      </c>
      <c r="E74" s="3118">
        <v>0.2</v>
      </c>
      <c r="F74" s="3118">
        <v>25</v>
      </c>
    </row>
    <row r="75" spans="1:7" ht="24">
      <c r="A75" s="3118">
        <v>3</v>
      </c>
      <c r="B75" s="3793"/>
      <c r="C75" s="3092" t="s">
        <v>2659</v>
      </c>
      <c r="D75" s="3092" t="s">
        <v>2660</v>
      </c>
      <c r="E75" s="3118">
        <v>0.2</v>
      </c>
      <c r="F75" s="3118">
        <v>25</v>
      </c>
    </row>
    <row r="76" spans="1:7" ht="13.5">
      <c r="A76" s="3118">
        <v>4</v>
      </c>
      <c r="B76" s="3793"/>
      <c r="C76" s="3092" t="s">
        <v>2661</v>
      </c>
      <c r="D76" s="3092" t="s">
        <v>2662</v>
      </c>
      <c r="E76" s="3118">
        <v>0.15</v>
      </c>
      <c r="F76" s="3118">
        <v>20</v>
      </c>
    </row>
    <row r="77" spans="1:7" ht="24">
      <c r="A77" s="3118">
        <v>5</v>
      </c>
      <c r="B77" s="3793"/>
      <c r="C77" s="3092" t="s">
        <v>2663</v>
      </c>
      <c r="D77" s="3092" t="s">
        <v>2664</v>
      </c>
      <c r="E77" s="3118">
        <v>0.15</v>
      </c>
      <c r="F77" s="3118">
        <v>20</v>
      </c>
    </row>
    <row r="78" spans="1:7" ht="24">
      <c r="A78" s="3118">
        <v>6</v>
      </c>
      <c r="B78" s="3793"/>
      <c r="C78" s="3092" t="s">
        <v>2665</v>
      </c>
      <c r="D78" s="3092" t="s">
        <v>2666</v>
      </c>
      <c r="E78" s="3118">
        <v>0.15</v>
      </c>
      <c r="F78" s="3118">
        <v>20</v>
      </c>
    </row>
    <row r="79" spans="1:7" ht="24">
      <c r="A79" s="3118">
        <v>7</v>
      </c>
      <c r="B79" s="3793"/>
      <c r="C79" s="3092" t="s">
        <v>2667</v>
      </c>
      <c r="D79" s="3092" t="s">
        <v>2668</v>
      </c>
      <c r="E79" s="3118">
        <v>0.15</v>
      </c>
      <c r="F79" s="3118">
        <v>20</v>
      </c>
    </row>
    <row r="80" spans="1:7" ht="24">
      <c r="A80" s="3118">
        <v>8</v>
      </c>
      <c r="B80" s="3793"/>
      <c r="C80" s="3092" t="s">
        <v>2669</v>
      </c>
      <c r="D80" s="3092" t="s">
        <v>2670</v>
      </c>
      <c r="E80" s="3118">
        <v>0.1</v>
      </c>
      <c r="F80" s="3118">
        <v>15</v>
      </c>
    </row>
    <row r="81" spans="1:6" ht="24">
      <c r="A81" s="3118">
        <v>9</v>
      </c>
      <c r="B81" s="3793"/>
      <c r="C81" s="3092" t="s">
        <v>2671</v>
      </c>
      <c r="D81" s="3092" t="s">
        <v>2672</v>
      </c>
      <c r="E81" s="3118">
        <v>0.1</v>
      </c>
      <c r="F81" s="3118">
        <v>15</v>
      </c>
    </row>
    <row r="82" spans="1:6" ht="24">
      <c r="A82" s="3118">
        <v>10</v>
      </c>
      <c r="B82" s="3793"/>
      <c r="C82" s="3092" t="s">
        <v>2673</v>
      </c>
      <c r="D82" s="3092" t="s">
        <v>2674</v>
      </c>
      <c r="E82" s="3118">
        <v>0.1</v>
      </c>
      <c r="F82" s="3118">
        <v>15</v>
      </c>
    </row>
    <row r="83" spans="1:6" ht="24">
      <c r="A83" s="3118">
        <v>11</v>
      </c>
      <c r="B83" s="3793"/>
      <c r="C83" s="3092" t="s">
        <v>2675</v>
      </c>
      <c r="D83" s="3092" t="s">
        <v>2676</v>
      </c>
      <c r="E83" s="3118">
        <v>0.1</v>
      </c>
      <c r="F83" s="3118">
        <v>15</v>
      </c>
    </row>
    <row r="84" spans="1:6" ht="24">
      <c r="A84" s="3118">
        <v>12</v>
      </c>
      <c r="B84" s="3793"/>
      <c r="C84" s="3092" t="s">
        <v>2677</v>
      </c>
      <c r="D84" s="3092" t="s">
        <v>2678</v>
      </c>
      <c r="E84" s="3118">
        <v>0.1</v>
      </c>
      <c r="F84" s="3118">
        <v>15</v>
      </c>
    </row>
    <row r="85" spans="1:6" ht="13.5">
      <c r="A85" s="3118">
        <v>13</v>
      </c>
      <c r="B85" s="3793"/>
      <c r="C85" s="3092" t="s">
        <v>2679</v>
      </c>
      <c r="D85" s="3092" t="s">
        <v>2680</v>
      </c>
      <c r="E85" s="3118">
        <v>0.1</v>
      </c>
      <c r="F85" s="3118">
        <v>15</v>
      </c>
    </row>
    <row r="86" spans="1:6" ht="13.5">
      <c r="A86" s="3118">
        <v>14</v>
      </c>
      <c r="B86" s="3793"/>
      <c r="C86" s="3092" t="s">
        <v>2681</v>
      </c>
      <c r="D86" s="3092" t="s">
        <v>2682</v>
      </c>
      <c r="E86" s="3118">
        <v>0.1</v>
      </c>
      <c r="F86" s="3118">
        <v>15</v>
      </c>
    </row>
    <row r="87" spans="1:6" ht="13.5">
      <c r="A87" s="3118">
        <v>15</v>
      </c>
      <c r="B87" s="3793"/>
      <c r="C87" s="3092" t="s">
        <v>2683</v>
      </c>
      <c r="D87" s="3092" t="s">
        <v>2684</v>
      </c>
      <c r="E87" s="3118">
        <v>0.1</v>
      </c>
      <c r="F87" s="3118">
        <v>15</v>
      </c>
    </row>
    <row r="88" spans="1:6" ht="24">
      <c r="A88" s="3118">
        <v>16</v>
      </c>
      <c r="B88" s="3793"/>
      <c r="C88" s="3092" t="s">
        <v>2685</v>
      </c>
      <c r="D88" s="3092" t="s">
        <v>2686</v>
      </c>
      <c r="E88" s="3118">
        <v>0.1</v>
      </c>
      <c r="F88" s="3118">
        <v>15</v>
      </c>
    </row>
    <row r="89" spans="1:6" ht="24">
      <c r="A89" s="3118">
        <v>17</v>
      </c>
      <c r="B89" s="3792"/>
      <c r="C89" s="3092" t="s">
        <v>2687</v>
      </c>
      <c r="D89" s="3092" t="s">
        <v>2688</v>
      </c>
      <c r="E89" s="3118">
        <v>0.1</v>
      </c>
      <c r="F89" s="3118">
        <v>15</v>
      </c>
    </row>
    <row r="90" spans="1:6" ht="13.5">
      <c r="A90" s="3118">
        <v>18</v>
      </c>
      <c r="B90" s="3791" t="s">
        <v>2689</v>
      </c>
      <c r="C90" s="3092" t="s">
        <v>2690</v>
      </c>
      <c r="D90" s="3092" t="s">
        <v>2691</v>
      </c>
      <c r="E90" s="3118">
        <v>0.2</v>
      </c>
      <c r="F90" s="3118">
        <v>25</v>
      </c>
    </row>
    <row r="91" spans="1:6" ht="24">
      <c r="A91" s="3118">
        <v>19</v>
      </c>
      <c r="B91" s="3793"/>
      <c r="C91" s="3092" t="s">
        <v>2692</v>
      </c>
      <c r="D91" s="3092" t="s">
        <v>2693</v>
      </c>
      <c r="E91" s="3118">
        <v>0.2</v>
      </c>
      <c r="F91" s="3118">
        <v>25</v>
      </c>
    </row>
    <row r="92" spans="1:6" ht="13.5">
      <c r="A92" s="3118">
        <v>20</v>
      </c>
      <c r="B92" s="3793"/>
      <c r="C92" s="3092" t="s">
        <v>2694</v>
      </c>
      <c r="D92" s="3092" t="s">
        <v>2695</v>
      </c>
      <c r="E92" s="3118">
        <v>0.15</v>
      </c>
      <c r="F92" s="3118">
        <v>20</v>
      </c>
    </row>
    <row r="93" spans="1:6" ht="13.5">
      <c r="A93" s="3118">
        <v>21</v>
      </c>
      <c r="B93" s="3793"/>
      <c r="C93" s="3092" t="s">
        <v>2696</v>
      </c>
      <c r="D93" s="3092" t="s">
        <v>2697</v>
      </c>
      <c r="E93" s="3118">
        <v>0.15</v>
      </c>
      <c r="F93" s="3118">
        <v>20</v>
      </c>
    </row>
    <row r="94" spans="1:6" ht="13.5">
      <c r="A94" s="3118">
        <v>22</v>
      </c>
      <c r="B94" s="3793"/>
      <c r="C94" s="3092" t="s">
        <v>2698</v>
      </c>
      <c r="D94" s="3092" t="s">
        <v>2699</v>
      </c>
      <c r="E94" s="3118">
        <v>0.15</v>
      </c>
      <c r="F94" s="3118">
        <v>20</v>
      </c>
    </row>
    <row r="95" spans="1:6" ht="36">
      <c r="A95" s="3118">
        <v>23</v>
      </c>
      <c r="B95" s="3793"/>
      <c r="C95" s="3092" t="s">
        <v>2700</v>
      </c>
      <c r="D95" s="3092" t="s">
        <v>2701</v>
      </c>
      <c r="E95" s="3118">
        <v>0.15</v>
      </c>
      <c r="F95" s="3118">
        <v>20</v>
      </c>
    </row>
    <row r="96" spans="1:6" ht="13.5">
      <c r="A96" s="3118">
        <v>24</v>
      </c>
      <c r="B96" s="3793"/>
      <c r="C96" s="3092" t="s">
        <v>2702</v>
      </c>
      <c r="D96" s="3092" t="s">
        <v>2703</v>
      </c>
      <c r="E96" s="3118">
        <v>0.1</v>
      </c>
      <c r="F96" s="3118">
        <v>15</v>
      </c>
    </row>
    <row r="97" spans="1:6" ht="13.5">
      <c r="A97" s="3118">
        <v>25</v>
      </c>
      <c r="B97" s="3793"/>
      <c r="C97" s="3092" t="s">
        <v>2704</v>
      </c>
      <c r="D97" s="3092" t="s">
        <v>2705</v>
      </c>
      <c r="E97" s="3118">
        <v>0.1</v>
      </c>
      <c r="F97" s="3118">
        <v>15</v>
      </c>
    </row>
    <row r="98" spans="1:6" ht="24">
      <c r="A98" s="3118">
        <v>26</v>
      </c>
      <c r="B98" s="3793"/>
      <c r="C98" s="3092" t="s">
        <v>2706</v>
      </c>
      <c r="D98" s="3092" t="s">
        <v>2707</v>
      </c>
      <c r="E98" s="3118">
        <v>0.1</v>
      </c>
      <c r="F98" s="3118">
        <v>15</v>
      </c>
    </row>
    <row r="99" spans="1:6" ht="24">
      <c r="A99" s="3118">
        <v>27</v>
      </c>
      <c r="B99" s="3793"/>
      <c r="C99" s="3092" t="s">
        <v>2708</v>
      </c>
      <c r="D99" s="3092" t="s">
        <v>2709</v>
      </c>
      <c r="E99" s="3118">
        <v>0.1</v>
      </c>
      <c r="F99" s="3118">
        <v>15</v>
      </c>
    </row>
    <row r="100" spans="1:6" ht="13.5">
      <c r="A100" s="3118">
        <v>28</v>
      </c>
      <c r="B100" s="3793"/>
      <c r="C100" s="3092" t="s">
        <v>2710</v>
      </c>
      <c r="D100" s="3092" t="s">
        <v>2711</v>
      </c>
      <c r="E100" s="3118">
        <v>0.1</v>
      </c>
      <c r="F100" s="3118">
        <v>15</v>
      </c>
    </row>
    <row r="101" spans="1:6" ht="13.5">
      <c r="A101" s="3118">
        <v>29</v>
      </c>
      <c r="B101" s="3793"/>
      <c r="C101" s="3092" t="s">
        <v>2712</v>
      </c>
      <c r="D101" s="3092" t="s">
        <v>2713</v>
      </c>
      <c r="E101" s="3118">
        <v>0.1</v>
      </c>
      <c r="F101" s="3118">
        <v>15</v>
      </c>
    </row>
    <row r="102" spans="1:6" ht="13.5">
      <c r="A102" s="3118">
        <v>30</v>
      </c>
      <c r="B102" s="3793"/>
      <c r="C102" s="3092" t="s">
        <v>2714</v>
      </c>
      <c r="D102" s="3092" t="s">
        <v>2715</v>
      </c>
      <c r="E102" s="3118">
        <v>0.1</v>
      </c>
      <c r="F102" s="3118">
        <v>15</v>
      </c>
    </row>
    <row r="103" spans="1:6" ht="24">
      <c r="A103" s="3118">
        <v>31</v>
      </c>
      <c r="B103" s="3793"/>
      <c r="C103" s="3092" t="s">
        <v>2716</v>
      </c>
      <c r="D103" s="3092" t="s">
        <v>2717</v>
      </c>
      <c r="E103" s="3118">
        <v>0.1</v>
      </c>
      <c r="F103" s="3118">
        <v>15</v>
      </c>
    </row>
    <row r="104" spans="1:6" ht="24">
      <c r="A104" s="3118">
        <v>32</v>
      </c>
      <c r="B104" s="3793"/>
      <c r="C104" s="3092" t="s">
        <v>2718</v>
      </c>
      <c r="D104" s="3092" t="s">
        <v>2719</v>
      </c>
      <c r="E104" s="3118">
        <v>0.1</v>
      </c>
      <c r="F104" s="3118">
        <v>15</v>
      </c>
    </row>
    <row r="105" spans="1:6" ht="24">
      <c r="A105" s="3118">
        <v>33</v>
      </c>
      <c r="B105" s="3793"/>
      <c r="C105" s="3092" t="s">
        <v>2720</v>
      </c>
      <c r="D105" s="3092" t="s">
        <v>2721</v>
      </c>
      <c r="E105" s="3118">
        <v>0.1</v>
      </c>
      <c r="F105" s="3118">
        <v>15</v>
      </c>
    </row>
    <row r="106" spans="1:6" ht="24">
      <c r="A106" s="3118">
        <v>34</v>
      </c>
      <c r="B106" s="3792"/>
      <c r="C106" s="3092" t="s">
        <v>2722</v>
      </c>
      <c r="D106" s="3092" t="s">
        <v>2723</v>
      </c>
      <c r="E106" s="3118">
        <v>0.1</v>
      </c>
      <c r="F106" s="3118">
        <v>15</v>
      </c>
    </row>
    <row r="107" spans="1:6" ht="24">
      <c r="A107" s="3118">
        <v>35</v>
      </c>
      <c r="B107" s="3791" t="s">
        <v>2724</v>
      </c>
      <c r="C107" s="3118" t="s">
        <v>2725</v>
      </c>
      <c r="D107" s="3092" t="s">
        <v>2726</v>
      </c>
      <c r="E107" s="3118">
        <v>0.15</v>
      </c>
      <c r="F107" s="3118">
        <v>20</v>
      </c>
    </row>
    <row r="108" spans="1:6" ht="13.5">
      <c r="A108" s="3118">
        <v>36</v>
      </c>
      <c r="B108" s="3793"/>
      <c r="C108" s="3118" t="s">
        <v>2727</v>
      </c>
      <c r="D108" s="3092" t="s">
        <v>2728</v>
      </c>
      <c r="E108" s="3118">
        <v>0.15</v>
      </c>
      <c r="F108" s="3118">
        <v>20</v>
      </c>
    </row>
    <row r="109" spans="1:6" ht="13.5">
      <c r="A109" s="3118">
        <v>37</v>
      </c>
      <c r="B109" s="3793"/>
      <c r="C109" s="3118" t="s">
        <v>2729</v>
      </c>
      <c r="D109" s="3092" t="s">
        <v>2730</v>
      </c>
      <c r="E109" s="3118">
        <v>0.15</v>
      </c>
      <c r="F109" s="3118">
        <v>20</v>
      </c>
    </row>
    <row r="110" spans="1:6" ht="13.5">
      <c r="A110" s="3118">
        <v>38</v>
      </c>
      <c r="B110" s="3793"/>
      <c r="C110" s="3118" t="s">
        <v>2731</v>
      </c>
      <c r="D110" s="3092" t="s">
        <v>2732</v>
      </c>
      <c r="E110" s="3118">
        <v>0.1</v>
      </c>
      <c r="F110" s="3118">
        <v>15</v>
      </c>
    </row>
    <row r="111" spans="1:6" ht="24">
      <c r="A111" s="3118">
        <v>39</v>
      </c>
      <c r="B111" s="3793"/>
      <c r="C111" s="3118" t="s">
        <v>2733</v>
      </c>
      <c r="D111" s="3092" t="s">
        <v>2734</v>
      </c>
      <c r="E111" s="3118">
        <v>0.1</v>
      </c>
      <c r="F111" s="3118">
        <v>15</v>
      </c>
    </row>
    <row r="112" spans="1:6" ht="24">
      <c r="A112" s="3118">
        <v>40</v>
      </c>
      <c r="B112" s="3792"/>
      <c r="C112" s="3118" t="s">
        <v>2735</v>
      </c>
      <c r="D112" s="3092" t="s">
        <v>2736</v>
      </c>
      <c r="E112" s="3118">
        <v>0.1</v>
      </c>
      <c r="F112" s="3118">
        <v>15</v>
      </c>
    </row>
    <row r="113" spans="1:6" ht="13.5">
      <c r="A113" s="3118">
        <v>41</v>
      </c>
      <c r="B113" s="3790" t="s">
        <v>2737</v>
      </c>
      <c r="C113" s="3118" t="s">
        <v>2738</v>
      </c>
      <c r="D113" s="3092" t="s">
        <v>2739</v>
      </c>
      <c r="E113" s="3118">
        <v>0.1</v>
      </c>
      <c r="F113" s="3118">
        <v>15</v>
      </c>
    </row>
    <row r="114" spans="1:6" ht="13.5">
      <c r="A114" s="3118">
        <v>42</v>
      </c>
      <c r="B114" s="3790"/>
      <c r="C114" s="3118" t="s">
        <v>2740</v>
      </c>
      <c r="D114" s="3092" t="s">
        <v>2741</v>
      </c>
      <c r="E114" s="3118">
        <v>0.1</v>
      </c>
      <c r="F114" s="3118">
        <v>15</v>
      </c>
    </row>
    <row r="115" spans="1:6" ht="24">
      <c r="A115" s="3118">
        <v>43</v>
      </c>
      <c r="B115" s="3790"/>
      <c r="C115" s="3118" t="s">
        <v>2742</v>
      </c>
      <c r="D115" s="3092" t="s">
        <v>2743</v>
      </c>
      <c r="E115" s="3118">
        <v>0.1</v>
      </c>
      <c r="F115" s="3118">
        <v>15</v>
      </c>
    </row>
    <row r="116" spans="1:6" ht="13.5">
      <c r="A116" s="3118">
        <v>44</v>
      </c>
      <c r="B116" s="3791" t="s">
        <v>2744</v>
      </c>
      <c r="C116" s="3118" t="s">
        <v>2745</v>
      </c>
      <c r="D116" s="3092" t="s">
        <v>2746</v>
      </c>
      <c r="E116" s="3118">
        <v>0.1</v>
      </c>
      <c r="F116" s="3118">
        <v>15</v>
      </c>
    </row>
    <row r="117" spans="1:6" ht="24">
      <c r="A117" s="3118">
        <v>45</v>
      </c>
      <c r="B117" s="3792"/>
      <c r="C117" s="3092" t="s">
        <v>2747</v>
      </c>
      <c r="D117" s="3092" t="s">
        <v>2748</v>
      </c>
      <c r="E117" s="3118">
        <v>0.1</v>
      </c>
      <c r="F117" s="3118">
        <v>15</v>
      </c>
    </row>
    <row r="118" spans="1:6" ht="24">
      <c r="A118" s="3118">
        <v>46</v>
      </c>
      <c r="B118" s="3791" t="s">
        <v>2749</v>
      </c>
      <c r="C118" s="3118" t="s">
        <v>2750</v>
      </c>
      <c r="D118" s="3092" t="s">
        <v>2751</v>
      </c>
      <c r="E118" s="3118">
        <v>0.1</v>
      </c>
      <c r="F118" s="3118">
        <v>15</v>
      </c>
    </row>
    <row r="119" spans="1:6" ht="24">
      <c r="A119" s="3118">
        <v>47</v>
      </c>
      <c r="B119" s="3792"/>
      <c r="C119" s="3118" t="s">
        <v>2752</v>
      </c>
      <c r="D119" s="3092" t="s">
        <v>2753</v>
      </c>
      <c r="E119" s="3118">
        <v>0.1</v>
      </c>
      <c r="F119" s="3118">
        <v>15</v>
      </c>
    </row>
    <row r="120" spans="1:6" ht="13.5">
      <c r="A120" s="3118">
        <v>48</v>
      </c>
      <c r="B120" s="3791" t="s">
        <v>2754</v>
      </c>
      <c r="C120" s="3118" t="s">
        <v>2755</v>
      </c>
      <c r="D120" s="3092" t="s">
        <v>2756</v>
      </c>
      <c r="E120" s="3118">
        <v>0.1</v>
      </c>
      <c r="F120" s="3118">
        <v>15</v>
      </c>
    </row>
    <row r="121" spans="1:6" ht="13.5">
      <c r="A121" s="3118">
        <v>49</v>
      </c>
      <c r="B121" s="3792"/>
      <c r="C121" s="3118" t="s">
        <v>2757</v>
      </c>
      <c r="D121" s="3092" t="s">
        <v>2758</v>
      </c>
      <c r="E121" s="3118">
        <v>0.1</v>
      </c>
      <c r="F121" s="3118">
        <v>15</v>
      </c>
    </row>
    <row r="122" spans="1:6" ht="24">
      <c r="A122" s="3118">
        <v>50</v>
      </c>
      <c r="B122" s="3790" t="s">
        <v>2759</v>
      </c>
      <c r="C122" s="3118" t="s">
        <v>2760</v>
      </c>
      <c r="D122" s="3092" t="s">
        <v>2761</v>
      </c>
      <c r="E122" s="3118">
        <v>0.1</v>
      </c>
      <c r="F122" s="3118">
        <v>15</v>
      </c>
    </row>
    <row r="123" spans="1:6" ht="24">
      <c r="A123" s="3118">
        <v>51</v>
      </c>
      <c r="B123" s="3790"/>
      <c r="C123" s="3118" t="s">
        <v>2762</v>
      </c>
      <c r="D123" s="3092" t="s">
        <v>2763</v>
      </c>
      <c r="E123" s="3118">
        <v>0.1</v>
      </c>
      <c r="F123" s="3118">
        <v>15</v>
      </c>
    </row>
    <row r="124" spans="1:6" ht="24">
      <c r="A124" s="3118">
        <v>52</v>
      </c>
      <c r="B124" s="3790" t="s">
        <v>2764</v>
      </c>
      <c r="C124" s="3118" t="s">
        <v>2765</v>
      </c>
      <c r="D124" s="3092" t="s">
        <v>2766</v>
      </c>
      <c r="E124" s="3118">
        <v>0.1</v>
      </c>
      <c r="F124" s="3118">
        <v>15</v>
      </c>
    </row>
    <row r="125" spans="1:6" ht="24">
      <c r="A125" s="3118">
        <v>53</v>
      </c>
      <c r="B125" s="3790"/>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90" t="s">
        <v>2772</v>
      </c>
      <c r="C127" s="3118" t="s">
        <v>2773</v>
      </c>
      <c r="D127" s="3092" t="s">
        <v>2774</v>
      </c>
      <c r="E127" s="3118">
        <v>0.1</v>
      </c>
      <c r="F127" s="3118">
        <v>15</v>
      </c>
    </row>
    <row r="128" spans="1:6" ht="13.5">
      <c r="A128" s="3118">
        <v>56</v>
      </c>
      <c r="B128" s="3790"/>
      <c r="C128" s="3118" t="s">
        <v>2775</v>
      </c>
      <c r="D128" s="3092" t="s">
        <v>2776</v>
      </c>
      <c r="E128" s="3118">
        <v>0.1</v>
      </c>
      <c r="F128" s="3118">
        <v>15</v>
      </c>
    </row>
    <row r="129" spans="1:6" ht="24">
      <c r="A129" s="3118">
        <v>57</v>
      </c>
      <c r="B129" s="3790"/>
      <c r="C129" s="3118" t="s">
        <v>2777</v>
      </c>
      <c r="D129" s="3092" t="s">
        <v>2778</v>
      </c>
      <c r="E129" s="3118">
        <v>0.1</v>
      </c>
      <c r="F129" s="3118">
        <v>15</v>
      </c>
    </row>
    <row r="130" spans="1:6" ht="24">
      <c r="A130" s="3118">
        <v>58</v>
      </c>
      <c r="B130" s="3790" t="s">
        <v>2779</v>
      </c>
      <c r="C130" s="3118" t="s">
        <v>2780</v>
      </c>
      <c r="D130" s="3092" t="s">
        <v>2781</v>
      </c>
      <c r="E130" s="3118">
        <v>0.1</v>
      </c>
      <c r="F130" s="3118">
        <v>15</v>
      </c>
    </row>
    <row r="131" spans="1:6" ht="13.5">
      <c r="A131" s="3118">
        <v>59</v>
      </c>
      <c r="B131" s="3790"/>
      <c r="C131" s="3118" t="s">
        <v>2782</v>
      </c>
      <c r="D131" s="3092" t="s">
        <v>2783</v>
      </c>
      <c r="E131" s="3118">
        <v>0.1</v>
      </c>
      <c r="F131" s="3118">
        <v>15</v>
      </c>
    </row>
    <row r="132" spans="1:6" ht="13.5">
      <c r="A132" s="3118">
        <v>60</v>
      </c>
      <c r="B132" s="3791" t="s">
        <v>2784</v>
      </c>
      <c r="C132" s="3118" t="s">
        <v>2785</v>
      </c>
      <c r="D132" s="3092" t="s">
        <v>2786</v>
      </c>
      <c r="E132" s="3118">
        <v>0.1</v>
      </c>
      <c r="F132" s="3118">
        <v>15</v>
      </c>
    </row>
    <row r="133" spans="1:6" ht="13.5">
      <c r="A133" s="3118">
        <v>61</v>
      </c>
      <c r="B133" s="3792"/>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90" t="s">
        <v>2792</v>
      </c>
      <c r="C135" s="3118" t="s">
        <v>2793</v>
      </c>
      <c r="D135" s="3092" t="s">
        <v>2794</v>
      </c>
      <c r="E135" s="3118">
        <v>0.1</v>
      </c>
      <c r="F135" s="3118">
        <v>15</v>
      </c>
    </row>
    <row r="136" spans="1:6" ht="13.5">
      <c r="A136" s="3118">
        <v>64</v>
      </c>
      <c r="B136" s="3790"/>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0.96950000000000003</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0.92220000000000002</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31280</v>
      </c>
      <c r="C2" s="2" t="s">
        <v>106</v>
      </c>
      <c r="D2" s="199"/>
      <c r="E2" s="199"/>
      <c r="F2" s="199"/>
      <c r="G2" s="199"/>
    </row>
    <row r="3" spans="1:7" s="200" customFormat="1" ht="18" customHeight="1" thickBot="1">
      <c r="A3" s="203" t="s">
        <v>58</v>
      </c>
      <c r="B3" s="204">
        <f ca="1">ROUND(B2*10000/'数据-汇总表'!E3,0)</f>
        <v>62145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5033.37</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101</v>
      </c>
      <c r="D19" s="849">
        <f>'数据-汇总表'!E3</f>
        <v>5033.37</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1772</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9</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3591</v>
      </c>
      <c r="D27" s="235">
        <f>C29</f>
        <v>3.3999999999999998E-3</v>
      </c>
      <c r="E27" s="236" t="s">
        <v>99</v>
      </c>
      <c r="F27" s="246">
        <f>'数据-取费表'!Q16</f>
        <v>0.17</v>
      </c>
      <c r="G27" s="247" t="s">
        <v>431</v>
      </c>
    </row>
    <row r="28" spans="1:7" s="214" customFormat="1" ht="13.5" customHeight="1">
      <c r="A28" s="780" t="s">
        <v>349</v>
      </c>
      <c r="B28" s="248" t="s">
        <v>424</v>
      </c>
      <c r="C28" s="249">
        <f>ROUND((C5+C19+C20)*F27*'数据-取费表'!B21/'数据-取费表'!B20,0)</f>
        <v>3591</v>
      </c>
      <c r="D28" s="235"/>
      <c r="E28" s="236"/>
      <c r="F28" s="246"/>
      <c r="G28" s="247"/>
    </row>
    <row r="29" spans="1:7" s="214" customFormat="1" ht="13.5" customHeight="1">
      <c r="A29" s="780" t="s">
        <v>347</v>
      </c>
      <c r="B29" s="248" t="s">
        <v>425</v>
      </c>
      <c r="C29" s="238">
        <f>ROUND(C21*F27*'数据-取费表'!B21/'数据-取费表'!B20,4)</f>
        <v>3.3999999999999998E-3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28685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2204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2013</v>
      </c>
      <c r="D34" s="217"/>
      <c r="E34" s="220"/>
      <c r="F34" s="257">
        <f>IF('数据-取费表'!B24=0,1,'数据-取费表'!N16)</f>
        <v>1</v>
      </c>
      <c r="G34" s="219" t="s">
        <v>89</v>
      </c>
    </row>
    <row r="35" spans="1:7" ht="13.5" customHeight="1">
      <c r="A35" s="780" t="s">
        <v>351</v>
      </c>
      <c r="B35" s="215" t="s">
        <v>33</v>
      </c>
      <c r="C35" s="220">
        <f>ROUND(C34*F35,0)</f>
        <v>60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101</v>
      </c>
      <c r="D37" s="217">
        <f>'数据-汇总表'!E3</f>
        <v>5033.37</v>
      </c>
      <c r="E37" s="249">
        <f>'数据-取费表'!B35</f>
        <v>200</v>
      </c>
      <c r="F37" s="259"/>
      <c r="G37" s="261" t="s">
        <v>92</v>
      </c>
    </row>
    <row r="38" spans="1:7" ht="13.5" customHeight="1">
      <c r="A38" s="780" t="s">
        <v>354</v>
      </c>
      <c r="B38" s="215" t="s">
        <v>36</v>
      </c>
      <c r="C38" s="220">
        <f>ROUND(C34*F38,0)</f>
        <v>30</v>
      </c>
      <c r="D38" s="220"/>
      <c r="E38" s="220"/>
      <c r="F38" s="259">
        <f>'数据-取费表'!B36</f>
        <v>1.4999999999999999E-2</v>
      </c>
      <c r="G38" s="219" t="s">
        <v>90</v>
      </c>
    </row>
    <row r="39" spans="1:7" s="214" customFormat="1" ht="13.5" customHeight="1">
      <c r="A39" s="777" t="s">
        <v>338</v>
      </c>
      <c r="B39" s="210" t="s">
        <v>77</v>
      </c>
      <c r="C39" s="232">
        <f>ROUND(C33*F20,0)</f>
        <v>44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93</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91</v>
      </c>
      <c r="D42" s="238"/>
      <c r="E42" s="238"/>
      <c r="F42" s="239"/>
      <c r="G42" s="3666" t="s">
        <v>94</v>
      </c>
    </row>
    <row r="43" spans="1:7" ht="13.5" customHeight="1">
      <c r="A43" s="780" t="s">
        <v>347</v>
      </c>
      <c r="B43" s="215" t="s">
        <v>426</v>
      </c>
      <c r="C43" s="238">
        <f ca="1">ROUND(IF('数据-取费表'!B22&lt;=1,C39*F22*'数据-取费表'!B21/2,C39*(POWER((1+F22),'数据-取费表'!B21/2)-1)),0)</f>
        <v>2</v>
      </c>
      <c r="D43" s="238"/>
      <c r="E43" s="238"/>
      <c r="F43" s="239"/>
      <c r="G43" s="3667"/>
    </row>
    <row r="44" spans="1:7" ht="13.5" customHeight="1">
      <c r="A44" s="780" t="s">
        <v>348</v>
      </c>
      <c r="B44" s="215" t="s">
        <v>428</v>
      </c>
      <c r="C44" s="238">
        <f ca="1">ROUND(IF('数据-取费表'!B22&lt;=1,C40*F22*'数据-取费表'!B21/2,C40*(POWER((1+F22),'数据-取费表'!B21/2)-1)),4)</f>
        <v>8.0000000000000004E-4</v>
      </c>
      <c r="D44" s="238"/>
      <c r="E44" s="238"/>
      <c r="F44" s="239"/>
      <c r="G44" s="3668"/>
    </row>
    <row r="45" spans="1:7" s="214" customFormat="1" ht="13.5" customHeight="1">
      <c r="A45" s="777" t="s">
        <v>341</v>
      </c>
      <c r="B45" s="244" t="s">
        <v>85</v>
      </c>
      <c r="C45" s="245">
        <f>C46</f>
        <v>382</v>
      </c>
      <c r="D45" s="235">
        <f>C47</f>
        <v>3.3999999999999998E-3</v>
      </c>
      <c r="E45" s="236" t="s">
        <v>102</v>
      </c>
      <c r="F45" s="246"/>
      <c r="G45" s="247" t="s">
        <v>434</v>
      </c>
    </row>
    <row r="46" spans="1:7" s="214" customFormat="1" ht="13.5" customHeight="1">
      <c r="A46" s="780" t="s">
        <v>349</v>
      </c>
      <c r="B46" s="248" t="s">
        <v>427</v>
      </c>
      <c r="C46" s="249">
        <f>ROUND((C33+C39)*F27,0)</f>
        <v>382</v>
      </c>
      <c r="D46" s="263"/>
      <c r="E46" s="236"/>
      <c r="F46" s="246"/>
      <c r="G46" s="247"/>
    </row>
    <row r="47" spans="1:7" s="214" customFormat="1" ht="13.5" customHeight="1">
      <c r="A47" s="780" t="s">
        <v>347</v>
      </c>
      <c r="B47" s="248" t="s">
        <v>429</v>
      </c>
      <c r="C47" s="238">
        <f>ROUND(C40*F27,4)</f>
        <v>3.3999999999999998E-3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2949</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2595</v>
      </c>
      <c r="D51" s="232"/>
      <c r="E51" s="232"/>
      <c r="F51" s="264"/>
      <c r="G51" s="234" t="s">
        <v>37</v>
      </c>
    </row>
    <row r="52" spans="1:7" s="208" customFormat="1" ht="16.5" thickBot="1">
      <c r="A52" s="265" t="s">
        <v>38</v>
      </c>
      <c r="B52" s="266"/>
      <c r="C52" s="267">
        <f ca="1">C31+C51</f>
        <v>31280</v>
      </c>
      <c r="D52" s="266"/>
      <c r="E52" s="266"/>
      <c r="F52" s="266"/>
      <c r="G52" s="268"/>
    </row>
    <row r="55" spans="1:7" ht="15">
      <c r="B55" s="270" t="s">
        <v>39</v>
      </c>
      <c r="C55" s="271"/>
    </row>
    <row r="56" spans="1:7">
      <c r="B56" s="273" t="s">
        <v>40</v>
      </c>
      <c r="C56" s="274">
        <f ca="1">ROUND(C51/C52,3)</f>
        <v>8.3000000000000004E-2</v>
      </c>
    </row>
    <row r="57" spans="1:7">
      <c r="B57" s="273" t="s">
        <v>41</v>
      </c>
      <c r="C57" s="275">
        <f ca="1">1-C56</f>
        <v>0.91700000000000004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A203" zoomScale="80" zoomScaleNormal="80" workbookViewId="0">
      <selection activeCell="C190" sqref="C190:G233"/>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04" t="s">
        <v>2846</v>
      </c>
      <c r="B1" s="3804"/>
      <c r="C1" s="3804"/>
      <c r="D1" s="3804"/>
      <c r="E1" s="3804"/>
      <c r="F1" s="3804"/>
      <c r="G1" s="3805"/>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802"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803"/>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187" workbookViewId="0">
      <selection activeCell="C190" sqref="C190:G233"/>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06" t="s">
        <v>3188</v>
      </c>
      <c r="B1" s="3806"/>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807" t="s">
        <v>3239</v>
      </c>
      <c r="B1" s="3807"/>
      <c r="C1" s="3807"/>
      <c r="D1" s="3807"/>
      <c r="E1" s="3807"/>
      <c r="F1" s="3808"/>
    </row>
    <row r="2" spans="1:6">
      <c r="A2" s="3291" t="s">
        <v>3240</v>
      </c>
      <c r="B2" s="3292"/>
      <c r="C2" s="3292"/>
      <c r="D2" s="3292"/>
      <c r="E2" s="3292"/>
      <c r="F2" s="3292"/>
    </row>
    <row r="3" spans="1:6">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B29" sqref="B29"/>
    </sheetView>
  </sheetViews>
  <sheetFormatPr defaultRowHeight="13.5"/>
  <cols>
    <col min="1" max="1" width="13.875" customWidth="1"/>
    <col min="11" max="17" width="0" hidden="1" customWidth="1"/>
    <col min="25" max="30" width="0" hidden="1" customWidth="1"/>
  </cols>
  <sheetData>
    <row r="1" spans="1:30">
      <c r="A1" s="3221">
        <f>基准地价修正!G23</f>
        <v>44959</v>
      </c>
      <c r="B1" s="3210" t="s">
        <v>2845</v>
      </c>
      <c r="C1" s="3211"/>
      <c r="D1" s="3211"/>
      <c r="E1" s="3211"/>
      <c r="F1" s="3211"/>
      <c r="G1" s="3211"/>
      <c r="H1" s="3211"/>
      <c r="I1" s="3211"/>
      <c r="J1" s="3165"/>
      <c r="K1" s="3211" t="s">
        <v>454</v>
      </c>
      <c r="L1" s="3211"/>
      <c r="M1" s="3211"/>
      <c r="N1" s="3211"/>
      <c r="O1" s="3211"/>
      <c r="P1" s="3211"/>
      <c r="Q1" s="3165"/>
      <c r="R1" s="3809" t="s">
        <v>456</v>
      </c>
      <c r="S1" s="3810"/>
      <c r="T1" s="3810"/>
      <c r="U1" s="3810"/>
      <c r="V1" s="3810"/>
      <c r="W1" s="3810"/>
      <c r="X1" s="3165"/>
      <c r="Y1" s="3809" t="s">
        <v>457</v>
      </c>
      <c r="Z1" s="3810"/>
      <c r="AA1" s="3810"/>
      <c r="AB1" s="3810"/>
      <c r="AC1" s="3810"/>
      <c r="AD1" s="3810"/>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3376</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3377</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3375</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80" t="s">
        <v>3373</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809" t="s">
        <v>2833</v>
      </c>
      <c r="S21" s="3810"/>
      <c r="T21" s="3810"/>
      <c r="U21" s="3810"/>
      <c r="V21" s="3810"/>
      <c r="W21" s="3810"/>
      <c r="X21" s="3165"/>
      <c r="Y21" s="3809" t="s">
        <v>2834</v>
      </c>
      <c r="Z21" s="3810"/>
      <c r="AA21" s="3810"/>
      <c r="AB21" s="3810"/>
      <c r="AC21" s="3810"/>
      <c r="AD21" s="3810"/>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3376</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3377</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81"/>
      <c r="AB26" s="3481"/>
      <c r="AC26" s="3213"/>
      <c r="AD26" s="3184"/>
    </row>
    <row r="27" spans="1:30" s="3185" customFormat="1" ht="12.75">
      <c r="A27" s="3176" t="s">
        <v>3375</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81"/>
      <c r="AB27" s="3481"/>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81"/>
      <c r="AB28" s="3481"/>
      <c r="AC28" s="3213"/>
      <c r="AD28" s="3184"/>
    </row>
    <row r="29" spans="1:30" s="3195" customFormat="1" ht="12.75">
      <c r="A29" s="3186" t="s">
        <v>3371</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3372</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80"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0"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6" t="s">
        <v>452</v>
      </c>
      <c r="C1" s="3816"/>
      <c r="D1" s="3816"/>
      <c r="E1" s="3816"/>
      <c r="F1" s="3816"/>
      <c r="G1" s="3815" t="s">
        <v>453</v>
      </c>
      <c r="H1" s="3815"/>
      <c r="I1" s="3815"/>
      <c r="J1" s="3815"/>
      <c r="K1" s="3815"/>
      <c r="L1" s="3815"/>
      <c r="N1" s="3815" t="s">
        <v>454</v>
      </c>
      <c r="O1" s="3815"/>
      <c r="P1" s="3815"/>
      <c r="Q1" s="3815"/>
      <c r="S1" s="3815" t="s">
        <v>455</v>
      </c>
      <c r="T1" s="3815"/>
      <c r="U1" s="3815"/>
      <c r="V1" s="3815"/>
      <c r="X1" s="3814" t="s">
        <v>456</v>
      </c>
      <c r="Y1" s="3815"/>
      <c r="Z1" s="3815"/>
      <c r="AA1" s="3815"/>
      <c r="AB1" s="3815"/>
      <c r="AD1" s="3814" t="s">
        <v>457</v>
      </c>
      <c r="AE1" s="3815"/>
      <c r="AF1" s="3815"/>
      <c r="AG1" s="3815"/>
      <c r="AH1" s="381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44959</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31"/>
  <sheetViews>
    <sheetView workbookViewId="0">
      <selection activeCell="E25" sqref="E25"/>
    </sheetView>
  </sheetViews>
  <sheetFormatPr defaultRowHeight="13.5"/>
  <cols>
    <col min="7" max="7" width="9.5" bestFit="1" customWidth="1"/>
    <col min="9" max="9" width="9.5" bestFit="1" customWidth="1"/>
  </cols>
  <sheetData>
    <row r="3" spans="3:7">
      <c r="F3" s="3482" t="s">
        <v>3419</v>
      </c>
      <c r="G3" s="3482" t="s">
        <v>3420</v>
      </c>
    </row>
    <row r="4" spans="3:7">
      <c r="C4" s="3482" t="s">
        <v>3382</v>
      </c>
      <c r="D4">
        <f>115.77+114.64+120.15+121.26+115.74+125.67+208.15+149.21+149.21+149.21+149.21+157.49+88.61+122.18+128.97</f>
        <v>2015.47</v>
      </c>
      <c r="F4">
        <v>2015.47</v>
      </c>
      <c r="G4">
        <f>ROUND(F4*10000/D4,2)</f>
        <v>10000</v>
      </c>
    </row>
    <row r="5" spans="3:7">
      <c r="C5" s="3482" t="s">
        <v>3383</v>
      </c>
      <c r="D5">
        <f>148.39+146.15+153.73+155.59+243.04+184.55+184.17+184.91+184.55+184.55+184.55+204.35+92.27+104.29+104.29+134.4+131.81+136.99+155.32</f>
        <v>3017.9</v>
      </c>
      <c r="F5">
        <v>6033.26</v>
      </c>
      <c r="G5">
        <f>ROUND(F5/(D5+D6)*10000,0)</f>
        <v>10000</v>
      </c>
    </row>
    <row r="6" spans="3:7">
      <c r="C6" s="3482" t="s">
        <v>3421</v>
      </c>
      <c r="D6">
        <f>146.94+146.15+153.73+155.21+242.7+184.55+184.17+184.91+184.55+184.55+184.55+207.79+92.27+104.29+104.29+134.4+131.81+136.99+151.51</f>
        <v>3015.3600000000006</v>
      </c>
    </row>
    <row r="7" spans="3:7">
      <c r="D7">
        <f>SUM(D4:D6)</f>
        <v>8048.7300000000005</v>
      </c>
    </row>
    <row r="15" spans="3:7">
      <c r="C15">
        <v>22674.5</v>
      </c>
      <c r="D15">
        <v>700</v>
      </c>
      <c r="E15">
        <f>D15*10000/C15/365</f>
        <v>0.84579956302369708</v>
      </c>
    </row>
    <row r="24" spans="4:9">
      <c r="E24" s="3482" t="s">
        <v>3424</v>
      </c>
      <c r="F24" s="3482" t="s">
        <v>3425</v>
      </c>
      <c r="G24" s="3482" t="s">
        <v>3427</v>
      </c>
      <c r="H24" s="3482" t="s">
        <v>3426</v>
      </c>
      <c r="I24" s="3482" t="s">
        <v>3428</v>
      </c>
    </row>
    <row r="25" spans="4:9">
      <c r="D25" t="str">
        <f>C4</f>
        <v>1层</v>
      </c>
      <c r="E25">
        <f>D4</f>
        <v>2015.47</v>
      </c>
      <c r="F25">
        <v>18130</v>
      </c>
      <c r="G25">
        <f>ROUND(E25*F25/10000,0)</f>
        <v>3654</v>
      </c>
      <c r="H25">
        <f ca="1">'结果表-商业'!G20</f>
        <v>22377</v>
      </c>
      <c r="I25">
        <f ca="1">ROUND(H25*E25/10000,0)</f>
        <v>4510</v>
      </c>
    </row>
    <row r="26" spans="4:9">
      <c r="D26" t="str">
        <f>C5</f>
        <v>4层</v>
      </c>
      <c r="E26">
        <f t="shared" ref="E26" si="0">D5</f>
        <v>3017.9</v>
      </c>
      <c r="F26">
        <v>15587</v>
      </c>
      <c r="G26">
        <f t="shared" ref="G26:G27" si="1">ROUND(E26*F26/10000,0)</f>
        <v>4704</v>
      </c>
      <c r="H26">
        <f ca="1">结果表!G20</f>
        <v>17149</v>
      </c>
      <c r="I26">
        <f t="shared" ref="I26:I27" ca="1" si="2">ROUND(H26*E26/10000,0)</f>
        <v>5175</v>
      </c>
    </row>
    <row r="27" spans="4:9">
      <c r="D27" t="str">
        <f>C6</f>
        <v>6层</v>
      </c>
      <c r="E27">
        <v>1000</v>
      </c>
      <c r="F27">
        <v>15587</v>
      </c>
      <c r="G27">
        <f t="shared" si="1"/>
        <v>1559</v>
      </c>
      <c r="H27">
        <f ca="1">H26</f>
        <v>17149</v>
      </c>
      <c r="I27">
        <f t="shared" ca="1" si="2"/>
        <v>1715</v>
      </c>
    </row>
    <row r="28" spans="4:9">
      <c r="E28">
        <f>SUM(E25:E27)</f>
        <v>6033.37</v>
      </c>
      <c r="G28">
        <f>SUM(G25:G27)</f>
        <v>9917</v>
      </c>
      <c r="I28">
        <f ca="1">SUM(I25:I27)</f>
        <v>11400</v>
      </c>
    </row>
    <row r="31" spans="4:9">
      <c r="G31">
        <f>G25+G26</f>
        <v>8358</v>
      </c>
      <c r="I31">
        <f ca="1">I25+I26</f>
        <v>9685</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157</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结果表-商业</vt:lpstr>
      <vt:lpstr>成本法-商业</vt:lpstr>
      <vt:lpstr>收益法-商业</vt:lpstr>
      <vt:lpstr>基准地价修正-商业</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'成本法-商业'!Print_Area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结果表!Print_Area</vt:lpstr>
      <vt:lpstr>'结果表-商业'!Print_Area</vt:lpstr>
      <vt:lpstr>收益法!Print_Area</vt:lpstr>
      <vt:lpstr>'收益法 (元)'!Print_Area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2023-03-26T14:50:59Z</dcterms:modified>
</cp:coreProperties>
</file>