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chartsheets/sheet1.xml" ContentType="application/vnd.openxmlformats-officedocument.spreadsheetml.chart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9060" windowHeight="802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Sheet1"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Chart1" sheetId="79" state="hidden" r:id="rId34"/>
    <sheet name="租赁情况核对" sheetId="78"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_FilterDatabase" localSheetId="34" hidden="1">租赁情况核对!$A$4:$W$33</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4">'数据-汇总表'!$A$1:$P$32</definedName>
    <definedName name="_xlnm.Print_Area" localSheetId="34">租赁情况核对!$B$1:$S$33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18" i="77" l="1"/>
  <c r="G17" i="77"/>
  <c r="F34" i="68" l="1"/>
  <c r="M6" i="1"/>
  <c r="M16" i="1"/>
  <c r="N16" i="1"/>
  <c r="F50" i="68"/>
  <c r="R6" i="1"/>
  <c r="C17" i="9"/>
  <c r="D17" i="9"/>
  <c r="C18" i="9"/>
  <c r="D18" i="9"/>
  <c r="D19" i="77"/>
  <c r="P30" i="78"/>
  <c r="C19" i="43"/>
  <c r="C4" i="77"/>
  <c r="D3" i="4"/>
  <c r="C1" i="73"/>
  <c r="J1" i="73"/>
  <c r="J20" i="43"/>
  <c r="I15" i="4"/>
  <c r="F6" i="1"/>
  <c r="I20" i="43"/>
  <c r="G2" i="43"/>
  <c r="I2" i="43"/>
  <c r="M10" i="43"/>
  <c r="C6" i="43"/>
  <c r="C16" i="43"/>
  <c r="C5" i="43"/>
  <c r="C18" i="43"/>
  <c r="B2" i="1"/>
  <c r="G19" i="43"/>
  <c r="N5" i="71"/>
  <c r="N6" i="71"/>
  <c r="N7" i="71"/>
  <c r="N8" i="71"/>
  <c r="N9" i="71"/>
  <c r="N10" i="71"/>
  <c r="N11" i="71"/>
  <c r="N12" i="71"/>
  <c r="N13" i="71"/>
  <c r="N14" i="71"/>
  <c r="N15" i="71"/>
  <c r="N16" i="71"/>
  <c r="N17" i="71"/>
  <c r="N18" i="71"/>
  <c r="N19" i="71"/>
  <c r="N20" i="71"/>
  <c r="N21" i="71"/>
  <c r="N22" i="71"/>
  <c r="N23" i="71"/>
  <c r="N24" i="71"/>
  <c r="N25" i="71"/>
  <c r="N26" i="71"/>
  <c r="X3" i="71"/>
  <c r="O5" i="71"/>
  <c r="O6" i="71"/>
  <c r="O7" i="71"/>
  <c r="O8" i="71"/>
  <c r="O9" i="71"/>
  <c r="O10" i="71"/>
  <c r="O11" i="71"/>
  <c r="O12" i="71"/>
  <c r="O13" i="71"/>
  <c r="O14" i="71"/>
  <c r="O15" i="71"/>
  <c r="O16" i="71"/>
  <c r="O17" i="71"/>
  <c r="O18" i="71"/>
  <c r="O19" i="71"/>
  <c r="O20" i="71"/>
  <c r="O21" i="71"/>
  <c r="O22" i="71"/>
  <c r="O23" i="71"/>
  <c r="O24" i="71"/>
  <c r="O25" i="71"/>
  <c r="O26" i="71"/>
  <c r="Y3" i="71"/>
  <c r="Z3" i="71"/>
  <c r="P5" i="71"/>
  <c r="P6" i="71"/>
  <c r="P7" i="71"/>
  <c r="P8" i="71"/>
  <c r="P9" i="71"/>
  <c r="P10" i="71"/>
  <c r="P11" i="71"/>
  <c r="P12" i="71"/>
  <c r="P13" i="71"/>
  <c r="P14" i="71"/>
  <c r="P15" i="71"/>
  <c r="P16" i="71"/>
  <c r="P17" i="71"/>
  <c r="P18" i="71"/>
  <c r="P19" i="71"/>
  <c r="P20" i="71"/>
  <c r="P21" i="71"/>
  <c r="P22" i="71"/>
  <c r="P23" i="71"/>
  <c r="P24" i="71"/>
  <c r="P25" i="71"/>
  <c r="P26" i="71"/>
  <c r="AA3" i="71"/>
  <c r="Q5" i="71"/>
  <c r="Q6" i="71"/>
  <c r="Q7" i="71"/>
  <c r="Q8" i="71"/>
  <c r="Q9" i="71"/>
  <c r="Q10" i="71"/>
  <c r="Q11" i="71"/>
  <c r="Q12" i="71"/>
  <c r="Q13" i="71"/>
  <c r="Q14" i="71"/>
  <c r="Q15" i="71"/>
  <c r="Q16" i="71"/>
  <c r="Q17" i="71"/>
  <c r="Q18" i="71"/>
  <c r="Q19" i="71"/>
  <c r="Q20" i="71"/>
  <c r="Q21" i="71"/>
  <c r="Q22" i="71"/>
  <c r="Q23" i="71"/>
  <c r="Q24" i="71"/>
  <c r="Q25" i="71"/>
  <c r="Q26"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X23" i="71"/>
  <c r="Y23" i="71"/>
  <c r="Z23" i="71"/>
  <c r="AA23" i="71"/>
  <c r="AB23" i="71"/>
  <c r="X24" i="71"/>
  <c r="Y24" i="71"/>
  <c r="Z24" i="71"/>
  <c r="AA24" i="71"/>
  <c r="AB24" i="71"/>
  <c r="X25" i="71"/>
  <c r="Y25" i="71"/>
  <c r="Z25" i="71"/>
  <c r="AA25" i="71"/>
  <c r="AB25" i="71"/>
  <c r="X26" i="71"/>
  <c r="Y26" i="71"/>
  <c r="Z26" i="71"/>
  <c r="AA26" i="71"/>
  <c r="AB26" i="71"/>
  <c r="I13" i="3"/>
  <c r="I5" i="3"/>
  <c r="AD13" i="3"/>
  <c r="AD5" i="3"/>
  <c r="AH5" i="3"/>
  <c r="AL13" i="3"/>
  <c r="AL5" i="3"/>
  <c r="J5" i="3"/>
  <c r="K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I5" i="3"/>
  <c r="AJ5" i="3"/>
  <c r="AK5" i="3"/>
  <c r="AM5" i="3"/>
  <c r="AN5" i="3"/>
  <c r="AO5" i="3"/>
  <c r="AP5" i="3"/>
  <c r="AQ5" i="3"/>
  <c r="AR5" i="3"/>
  <c r="AS5" i="3"/>
  <c r="A3" i="3"/>
  <c r="I4" i="6"/>
  <c r="G3" i="43"/>
  <c r="E22" i="43"/>
  <c r="G22" i="43"/>
  <c r="F22" i="43"/>
  <c r="H22" i="43"/>
  <c r="D22" i="43"/>
  <c r="C21" i="43"/>
  <c r="N10" i="43"/>
  <c r="F81" i="43"/>
  <c r="H81" i="43"/>
  <c r="G81" i="43"/>
  <c r="K81" i="43"/>
  <c r="D81" i="43"/>
  <c r="H82" i="43"/>
  <c r="G82" i="43"/>
  <c r="K82" i="43"/>
  <c r="D82" i="43"/>
  <c r="H83" i="43"/>
  <c r="G83" i="43"/>
  <c r="K83" i="43"/>
  <c r="D83" i="43"/>
  <c r="H84" i="43"/>
  <c r="G84" i="43"/>
  <c r="K84" i="43"/>
  <c r="D84" i="43"/>
  <c r="D85" i="43"/>
  <c r="H86" i="43"/>
  <c r="G86" i="43"/>
  <c r="K86" i="43"/>
  <c r="J86" i="43"/>
  <c r="D86" i="43"/>
  <c r="E81" i="43" s="1"/>
  <c r="B79" i="43" s="1"/>
  <c r="C24" i="43" s="1"/>
  <c r="H87" i="43"/>
  <c r="G87" i="43"/>
  <c r="K87" i="43"/>
  <c r="D87" i="43"/>
  <c r="H88" i="43"/>
  <c r="G88" i="43"/>
  <c r="K88" i="43"/>
  <c r="D88" i="43"/>
  <c r="D5" i="43"/>
  <c r="F33" i="43"/>
  <c r="F34" i="43"/>
  <c r="F35" i="43"/>
  <c r="F36" i="43"/>
  <c r="F37" i="43"/>
  <c r="F38" i="43"/>
  <c r="F39" i="43"/>
  <c r="D1" i="43"/>
  <c r="I33" i="78"/>
  <c r="D30" i="78"/>
  <c r="E30" i="78"/>
  <c r="F30" i="78"/>
  <c r="G30" i="78"/>
  <c r="I31" i="78"/>
  <c r="H33" i="78"/>
  <c r="O5" i="78"/>
  <c r="S5" i="78"/>
  <c r="O7" i="78"/>
  <c r="S7" i="78"/>
  <c r="O8" i="78"/>
  <c r="S8" i="78"/>
  <c r="O9" i="78"/>
  <c r="S9" i="78"/>
  <c r="O10" i="78"/>
  <c r="S10" i="78"/>
  <c r="O11" i="78"/>
  <c r="S11" i="78"/>
  <c r="O12" i="78"/>
  <c r="S12" i="78"/>
  <c r="O13" i="78"/>
  <c r="S13" i="78"/>
  <c r="O14" i="78"/>
  <c r="S14" i="78"/>
  <c r="O15" i="78"/>
  <c r="S15" i="78"/>
  <c r="O16" i="78"/>
  <c r="S16" i="78"/>
  <c r="O17" i="78"/>
  <c r="S17" i="78"/>
  <c r="O18" i="78"/>
  <c r="S18" i="78"/>
  <c r="O19" i="78"/>
  <c r="S19" i="78"/>
  <c r="O20" i="78"/>
  <c r="S20" i="78"/>
  <c r="O21" i="78"/>
  <c r="S21" i="78"/>
  <c r="O22" i="78"/>
  <c r="S22" i="78"/>
  <c r="O23" i="78"/>
  <c r="S23" i="78"/>
  <c r="O24" i="78"/>
  <c r="S24" i="78"/>
  <c r="O25" i="78"/>
  <c r="S25" i="78"/>
  <c r="O26" i="78"/>
  <c r="S26" i="78"/>
  <c r="O27" i="78"/>
  <c r="S27" i="78"/>
  <c r="O28" i="78"/>
  <c r="S28" i="78"/>
  <c r="S30" i="78"/>
  <c r="O6" i="78"/>
  <c r="A6" i="1"/>
  <c r="G1" i="68"/>
  <c r="F19" i="6"/>
  <c r="E19" i="6"/>
  <c r="K6"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19" i="6"/>
  <c r="S6" i="1"/>
  <c r="B31" i="1"/>
  <c r="E19" i="68"/>
  <c r="C19" i="68"/>
  <c r="C90" i="9"/>
  <c r="C88" i="9"/>
  <c r="D89" i="9"/>
  <c r="C89" i="9"/>
  <c r="C87" i="9"/>
  <c r="E19" i="77"/>
  <c r="I91" i="9"/>
  <c r="C91" i="9"/>
  <c r="C94" i="9"/>
  <c r="N19" i="1"/>
  <c r="N6" i="1"/>
  <c r="AD19" i="1"/>
  <c r="U32" i="78"/>
  <c r="T32" i="78"/>
  <c r="T5" i="78"/>
  <c r="T7" i="78"/>
  <c r="T8" i="78"/>
  <c r="T9" i="78"/>
  <c r="T10" i="78"/>
  <c r="T11" i="78"/>
  <c r="T12" i="78"/>
  <c r="T13" i="78"/>
  <c r="T14" i="78"/>
  <c r="T15" i="78"/>
  <c r="T16" i="78"/>
  <c r="T17" i="78"/>
  <c r="T18" i="78"/>
  <c r="T19" i="78"/>
  <c r="T20" i="78"/>
  <c r="T21" i="78"/>
  <c r="T22" i="78"/>
  <c r="T23" i="78"/>
  <c r="T24" i="78"/>
  <c r="T25" i="78"/>
  <c r="T26" i="78"/>
  <c r="T27" i="78"/>
  <c r="T28" i="78"/>
  <c r="T29" i="78"/>
  <c r="T31" i="78"/>
  <c r="U5" i="78"/>
  <c r="U7" i="78"/>
  <c r="U8" i="78"/>
  <c r="U9" i="78"/>
  <c r="U10" i="78"/>
  <c r="U11" i="78"/>
  <c r="U12" i="78"/>
  <c r="U13" i="78"/>
  <c r="U14" i="78"/>
  <c r="U15" i="78"/>
  <c r="U16" i="78"/>
  <c r="U17" i="78"/>
  <c r="U18" i="78"/>
  <c r="U19" i="78"/>
  <c r="U20" i="78"/>
  <c r="U21" i="78"/>
  <c r="U22" i="78"/>
  <c r="U23" i="78"/>
  <c r="U24" i="78"/>
  <c r="U25" i="78"/>
  <c r="U26" i="78"/>
  <c r="U27" i="78"/>
  <c r="U28" i="78"/>
  <c r="U29" i="78"/>
  <c r="U31" i="78"/>
  <c r="V31" i="78"/>
  <c r="D4" i="77"/>
  <c r="J49" i="15"/>
  <c r="H85" i="43"/>
  <c r="G85" i="43"/>
  <c r="Y6" i="1"/>
  <c r="A7" i="1"/>
  <c r="G1" i="67"/>
  <c r="F7" i="1"/>
  <c r="J50" i="67"/>
  <c r="J51" i="67"/>
  <c r="B24" i="1"/>
  <c r="M47" i="67"/>
  <c r="G1" i="15"/>
  <c r="J50" i="15"/>
  <c r="J51" i="15"/>
  <c r="M47" i="15"/>
  <c r="AH5" i="71"/>
  <c r="AG5" i="71"/>
  <c r="AE5" i="71"/>
  <c r="AF5" i="71"/>
  <c r="AD5" i="71"/>
  <c r="F24" i="12"/>
  <c r="F7" i="69"/>
  <c r="F7" i="68"/>
  <c r="M15" i="45"/>
  <c r="L15" i="45"/>
  <c r="K15" i="45"/>
  <c r="J15" i="45"/>
  <c r="I15" i="45"/>
  <c r="H15" i="45"/>
  <c r="G15" i="45"/>
  <c r="F15" i="45"/>
  <c r="E15" i="45"/>
  <c r="D15" i="45"/>
  <c r="C15" i="45"/>
  <c r="B15" i="45"/>
  <c r="AH6" i="71"/>
  <c r="AG6" i="71"/>
  <c r="AE6" i="71"/>
  <c r="AF6" i="71"/>
  <c r="AD6" i="71"/>
  <c r="AD7" i="71"/>
  <c r="AH7" i="71"/>
  <c r="AG7" i="71"/>
  <c r="AE7" i="71"/>
  <c r="AF7" i="71"/>
  <c r="L3" i="71"/>
  <c r="AH3" i="71"/>
  <c r="K3" i="71"/>
  <c r="AG3" i="71"/>
  <c r="J3" i="71"/>
  <c r="AE3" i="71"/>
  <c r="I3" i="71"/>
  <c r="AH8" i="71"/>
  <c r="AG8" i="71"/>
  <c r="AE8" i="71"/>
  <c r="AF8" i="71"/>
  <c r="AD8" i="71"/>
  <c r="AH9" i="71"/>
  <c r="AG9" i="71"/>
  <c r="AE9" i="71"/>
  <c r="AF9" i="71"/>
  <c r="AD9" i="71"/>
  <c r="F25" i="71"/>
  <c r="F26" i="71"/>
  <c r="F27" i="71"/>
  <c r="M19" i="43"/>
  <c r="D12" i="71"/>
  <c r="AH10" i="71"/>
  <c r="AG10" i="71"/>
  <c r="AE10" i="71"/>
  <c r="AF10" i="71"/>
  <c r="AD10" i="71"/>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H573" i="3"/>
  <c r="G573" i="3"/>
  <c r="H574" i="3"/>
  <c r="G574" i="3"/>
  <c r="H575" i="3"/>
  <c r="G575" i="3"/>
  <c r="H576" i="3"/>
  <c r="G576" i="3"/>
  <c r="H577" i="3"/>
  <c r="G577" i="3"/>
  <c r="H578" i="3"/>
  <c r="G578" i="3"/>
  <c r="H579" i="3"/>
  <c r="G579" i="3"/>
  <c r="H580" i="3"/>
  <c r="G580" i="3"/>
  <c r="H581" i="3"/>
  <c r="G581" i="3"/>
  <c r="H582" i="3"/>
  <c r="G582" i="3"/>
  <c r="H583" i="3"/>
  <c r="G583" i="3"/>
  <c r="H584" i="3"/>
  <c r="G584" i="3"/>
  <c r="H585" i="3"/>
  <c r="G585" i="3"/>
  <c r="H586" i="3"/>
  <c r="G586" i="3"/>
  <c r="H587" i="3"/>
  <c r="G587" i="3"/>
  <c r="G5" i="3"/>
  <c r="AT5" i="3"/>
  <c r="B3" i="3"/>
  <c r="AY6" i="3"/>
  <c r="D3" i="6"/>
  <c r="M19" i="9"/>
  <c r="C118" i="9"/>
  <c r="C14" i="74"/>
  <c r="E3" i="6"/>
  <c r="M18" i="9"/>
  <c r="B118" i="9"/>
  <c r="B14" i="74"/>
  <c r="AD11" i="71"/>
  <c r="AG11" i="71"/>
  <c r="AH11" i="71"/>
  <c r="AE11" i="71"/>
  <c r="AF11" i="71"/>
  <c r="C11" i="71"/>
  <c r="C10" i="71"/>
  <c r="F11" i="71"/>
  <c r="F10" i="71"/>
  <c r="F9" i="71"/>
  <c r="E11" i="71"/>
  <c r="E10" i="71"/>
  <c r="E9" i="71"/>
  <c r="B11" i="71"/>
  <c r="B10" i="71"/>
  <c r="B9" i="71"/>
  <c r="B8" i="71"/>
  <c r="B7" i="71"/>
  <c r="V11"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6" i="74"/>
  <c r="F16" i="74"/>
  <c r="E17" i="74"/>
  <c r="F17" i="74"/>
  <c r="E18" i="74"/>
  <c r="F18" i="74"/>
  <c r="E19" i="74"/>
  <c r="F19" i="74"/>
  <c r="E20" i="74"/>
  <c r="F20" i="74"/>
  <c r="E21" i="74"/>
  <c r="F21" i="74"/>
  <c r="E22" i="74"/>
  <c r="F22" i="74"/>
  <c r="E23" i="74"/>
  <c r="F23" i="74"/>
  <c r="B3" i="74"/>
  <c r="B8" i="72"/>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E9" i="68"/>
  <c r="E10"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O40" i="71"/>
  <c r="C41" i="71"/>
  <c r="Q40" i="71"/>
  <c r="F41" i="71"/>
  <c r="F42" i="71"/>
  <c r="F43" i="71"/>
  <c r="V43" i="71"/>
  <c r="P40" i="71"/>
  <c r="E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V27" i="71"/>
  <c r="D24" i="71"/>
  <c r="F21" i="71"/>
  <c r="F22" i="71"/>
  <c r="F23" i="71"/>
  <c r="V23" i="71"/>
  <c r="D20" i="71"/>
  <c r="F17" i="71"/>
  <c r="F18" i="71"/>
  <c r="F19" i="71"/>
  <c r="V19" i="71"/>
  <c r="D16" i="71"/>
  <c r="B17" i="71"/>
  <c r="B18" i="71"/>
  <c r="B19" i="71"/>
  <c r="S19" i="71"/>
  <c r="E17" i="71"/>
  <c r="E18" i="71"/>
  <c r="E19" i="71"/>
  <c r="U19" i="71"/>
  <c r="B21" i="71"/>
  <c r="B22" i="71"/>
  <c r="B23" i="71"/>
  <c r="S23" i="71"/>
  <c r="B25" i="71"/>
  <c r="B26" i="71"/>
  <c r="B27" i="71"/>
  <c r="S27" i="71"/>
  <c r="E25" i="71"/>
  <c r="E26" i="71"/>
  <c r="E27" i="71"/>
  <c r="U27" i="71"/>
  <c r="N55" i="71"/>
  <c r="E21" i="71"/>
  <c r="E22" i="71"/>
  <c r="E23" i="71"/>
  <c r="U23" i="71"/>
  <c r="C17" i="71"/>
  <c r="C21" i="71"/>
  <c r="C22" i="71"/>
  <c r="C25" i="71"/>
  <c r="F38" i="71"/>
  <c r="F39" i="71"/>
  <c r="V39" i="71"/>
  <c r="C15" i="71"/>
  <c r="B15" i="71"/>
  <c r="B14" i="71"/>
  <c r="B13" i="71"/>
  <c r="C18" i="71"/>
  <c r="D17" i="71"/>
  <c r="D21" i="71"/>
  <c r="C26" i="71"/>
  <c r="D25" i="71"/>
  <c r="C30" i="71"/>
  <c r="D29" i="71"/>
  <c r="C34" i="71"/>
  <c r="D34" i="71"/>
  <c r="D33" i="71"/>
  <c r="C38" i="71"/>
  <c r="D37" i="71"/>
  <c r="E42" i="71"/>
  <c r="E43" i="71"/>
  <c r="U43" i="71"/>
  <c r="E46" i="71"/>
  <c r="E47" i="71"/>
  <c r="U47" i="71"/>
  <c r="E50" i="71"/>
  <c r="E51" i="71"/>
  <c r="U51" i="71"/>
  <c r="Q52" i="71"/>
  <c r="U55" i="71"/>
  <c r="E54"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E15" i="71"/>
  <c r="E14" i="71"/>
  <c r="E13"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W21" i="21"/>
  <c r="AC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J87" i="43"/>
  <c r="D67" i="43"/>
  <c r="D60" i="43"/>
  <c r="D61" i="43"/>
  <c r="D62" i="43"/>
  <c r="D63" i="43"/>
  <c r="D64" i="43"/>
  <c r="D65" i="43"/>
  <c r="D66" i="43"/>
  <c r="D59" i="43"/>
  <c r="E59" i="43"/>
  <c r="B57" i="43"/>
  <c r="M88" i="43"/>
  <c r="N88" i="43"/>
  <c r="J88" i="43"/>
  <c r="M87" i="43"/>
  <c r="N87" i="43"/>
  <c r="M86" i="43"/>
  <c r="N86" i="43"/>
  <c r="M85" i="43"/>
  <c r="N85" i="43"/>
  <c r="K85" i="43"/>
  <c r="J85" i="43"/>
  <c r="M84" i="43"/>
  <c r="N84" i="43"/>
  <c r="J84" i="43"/>
  <c r="M83" i="43"/>
  <c r="N83" i="43"/>
  <c r="J83" i="43"/>
  <c r="M82" i="43"/>
  <c r="N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G7" i="1"/>
  <c r="F19" i="4"/>
  <c r="F2" i="52"/>
  <c r="B50" i="72"/>
  <c r="D2" i="52"/>
  <c r="B46" i="72"/>
  <c r="B8" i="53"/>
  <c r="B23" i="72"/>
  <c r="L4" i="9"/>
  <c r="B17" i="72"/>
  <c r="B15" i="72"/>
  <c r="A3" i="51"/>
  <c r="C8" i="11"/>
  <c r="B2" i="49"/>
  <c r="E17" i="49" s="1"/>
  <c r="B40" i="48"/>
  <c r="B3" i="72"/>
  <c r="N1" i="43"/>
  <c r="F35" i="4"/>
  <c r="J55" i="39"/>
  <c r="H34" i="43"/>
  <c r="H35" i="43"/>
  <c r="H36" i="43"/>
  <c r="H37" i="43"/>
  <c r="H38" i="43"/>
  <c r="H39" i="43"/>
  <c r="H33" i="43"/>
  <c r="F15" i="43"/>
  <c r="E15" i="43"/>
  <c r="D15" i="43"/>
  <c r="C15" i="43"/>
  <c r="C10" i="43"/>
  <c r="C11" i="43"/>
  <c r="C9" i="43"/>
  <c r="A7" i="43"/>
  <c r="F33" i="15"/>
  <c r="F61" i="15"/>
  <c r="M19" i="15"/>
  <c r="M10" i="1"/>
  <c r="O10" i="1"/>
  <c r="B22" i="1"/>
  <c r="B23" i="1"/>
  <c r="B43" i="1"/>
  <c r="D78" i="9"/>
  <c r="K8" i="1"/>
  <c r="M8" i="1"/>
  <c r="F23" i="15"/>
  <c r="D24" i="15"/>
  <c r="O8" i="1"/>
  <c r="P8" i="1"/>
  <c r="M13"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I55" i="9"/>
  <c r="F55" i="9"/>
  <c r="O53" i="9"/>
  <c r="G12" i="1"/>
  <c r="J55" i="9"/>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BJ5" i="3"/>
  <c r="BH5" i="3"/>
  <c r="BF5" i="3"/>
  <c r="BD5" i="3"/>
  <c r="BP5" i="3"/>
  <c r="BN5" i="3"/>
  <c r="BK5" i="3"/>
  <c r="BI5" i="3"/>
  <c r="BG5" i="3"/>
  <c r="BE5" i="3"/>
  <c r="BC5" i="3"/>
  <c r="BB5" i="3"/>
  <c r="E8" i="6"/>
  <c r="F27" i="6"/>
  <c r="U36" i="40"/>
  <c r="F48" i="43"/>
  <c r="H52" i="43"/>
  <c r="F70" i="43"/>
  <c r="H73" i="43"/>
  <c r="M11" i="43"/>
  <c r="D17" i="43"/>
  <c r="I17" i="43"/>
  <c r="J17" i="43"/>
  <c r="U17" i="39"/>
  <c r="S14" i="35"/>
  <c r="U43" i="21"/>
  <c r="U35" i="21"/>
  <c r="AC35" i="21"/>
  <c r="U10" i="21"/>
  <c r="G8" i="1"/>
  <c r="G9" i="1"/>
  <c r="G10" i="1"/>
  <c r="B41"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E1" i="73"/>
  <c r="F30" i="68"/>
  <c r="C42" i="1"/>
  <c r="C30" i="68"/>
  <c r="T6" i="1"/>
  <c r="C48" i="68"/>
  <c r="K7" i="1"/>
  <c r="M7" i="1"/>
  <c r="K9" i="1"/>
  <c r="M9" i="1"/>
  <c r="K11" i="1"/>
  <c r="M11" i="1"/>
  <c r="K12" i="1"/>
  <c r="M12" i="1"/>
  <c r="K14" i="1"/>
  <c r="M14" i="1"/>
  <c r="F32" i="15"/>
  <c r="D19" i="6"/>
  <c r="L19" i="6"/>
  <c r="M19" i="6"/>
  <c r="I19" i="6"/>
  <c r="H19" i="6"/>
  <c r="R19" i="6"/>
  <c r="F34" i="15"/>
  <c r="F28" i="15"/>
  <c r="C28" i="15"/>
  <c r="M18" i="15"/>
  <c r="AG6" i="1"/>
  <c r="D68" i="9"/>
  <c r="O9" i="1"/>
  <c r="P9" i="1"/>
  <c r="AE9" i="1"/>
  <c r="D93" i="9"/>
  <c r="E12" i="6"/>
  <c r="E15" i="6"/>
  <c r="E60" i="40"/>
  <c r="E13" i="6"/>
  <c r="E58" i="40"/>
  <c r="G29" i="6"/>
  <c r="E29" i="6"/>
  <c r="AC26" i="33"/>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F31" i="12"/>
  <c r="C4"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11"/>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53" i="43"/>
  <c r="H78" i="43"/>
  <c r="H71" i="43"/>
  <c r="C17" i="43"/>
  <c r="K17" i="43"/>
  <c r="N6" i="43"/>
  <c r="N3"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7" i="49"/>
  <c r="E4" i="4" s="1"/>
  <c r="B5" i="62" s="1"/>
  <c r="B73" i="72" s="1"/>
  <c r="B13" i="49"/>
  <c r="C4" i="4" s="1"/>
  <c r="AQ13" i="1"/>
  <c r="O6" i="1"/>
  <c r="P6" i="1"/>
  <c r="F30" i="11"/>
  <c r="C48" i="11"/>
  <c r="F28" i="67"/>
  <c r="F52" i="9"/>
  <c r="M18" i="67"/>
  <c r="F32" i="67"/>
  <c r="F60" i="67"/>
  <c r="F30" i="69"/>
  <c r="C48" i="69"/>
  <c r="F60" i="15"/>
  <c r="E63" i="39"/>
  <c r="T11" i="1"/>
  <c r="D9" i="69"/>
  <c r="C9" i="69" s="1"/>
  <c r="D19" i="12"/>
  <c r="C19" i="12" s="1"/>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S21" i="6"/>
  <c r="L27" i="6"/>
  <c r="S26" i="6"/>
  <c r="S22" i="6"/>
  <c r="M20" i="6"/>
  <c r="I20" i="6"/>
  <c r="AP7" i="1"/>
  <c r="O7" i="1"/>
  <c r="Q16" i="1"/>
  <c r="F27" i="69"/>
  <c r="C47" i="69" s="1"/>
  <c r="D45" i="69" s="1"/>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E6" i="6"/>
  <c r="D19" i="11"/>
  <c r="C19"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S20" i="6"/>
  <c r="M27" i="6"/>
  <c r="F27" i="11"/>
  <c r="AC11" i="37"/>
  <c r="W11" i="37"/>
  <c r="W11" i="34"/>
  <c r="AC11" i="34"/>
  <c r="H20" i="6"/>
  <c r="B2" i="74"/>
  <c r="E6" i="3"/>
  <c r="D10" i="11"/>
  <c r="C10" i="11"/>
  <c r="D20" i="12"/>
  <c r="C20" i="12" s="1"/>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s="1"/>
  <c r="F34" i="11"/>
  <c r="C37" i="11"/>
  <c r="F11" i="12"/>
  <c r="S19" i="6"/>
  <c r="S27" i="6"/>
  <c r="I27" i="6"/>
  <c r="F50" i="11"/>
  <c r="F50" i="69"/>
  <c r="C47" i="11"/>
  <c r="D45" i="11"/>
  <c r="C29" i="11"/>
  <c r="D27" i="11"/>
  <c r="L16" i="1"/>
  <c r="C34" i="11"/>
  <c r="C38" i="11"/>
  <c r="R26" i="6"/>
  <c r="R23" i="6"/>
  <c r="R24" i="6"/>
  <c r="R21" i="6"/>
  <c r="R8" i="1"/>
  <c r="R16" i="1" s="1"/>
  <c r="R22" i="6"/>
  <c r="D30" i="6"/>
  <c r="D16" i="6"/>
  <c r="A7" i="51"/>
  <c r="B7" i="72"/>
  <c r="C4" i="52"/>
  <c r="B45" i="72"/>
  <c r="A10" i="51"/>
  <c r="B9" i="72"/>
  <c r="D27" i="6"/>
  <c r="H27" i="6"/>
  <c r="C35" i="11"/>
  <c r="D31" i="6"/>
  <c r="I6" i="6"/>
  <c r="R27" i="6"/>
  <c r="I5" i="6"/>
  <c r="E2" i="70"/>
  <c r="C34" i="69"/>
  <c r="C38" i="69" s="1"/>
  <c r="D10" i="69"/>
  <c r="C10" i="69" s="1"/>
  <c r="S16" i="1"/>
  <c r="AE7" i="1"/>
  <c r="T16" i="1"/>
  <c r="AE8" i="1"/>
  <c r="H109" i="9"/>
  <c r="H110" i="9"/>
  <c r="D18" i="53"/>
  <c r="B35" i="72"/>
  <c r="D124" i="9"/>
  <c r="D16" i="53"/>
  <c r="B34" i="72"/>
  <c r="D10" i="52"/>
  <c r="H14" i="74"/>
  <c r="D17" i="53"/>
  <c r="B36" i="72"/>
  <c r="D125" i="9"/>
  <c r="D11" i="52"/>
  <c r="B7" i="74"/>
  <c r="D7" i="74"/>
  <c r="C7" i="74"/>
  <c r="J7" i="33"/>
  <c r="W7" i="33"/>
  <c r="F7" i="33"/>
  <c r="S7" i="33"/>
  <c r="H7" i="33"/>
  <c r="AB7" i="33"/>
  <c r="T48" i="33"/>
  <c r="G48" i="33"/>
  <c r="C77" i="9"/>
  <c r="C74" i="9"/>
  <c r="D59" i="9"/>
  <c r="M55" i="9"/>
  <c r="AD3" i="71"/>
  <c r="C65" i="40"/>
  <c r="D63" i="40"/>
  <c r="G16" i="1"/>
  <c r="AA7" i="33"/>
  <c r="R48" i="33"/>
  <c r="C36" i="11"/>
  <c r="C33" i="11"/>
  <c r="C39" i="11"/>
  <c r="C46" i="11"/>
  <c r="C45" i="11"/>
  <c r="C13" i="12"/>
  <c r="C30" i="69"/>
  <c r="C28" i="67"/>
  <c r="H77" i="43"/>
  <c r="H76" i="43"/>
  <c r="H51" i="43"/>
  <c r="H67" i="43"/>
  <c r="H59" i="43"/>
  <c r="H60" i="43"/>
  <c r="H61" i="43"/>
  <c r="M4" i="43"/>
  <c r="M5" i="43"/>
  <c r="N12" i="43"/>
  <c r="N11" i="43"/>
  <c r="M2" i="43"/>
  <c r="M7" i="43"/>
  <c r="H70" i="43"/>
  <c r="H54" i="43"/>
  <c r="N9" i="43"/>
  <c r="M8"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9" i="71"/>
  <c r="D9" i="71"/>
  <c r="D10" i="71"/>
  <c r="D11" i="71"/>
  <c r="U11" i="71"/>
  <c r="S11" i="71"/>
  <c r="T11" i="71"/>
  <c r="B6" i="71"/>
  <c r="B5" i="71"/>
  <c r="S7" i="71"/>
  <c r="C29" i="12"/>
  <c r="D28" i="12" s="1"/>
  <c r="C92" i="9"/>
  <c r="C20" i="11"/>
  <c r="C28" i="11"/>
  <c r="C27" i="11"/>
  <c r="F8" i="71"/>
  <c r="F7" i="71"/>
  <c r="F6" i="71"/>
  <c r="F5" i="71"/>
  <c r="E7" i="49"/>
  <c r="B15" i="49"/>
  <c r="C8" i="71"/>
  <c r="E8" i="71"/>
  <c r="E7" i="71"/>
  <c r="E10" i="49"/>
  <c r="B6" i="49"/>
  <c r="E14" i="49"/>
  <c r="D19" i="69"/>
  <c r="C19" i="69" s="1"/>
  <c r="AF3" i="71"/>
  <c r="P24" i="43"/>
  <c r="B66" i="40"/>
  <c r="P21" i="43"/>
  <c r="P22" i="43"/>
  <c r="C14" i="12"/>
  <c r="C23" i="12"/>
  <c r="C29" i="69"/>
  <c r="D27" i="69" s="1"/>
  <c r="B4" i="49"/>
  <c r="B9" i="49"/>
  <c r="E22" i="49"/>
  <c r="E16" i="49"/>
  <c r="E11" i="49"/>
  <c r="B10" i="49"/>
  <c r="E6" i="49"/>
  <c r="E8" i="49"/>
  <c r="E5" i="49"/>
  <c r="B8" i="49"/>
  <c r="B5" i="49"/>
  <c r="E21" i="49"/>
  <c r="E4" i="49"/>
  <c r="B11" i="49"/>
  <c r="B14" i="49"/>
  <c r="B16" i="49"/>
  <c r="E13" i="49"/>
  <c r="E15" i="49"/>
  <c r="E9" i="49"/>
  <c r="B22" i="49"/>
  <c r="F31" i="15"/>
  <c r="M17" i="67"/>
  <c r="F59" i="67"/>
  <c r="F59" i="15"/>
  <c r="M17" i="15"/>
  <c r="F31" i="67"/>
  <c r="D65" i="40"/>
  <c r="E63" i="40"/>
  <c r="G17"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E6" i="71"/>
  <c r="E5" i="71"/>
  <c r="V7" i="71"/>
  <c r="P23" i="43"/>
  <c r="B71" i="39"/>
  <c r="C7" i="71"/>
  <c r="D8" i="71"/>
  <c r="P25"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M20" i="43"/>
  <c r="U7" i="71"/>
  <c r="G65" i="40"/>
  <c r="H63" i="40"/>
  <c r="H68" i="39"/>
  <c r="G70" i="39"/>
  <c r="R50" i="34"/>
  <c r="E49" i="34"/>
  <c r="U7" i="34"/>
  <c r="AB7" i="34"/>
  <c r="T49" i="34"/>
  <c r="G49" i="34"/>
  <c r="E52" i="21"/>
  <c r="F52" i="21"/>
  <c r="E53" i="21"/>
  <c r="F53" i="21"/>
  <c r="I53" i="34"/>
  <c r="J53" i="34"/>
  <c r="I54" i="34"/>
  <c r="J54" i="34"/>
  <c r="C48" i="21"/>
  <c r="C49" i="21"/>
  <c r="H65" i="40"/>
  <c r="I63" i="40"/>
  <c r="C50" i="34"/>
  <c r="C49" i="34"/>
  <c r="I68" i="39"/>
  <c r="H70" i="39"/>
  <c r="G53" i="34"/>
  <c r="H53" i="34"/>
  <c r="G54" i="34"/>
  <c r="H54" i="34"/>
  <c r="E54" i="34"/>
  <c r="F54" i="34"/>
  <c r="E53" i="34"/>
  <c r="F53" i="34"/>
  <c r="I65" i="40"/>
  <c r="J63" i="40"/>
  <c r="J68" i="39"/>
  <c r="I70" i="39"/>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 r="D4" i="73"/>
  <c r="F8" i="15"/>
  <c r="F4" i="73"/>
  <c r="F16" i="15"/>
  <c r="F36" i="15"/>
  <c r="F37" i="15"/>
  <c r="F42" i="15"/>
  <c r="M6" i="15"/>
  <c r="D9" i="68"/>
  <c r="F27" i="68"/>
  <c r="C36" i="68"/>
  <c r="F7" i="15"/>
  <c r="F26" i="15"/>
  <c r="M8" i="15"/>
  <c r="M26" i="15"/>
  <c r="F43" i="67"/>
  <c r="D2" i="33"/>
  <c r="B10" i="76"/>
  <c r="B8" i="76"/>
  <c r="AO7" i="1"/>
  <c r="F5" i="73"/>
  <c r="F7" i="73"/>
  <c r="M22" i="67"/>
  <c r="F6" i="73"/>
  <c r="C76" i="15"/>
  <c r="M23" i="67"/>
  <c r="E2" i="69"/>
  <c r="F35" i="67"/>
  <c r="AO9" i="1"/>
  <c r="F13" i="67"/>
  <c r="B13" i="76"/>
  <c r="AO11" i="1"/>
  <c r="M22" i="15"/>
  <c r="M23" i="15"/>
  <c r="M28" i="15"/>
  <c r="F8" i="67"/>
  <c r="J15" i="67"/>
  <c r="F41" i="67"/>
  <c r="E7" i="76"/>
  <c r="L47" i="67"/>
  <c r="B12" i="76"/>
  <c r="E10" i="76"/>
  <c r="M6" i="67"/>
  <c r="F6" i="67"/>
  <c r="F40" i="67"/>
  <c r="M21" i="67"/>
  <c r="E12" i="76"/>
  <c r="D2" i="36"/>
  <c r="AO13" i="1"/>
  <c r="B9" i="76"/>
  <c r="B7" i="76"/>
  <c r="D6" i="73"/>
  <c r="D7" i="73"/>
  <c r="D5" i="73"/>
  <c r="C14" i="15"/>
  <c r="F43" i="15"/>
  <c r="F38" i="15"/>
  <c r="L48" i="15"/>
  <c r="D10" i="68"/>
  <c r="F6" i="15"/>
  <c r="F35" i="15"/>
  <c r="F40" i="15"/>
  <c r="M9" i="15"/>
  <c r="F26" i="67"/>
  <c r="E13" i="76"/>
  <c r="M29" i="67"/>
  <c r="D2" i="35"/>
  <c r="AO10" i="1"/>
  <c r="E9" i="76"/>
  <c r="F9" i="67"/>
  <c r="F37" i="67"/>
  <c r="M21" i="15"/>
  <c r="M24" i="15"/>
  <c r="M9" i="67"/>
  <c r="M27" i="67"/>
  <c r="F3" i="73"/>
  <c r="F20" i="31"/>
  <c r="M29" i="15"/>
  <c r="AO12" i="1"/>
  <c r="F42" i="67"/>
  <c r="E2" i="68"/>
  <c r="B11" i="76"/>
  <c r="E8" i="76"/>
  <c r="F9" i="15"/>
  <c r="F13" i="15"/>
  <c r="L48" i="67"/>
  <c r="C34" i="68"/>
  <c r="M27" i="15"/>
  <c r="AO8" i="1"/>
  <c r="E11" i="76"/>
  <c r="F16" i="67"/>
  <c r="M26" i="67"/>
  <c r="M8" i="67"/>
  <c r="L47" i="15"/>
  <c r="M24" i="67"/>
  <c r="F38" i="67"/>
  <c r="J15" i="15"/>
  <c r="D2" i="34"/>
  <c r="D2" i="21"/>
  <c r="F36" i="67"/>
  <c r="D2" i="37"/>
  <c r="F7" i="67"/>
  <c r="C76" i="67"/>
  <c r="M28" i="67"/>
  <c r="D3" i="73"/>
  <c r="D37" i="69" l="1"/>
  <c r="C37" i="69" s="1"/>
  <c r="C12" i="12"/>
  <c r="C16" i="12" s="1"/>
  <c r="C35" i="69"/>
  <c r="C33" i="69" s="1"/>
  <c r="C39" i="69" s="1"/>
  <c r="Q71" i="67"/>
  <c r="B13" i="70"/>
  <c r="B2" i="36"/>
  <c r="B3" i="36" s="1"/>
  <c r="M7" i="67"/>
  <c r="F50" i="67"/>
  <c r="J20" i="67"/>
  <c r="F70" i="67"/>
  <c r="F68" i="67"/>
  <c r="B2" i="37"/>
  <c r="B3" i="37" s="1"/>
  <c r="C6" i="67"/>
  <c r="B12" i="70"/>
  <c r="J6" i="67"/>
  <c r="F64" i="67"/>
  <c r="B2" i="21"/>
  <c r="B3" i="21" s="1"/>
  <c r="L59" i="67"/>
  <c r="N59" i="67"/>
  <c r="M59" i="67"/>
  <c r="L58" i="67"/>
  <c r="B20" i="31"/>
  <c r="F69" i="67"/>
  <c r="F51" i="67"/>
  <c r="C49" i="67" s="1"/>
  <c r="B2" i="34"/>
  <c r="B3" i="34" s="1"/>
  <c r="J20" i="15"/>
  <c r="B11" i="70"/>
  <c r="F66" i="67"/>
  <c r="F65" i="67"/>
  <c r="B9" i="70"/>
  <c r="C34" i="67"/>
  <c r="F63" i="67"/>
  <c r="C62" i="67" s="1"/>
  <c r="L59" i="15"/>
  <c r="L58" i="15"/>
  <c r="N59" i="15"/>
  <c r="M59" i="15"/>
  <c r="Q71" i="15"/>
  <c r="B10" i="70"/>
  <c r="B2" i="35"/>
  <c r="B3" i="35" s="1"/>
  <c r="B7" i="70"/>
  <c r="B8" i="70"/>
  <c r="B2" i="33"/>
  <c r="B3" i="33" s="1"/>
  <c r="C27" i="67"/>
  <c r="F71" i="67"/>
  <c r="F68" i="15"/>
  <c r="C27" i="15"/>
  <c r="C34" i="15"/>
  <c r="F63" i="15"/>
  <c r="C62" i="15" s="1"/>
  <c r="M7" i="15"/>
  <c r="F50" i="15"/>
  <c r="C6" i="15"/>
  <c r="C35" i="68"/>
  <c r="C38" i="68"/>
  <c r="C29" i="68"/>
  <c r="D27" i="68" s="1"/>
  <c r="C47" i="68"/>
  <c r="D45" i="68" s="1"/>
  <c r="C10" i="68"/>
  <c r="C9" i="68"/>
  <c r="C8" i="68" s="1"/>
  <c r="B29" i="1" s="1"/>
  <c r="D19" i="68"/>
  <c r="D37" i="68" s="1"/>
  <c r="C37" i="68" s="1"/>
  <c r="J53" i="67"/>
  <c r="I54" i="67"/>
  <c r="J57" i="67"/>
  <c r="J55" i="67" s="1"/>
  <c r="J58" i="67" s="1"/>
  <c r="Q50" i="67" s="1"/>
  <c r="L56" i="67"/>
  <c r="J6" i="15"/>
  <c r="J60" i="15"/>
  <c r="Q48" i="15" s="1"/>
  <c r="J53" i="15"/>
  <c r="L46" i="15"/>
  <c r="J59" i="15"/>
  <c r="I54" i="15"/>
  <c r="J57" i="15"/>
  <c r="J55" i="15" s="1"/>
  <c r="J58" i="15" s="1"/>
  <c r="Q50" i="15" s="1"/>
  <c r="L56" i="15"/>
  <c r="L60" i="15"/>
  <c r="L57" i="15"/>
  <c r="F66" i="15"/>
  <c r="F65" i="15"/>
  <c r="F64" i="15"/>
  <c r="F71" i="15"/>
  <c r="C18" i="15"/>
  <c r="C15" i="15"/>
  <c r="I1" i="73"/>
  <c r="B39" i="1" s="1"/>
  <c r="F51" i="15"/>
  <c r="C49" i="15" s="1"/>
  <c r="K1" i="73"/>
  <c r="E20" i="43"/>
  <c r="C8" i="69"/>
  <c r="C5" i="69" s="1"/>
  <c r="B4" i="62"/>
  <c r="B71" i="72" s="1"/>
  <c r="K4" i="4"/>
  <c r="B46" i="48" s="1"/>
  <c r="B4" i="72" s="1"/>
  <c r="C18" i="12"/>
  <c r="C21" i="12" s="1"/>
  <c r="C16" i="67"/>
  <c r="C14" i="67"/>
  <c r="C16" i="15"/>
  <c r="C17" i="67"/>
  <c r="C17" i="15"/>
  <c r="G1" i="73"/>
  <c r="C33" i="68" l="1"/>
  <c r="B40" i="1"/>
  <c r="C15" i="67"/>
  <c r="C19" i="67" s="1"/>
  <c r="C18" i="67"/>
  <c r="C22" i="12"/>
  <c r="C30" i="12" s="1"/>
  <c r="C28" i="12" s="1"/>
  <c r="C19" i="15"/>
  <c r="C39" i="68"/>
  <c r="C46" i="68" s="1"/>
  <c r="C45" i="68" s="1"/>
  <c r="F11" i="15"/>
  <c r="M11" i="15"/>
  <c r="J10" i="15" s="1"/>
  <c r="J5" i="15" s="1"/>
  <c r="M11" i="67"/>
  <c r="J10" i="67" s="1"/>
  <c r="F11" i="67"/>
  <c r="Q66" i="15"/>
  <c r="Q57" i="15"/>
  <c r="F1" i="15"/>
  <c r="Q52" i="15"/>
  <c r="J18" i="15"/>
  <c r="J19" i="15"/>
  <c r="F1" i="67"/>
  <c r="Q52" i="67"/>
  <c r="Q74" i="15"/>
  <c r="Q61" i="15"/>
  <c r="Q73" i="67"/>
  <c r="Q60" i="67"/>
  <c r="J18" i="67"/>
  <c r="J5" i="67"/>
  <c r="C32" i="67"/>
  <c r="C20" i="69"/>
  <c r="C28" i="69" s="1"/>
  <c r="C27" i="69" s="1"/>
  <c r="C46" i="69"/>
  <c r="C45" i="69" s="1"/>
  <c r="P28" i="43"/>
  <c r="G20" i="43" s="1"/>
  <c r="N28" i="43"/>
  <c r="M28" i="43"/>
  <c r="O28" i="43"/>
  <c r="C53" i="15"/>
  <c r="C48" i="15" s="1"/>
  <c r="C10" i="15"/>
  <c r="C32" i="15"/>
  <c r="C5" i="15"/>
  <c r="C33" i="15"/>
  <c r="Q60" i="15"/>
  <c r="Q73" i="15"/>
  <c r="Q61" i="67"/>
  <c r="Q74" i="67"/>
  <c r="AE6" i="1"/>
  <c r="J17" i="15" l="1"/>
  <c r="J26" i="15"/>
  <c r="J24" i="15"/>
  <c r="C60" i="15"/>
  <c r="C61" i="15"/>
  <c r="C66" i="15"/>
  <c r="C38" i="15"/>
  <c r="C20" i="43"/>
  <c r="E41" i="43"/>
  <c r="C41" i="43" s="1"/>
  <c r="J26" i="67"/>
  <c r="J29" i="67" s="1"/>
  <c r="J24" i="67"/>
  <c r="C53" i="67"/>
  <c r="C48" i="67" s="1"/>
  <c r="C10" i="67"/>
  <c r="C5" i="67" s="1"/>
  <c r="C31" i="15"/>
  <c r="C20" i="15"/>
  <c r="C26" i="15"/>
  <c r="C20" i="67"/>
  <c r="C26" i="67" s="1"/>
  <c r="F22" i="68"/>
  <c r="C43" i="68" s="1"/>
  <c r="F24" i="15"/>
  <c r="C24" i="15" s="1"/>
  <c r="F24" i="67"/>
  <c r="C24" i="67" s="1"/>
  <c r="F25" i="12"/>
  <c r="F22" i="69"/>
  <c r="C25" i="69" s="1"/>
  <c r="F22" i="11"/>
  <c r="F41" i="15"/>
  <c r="F69" i="15" l="1"/>
  <c r="J29" i="15"/>
  <c r="C44" i="11"/>
  <c r="D41" i="11" s="1"/>
  <c r="C26" i="11"/>
  <c r="D22" i="11" s="1"/>
  <c r="C23" i="11"/>
  <c r="C43" i="11"/>
  <c r="C42" i="11"/>
  <c r="C41" i="11" s="1"/>
  <c r="C49" i="11" s="1"/>
  <c r="C51" i="11" s="1"/>
  <c r="C25" i="11"/>
  <c r="C24" i="11"/>
  <c r="C26" i="12"/>
  <c r="D25" i="12" s="1"/>
  <c r="C27" i="12"/>
  <c r="C25" i="12" s="1"/>
  <c r="C32" i="12" s="1"/>
  <c r="B2" i="12" s="1"/>
  <c r="B3" i="12" s="1"/>
  <c r="C23" i="67"/>
  <c r="C29" i="67" s="1"/>
  <c r="C23" i="15"/>
  <c r="C29" i="15" s="1"/>
  <c r="C38" i="67"/>
  <c r="C29" i="43"/>
  <c r="C33" i="43"/>
  <c r="C34" i="43"/>
  <c r="C35" i="43"/>
  <c r="C36" i="43"/>
  <c r="C37" i="43"/>
  <c r="T14" i="43"/>
  <c r="V14" i="43" s="1"/>
  <c r="T3" i="43"/>
  <c r="V3" i="43" s="1"/>
  <c r="T6" i="43"/>
  <c r="V6" i="43" s="1"/>
  <c r="T5" i="43"/>
  <c r="V5" i="43" s="1"/>
  <c r="T2" i="43"/>
  <c r="V2" i="43" s="1"/>
  <c r="T8" i="43"/>
  <c r="V8" i="43" s="1"/>
  <c r="T13" i="43"/>
  <c r="V13" i="43" s="1"/>
  <c r="T16" i="43"/>
  <c r="V16" i="43" s="1"/>
  <c r="T15" i="43"/>
  <c r="V15" i="43" s="1"/>
  <c r="T9" i="43"/>
  <c r="V9" i="43" s="1"/>
  <c r="T7" i="43"/>
  <c r="V7" i="43" s="1"/>
  <c r="T12" i="43"/>
  <c r="V12" i="43" s="1"/>
  <c r="T10" i="43"/>
  <c r="V10" i="43" s="1"/>
  <c r="T11" i="43"/>
  <c r="V11" i="43" s="1"/>
  <c r="T4" i="43"/>
  <c r="V4" i="43" s="1"/>
  <c r="C59" i="15"/>
  <c r="C24" i="69"/>
  <c r="C44" i="69"/>
  <c r="D41" i="69" s="1"/>
  <c r="C26" i="69"/>
  <c r="D22" i="69" s="1"/>
  <c r="C42" i="69"/>
  <c r="C43" i="69"/>
  <c r="C23" i="69"/>
  <c r="C24" i="68"/>
  <c r="C26" i="68"/>
  <c r="D22" i="68" s="1"/>
  <c r="C44" i="68"/>
  <c r="D41" i="68" s="1"/>
  <c r="C42" i="68"/>
  <c r="C41" i="68" s="1"/>
  <c r="C66" i="67"/>
  <c r="C60" i="67"/>
  <c r="C38" i="43"/>
  <c r="C39" i="43"/>
  <c r="C49" i="68" l="1"/>
  <c r="C51" i="68" s="1"/>
  <c r="C22" i="69"/>
  <c r="C31" i="69" s="1"/>
  <c r="C41" i="69"/>
  <c r="C49" i="69" s="1"/>
  <c r="C51" i="69" s="1"/>
  <c r="E38" i="43"/>
  <c r="G38" i="43"/>
  <c r="I38" i="43" s="1"/>
  <c r="E36" i="43"/>
  <c r="G36" i="43"/>
  <c r="I36" i="43" s="1"/>
  <c r="E34" i="43"/>
  <c r="G34" i="43"/>
  <c r="I34" i="43" s="1"/>
  <c r="E29" i="43"/>
  <c r="C30" i="43"/>
  <c r="E30" i="43" s="1"/>
  <c r="J19" i="67"/>
  <c r="J17" i="67" s="1"/>
  <c r="C33" i="67"/>
  <c r="C31" i="67" s="1"/>
  <c r="C13" i="67"/>
  <c r="C57" i="67"/>
  <c r="C36" i="67"/>
  <c r="J14" i="67"/>
  <c r="Q49" i="67"/>
  <c r="J59" i="67"/>
  <c r="J60" i="67" s="1"/>
  <c r="E39" i="43"/>
  <c r="G39" i="43"/>
  <c r="I39" i="43" s="1"/>
  <c r="E37" i="43"/>
  <c r="G37" i="43"/>
  <c r="I37" i="43" s="1"/>
  <c r="E35" i="43"/>
  <c r="G35" i="43"/>
  <c r="I35" i="43" s="1"/>
  <c r="E33" i="43"/>
  <c r="G33" i="43"/>
  <c r="I33" i="43" s="1"/>
  <c r="C36" i="15"/>
  <c r="C13" i="15"/>
  <c r="J14" i="15"/>
  <c r="Q49" i="15"/>
  <c r="C57" i="15"/>
  <c r="C64" i="15" s="1"/>
  <c r="C56" i="11"/>
  <c r="C57" i="11" s="1"/>
  <c r="C22" i="11"/>
  <c r="C31" i="11" s="1"/>
  <c r="C52" i="11" s="1"/>
  <c r="B2" i="11" s="1"/>
  <c r="B3" i="11" s="1"/>
  <c r="C52" i="69" l="1"/>
  <c r="C37" i="15"/>
  <c r="C75" i="15"/>
  <c r="Q70" i="15"/>
  <c r="C56" i="15"/>
  <c r="C65" i="15" s="1"/>
  <c r="C58" i="15" s="1"/>
  <c r="C67" i="15" s="1"/>
  <c r="C68" i="15" s="1"/>
  <c r="Q48" i="67"/>
  <c r="L46" i="67"/>
  <c r="J13" i="67"/>
  <c r="J23" i="67" s="1"/>
  <c r="J22" i="67"/>
  <c r="C61" i="67"/>
  <c r="C59" i="67" s="1"/>
  <c r="C64" i="67"/>
  <c r="C27" i="43"/>
  <c r="J22" i="15"/>
  <c r="J13" i="15"/>
  <c r="J23" i="15" s="1"/>
  <c r="C30" i="15"/>
  <c r="C39" i="15" s="1"/>
  <c r="Q70" i="67"/>
  <c r="C56" i="67"/>
  <c r="C65" i="67" s="1"/>
  <c r="C37" i="67"/>
  <c r="C30" i="67" s="1"/>
  <c r="C39" i="67" s="1"/>
  <c r="C75" i="67"/>
  <c r="J16" i="67"/>
  <c r="J25" i="67" s="1"/>
  <c r="C26" i="43"/>
  <c r="E6" i="76"/>
  <c r="B2" i="69" l="1"/>
  <c r="B3" i="69" s="1"/>
  <c r="C57" i="69"/>
  <c r="C56" i="69" s="1"/>
  <c r="E2" i="76"/>
  <c r="C71" i="15"/>
  <c r="Q69" i="67"/>
  <c r="Q68" i="67" s="1"/>
  <c r="C40" i="67"/>
  <c r="B2" i="43"/>
  <c r="C80" i="15"/>
  <c r="C79" i="15" s="1"/>
  <c r="C80" i="67"/>
  <c r="C79" i="67" s="1"/>
  <c r="C40" i="15"/>
  <c r="Q69" i="15"/>
  <c r="Q68" i="15" s="1"/>
  <c r="J16" i="15"/>
  <c r="J25" i="15" s="1"/>
  <c r="C58" i="67"/>
  <c r="C67" i="67" s="1"/>
  <c r="C68" i="67" s="1"/>
  <c r="L51" i="67"/>
  <c r="B6" i="76"/>
  <c r="L51" i="15"/>
  <c r="Q67" i="15" l="1"/>
  <c r="Q67" i="67"/>
  <c r="L57" i="67"/>
  <c r="L60" i="67" s="1"/>
  <c r="B2" i="76"/>
  <c r="B3" i="76" s="1"/>
  <c r="C45" i="67"/>
  <c r="C46" i="67" s="1"/>
  <c r="C71" i="67"/>
  <c r="B2" i="15"/>
  <c r="Q56" i="15"/>
  <c r="Q62" i="15" s="1"/>
  <c r="C43" i="15"/>
  <c r="Q65" i="15"/>
  <c r="Q75" i="15" s="1"/>
  <c r="Q47" i="15"/>
  <c r="Q53" i="15" s="1"/>
  <c r="C83" i="15"/>
  <c r="C82" i="15" s="1"/>
  <c r="B3" i="43"/>
  <c r="P5" i="43" s="1"/>
  <c r="P6" i="43" s="1"/>
  <c r="D15" i="74" s="1"/>
  <c r="C6" i="68"/>
  <c r="Q47" i="67"/>
  <c r="Q53" i="67" s="1"/>
  <c r="Q65" i="67"/>
  <c r="D2" i="67"/>
  <c r="Q56" i="67"/>
  <c r="C43" i="67"/>
  <c r="C83" i="67"/>
  <c r="C82" i="67" s="1"/>
  <c r="C46" i="15"/>
  <c r="D19" i="9"/>
  <c r="AO6" i="1"/>
  <c r="D21" i="9" l="1"/>
  <c r="D102" i="9"/>
  <c r="B6" i="70"/>
  <c r="B2" i="70" s="1"/>
  <c r="B3" i="70" s="1"/>
  <c r="B2" i="67"/>
  <c r="B3" i="67"/>
  <c r="G15" i="74"/>
  <c r="F15" i="74"/>
  <c r="E15" i="74"/>
  <c r="C7" i="68"/>
  <c r="C5" i="68" s="1"/>
  <c r="B3" i="15"/>
  <c r="Q66" i="67"/>
  <c r="Q75" i="67" s="1"/>
  <c r="Q57" i="67"/>
  <c r="Q62" i="67" s="1"/>
  <c r="D20" i="9"/>
  <c r="D103" i="9" l="1"/>
  <c r="C20" i="68"/>
  <c r="C25" i="68" s="1"/>
  <c r="C23" i="68"/>
  <c r="C28" i="68" l="1"/>
  <c r="C27" i="68" s="1"/>
  <c r="C31" i="68" s="1"/>
  <c r="C52" i="68" s="1"/>
  <c r="C22" i="68"/>
  <c r="B2" i="68" l="1"/>
  <c r="C57" i="68"/>
  <c r="C56" i="68" s="1"/>
  <c r="C19" i="9"/>
  <c r="G19" i="9" l="1"/>
  <c r="D22" i="9"/>
  <c r="C21" i="9"/>
  <c r="C102" i="9"/>
  <c r="B3" i="68"/>
  <c r="D34" i="9"/>
  <c r="D35" i="9"/>
  <c r="C20" i="9"/>
  <c r="C103" i="9" l="1"/>
  <c r="G20" i="9"/>
  <c r="M20" i="1"/>
  <c r="C32" i="9"/>
  <c r="G21" i="9"/>
  <c r="H118" i="9" l="1"/>
  <c r="C35" i="9"/>
  <c r="F118" i="9" s="1"/>
  <c r="C34" i="9"/>
  <c r="D118" i="9" s="1"/>
  <c r="F4" i="52" l="1"/>
  <c r="B51" i="72" s="1"/>
  <c r="F119" i="9"/>
  <c r="F5" i="52" s="1"/>
  <c r="B53" i="72" s="1"/>
  <c r="G118" i="9"/>
  <c r="G4" i="52" s="1"/>
  <c r="B52" i="72" s="1"/>
  <c r="D119" i="9"/>
  <c r="D5" i="52" s="1"/>
  <c r="B49" i="72" s="1"/>
  <c r="D4" i="52"/>
  <c r="B47" i="72" s="1"/>
  <c r="H101" i="9"/>
  <c r="D14" i="74"/>
  <c r="C104" i="9"/>
  <c r="I118" i="9"/>
  <c r="H119" i="9"/>
  <c r="H5" i="52" s="1"/>
  <c r="H4" i="52"/>
  <c r="H107" i="9" l="1"/>
  <c r="D45" i="9"/>
  <c r="M48" i="9"/>
  <c r="D5" i="53"/>
  <c r="I4" i="52"/>
  <c r="E118" i="9"/>
  <c r="E4" i="52" s="1"/>
  <c r="B48" i="72" s="1"/>
  <c r="C105" i="9"/>
  <c r="H102" i="9"/>
  <c r="D7" i="53" s="1"/>
  <c r="B21" i="72" s="1"/>
  <c r="E14" i="74"/>
  <c r="F14" i="74"/>
  <c r="B5" i="74"/>
  <c r="D6" i="53" l="1"/>
  <c r="B22" i="72" s="1"/>
  <c r="B20" i="72"/>
  <c r="D55" i="9"/>
  <c r="M53" i="9" s="1"/>
  <c r="C72" i="9"/>
  <c r="C64" i="9"/>
  <c r="C63" i="9" s="1"/>
  <c r="C67" i="9" s="1"/>
  <c r="C68" i="9" s="1"/>
  <c r="D54" i="9" s="1"/>
  <c r="D48" i="9" s="1"/>
  <c r="M52" i="9" s="1"/>
  <c r="C78" i="9"/>
  <c r="C73" i="9" s="1"/>
  <c r="D53" i="9"/>
  <c r="C93" i="9"/>
  <c r="C86" i="9" s="1"/>
  <c r="D52" i="9"/>
  <c r="C85" i="9"/>
  <c r="C95" i="9" s="1"/>
  <c r="C5" i="74"/>
  <c r="D5" i="74"/>
  <c r="M49" i="9"/>
  <c r="H108" i="9"/>
  <c r="D15" i="53" s="1"/>
  <c r="B31" i="72" s="1"/>
  <c r="D122" i="9"/>
  <c r="D13" i="53"/>
  <c r="D14" i="53" l="1"/>
  <c r="B32" i="72" s="1"/>
  <c r="B30" i="72"/>
  <c r="C97" i="9"/>
  <c r="C96" i="9"/>
  <c r="E96" i="9" s="1"/>
  <c r="E97" i="9" s="1"/>
  <c r="C79" i="9"/>
  <c r="G14" i="74"/>
  <c r="B6" i="74" s="1"/>
  <c r="D123" i="9"/>
  <c r="D9" i="52" s="1"/>
  <c r="D8" i="52"/>
  <c r="L68" i="9"/>
  <c r="M68" i="9" s="1"/>
  <c r="L65" i="9"/>
  <c r="M65" i="9" s="1"/>
  <c r="L66" i="9"/>
  <c r="M66" i="9" s="1"/>
  <c r="L64" i="9"/>
  <c r="M64" i="9" s="1"/>
  <c r="L63" i="9"/>
  <c r="M63" i="9" s="1"/>
  <c r="L67" i="9"/>
  <c r="M67" i="9" s="1"/>
  <c r="C81" i="9" l="1"/>
  <c r="D58" i="9" s="1"/>
  <c r="D56" i="9" s="1"/>
  <c r="M54" i="9" s="1"/>
  <c r="N57" i="9" s="1"/>
  <c r="C80" i="9"/>
  <c r="E80" i="9" s="1"/>
  <c r="E81" i="9" s="1"/>
  <c r="M69" i="9"/>
  <c r="N69" i="9" s="1"/>
  <c r="D6" i="74"/>
  <c r="C6" i="74"/>
  <c r="P57" i="9" l="1"/>
  <c r="N58" i="9"/>
  <c r="N59" i="9"/>
  <c r="M21" i="1" l="1"/>
  <c r="N61" i="9"/>
  <c r="H112" i="9" s="1"/>
  <c r="D21" i="53" s="1"/>
  <c r="B39" i="72" s="1"/>
  <c r="H111" i="9"/>
  <c r="N60" i="9"/>
  <c r="D19" i="53" l="1"/>
  <c r="D126" i="9"/>
  <c r="I14" i="74" l="1"/>
  <c r="B8" i="74" s="1"/>
  <c r="D127" i="9"/>
  <c r="D13" i="52" s="1"/>
  <c r="D12" i="52"/>
  <c r="D20" i="53"/>
  <c r="B40" i="72" s="1"/>
  <c r="B38" i="7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Administrator</author>
  </authors>
  <commentList>
    <comment ref="H4" authorId="0">
      <text>
        <r>
          <rPr>
            <b/>
            <sz val="9"/>
            <color indexed="81"/>
            <rFont val="宋体"/>
            <family val="3"/>
            <charset val="134"/>
          </rPr>
          <t>Administrator:</t>
        </r>
        <r>
          <rPr>
            <sz val="9"/>
            <color indexed="81"/>
            <rFont val="宋体"/>
            <family val="3"/>
            <charset val="134"/>
          </rPr>
          <t xml:space="preserve">
如宿舍楼等</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<sst xmlns="http://schemas.openxmlformats.org/spreadsheetml/2006/main" count="7460" uniqueCount="3200">
  <si>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</si>
  <si>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</si>
  <si>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</si>
  <si>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</si>
  <si>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</si>
  <si>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</si>
  <si>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</si>
  <si>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</si>
  <si>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</si>
  <si>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</si>
  <si>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</si>
  <si>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</si>
  <si>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</si>
  <si>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</si>
  <si>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</si>
  <si>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</si>
  <si>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</si>
  <si>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</si>
  <si>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</si>
  <si>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</si>
  <si>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</si>
  <si>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</si>
  <si>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</si>
  <si>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</si>
  <si>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</si>
  <si>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</si>
  <si>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</si>
  <si>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</si>
  <si>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</si>
  <si>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</si>
  <si>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</si>
  <si>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</si>
  <si>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</si>
  <si>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</si>
  <si>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</si>
  <si>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</si>
  <si>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</si>
  <si>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</si>
  <si>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</si>
  <si>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</si>
  <si>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</si>
  <si>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</si>
  <si>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</si>
  <si>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</si>
  <si>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</si>
  <si>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</si>
  <si>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</si>
  <si>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</si>
  <si>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</si>
  <si>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</si>
  <si>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</si>
  <si>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</si>
  <si>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</si>
  <si>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</si>
  <si>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</si>
  <si>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</si>
  <si>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</si>
  <si>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</si>
  <si>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</si>
  <si>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</si>
  <si>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</si>
  <si>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</si>
  <si>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</si>
  <si>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</si>
  <si>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</si>
  <si>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</si>
  <si>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</si>
  <si>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</si>
  <si>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</si>
  <si>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</si>
  <si>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</si>
  <si>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</si>
  <si>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</si>
  <si>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</si>
  <si>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</si>
  <si>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</si>
  <si>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</si>
  <si>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</si>
  <si>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</si>
  <si>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</si>
  <si>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</si>
  <si>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</si>
  <si>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</si>
  <si>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</si>
  <si>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</si>
  <si>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</si>
  <si>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</si>
  <si>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</si>
  <si>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</si>
  <si>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</si>
  <si>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</si>
  <si>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</si>
  <si>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</si>
  <si>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</si>
  <si>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</si>
  <si>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</si>
  <si>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</si>
  <si>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</si>
  <si>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</si>
  <si>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</si>
  <si>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</si>
  <si>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</si>
  <si>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</si>
  <si>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</si>
  <si>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</si>
  <si>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</si>
  <si>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</si>
  <si>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</si>
  <si>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</si>
  <si>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</si>
  <si>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</si>
  <si>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</si>
  <si>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</si>
  <si>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</si>
  <si>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</si>
  <si>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</si>
  <si>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</si>
  <si>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</si>
  <si>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</si>
  <si>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</si>
  <si>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</si>
  <si>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</si>
  <si>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</si>
  <si>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</si>
  <si>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</si>
  <si>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</si>
  <si>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</si>
  <si>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</si>
  <si>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</si>
  <si>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</si>
  <si>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</si>
  <si>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</si>
  <si>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</si>
  <si>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</si>
  <si>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</si>
  <si>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</si>
  <si>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</si>
  <si>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</si>
  <si>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</si>
  <si>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</si>
  <si>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</si>
  <si>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</si>
  <si>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</si>
  <si>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</si>
  <si>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</si>
  <si>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</si>
  <si>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</si>
  <si>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</si>
  <si>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</si>
  <si>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</si>
  <si>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</si>
  <si>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</si>
  <si>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</si>
  <si>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</si>
  <si>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</si>
  <si>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</si>
  <si>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</si>
  <si>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</si>
  <si>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</si>
  <si>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</si>
  <si>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</si>
  <si>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</si>
  <si>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</si>
  <si>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</si>
  <si>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</si>
  <si>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</si>
  <si>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</si>
  <si>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</si>
  <si>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</si>
  <si>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</si>
  <si>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</si>
  <si>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</si>
  <si>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</si>
  <si>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</si>
  <si>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</si>
  <si>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</si>
  <si>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</si>
  <si>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</si>
  <si>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</si>
  <si>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</si>
  <si>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</si>
  <si>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</si>
  <si>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</si>
  <si>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</si>
  <si>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</si>
  <si>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</si>
  <si>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</si>
  <si>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</si>
  <si>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</si>
  <si>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</si>
  <si>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</si>
  <si>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</si>
  <si>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</si>
  <si>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</si>
  <si>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</si>
  <si>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</si>
  <si>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</si>
  <si>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</si>
  <si>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</si>
  <si>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</si>
  <si>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</si>
  <si>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</si>
  <si>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</si>
  <si>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</si>
  <si>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</si>
  <si>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</si>
  <si>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</si>
  <si>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</si>
  <si>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</si>
  <si>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</si>
  <si>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</si>
  <si>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</si>
  <si>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</si>
  <si>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</si>
  <si>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</si>
  <si>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</si>
  <si>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</si>
  <si>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</si>
  <si>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</si>
  <si>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</si>
  <si>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</si>
  <si>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</si>
  <si>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</si>
  <si>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</si>
  <si>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</si>
  <si>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</si>
  <si>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</si>
  <si>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</si>
  <si>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</si>
  <si>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</si>
  <si>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</si>
  <si>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</si>
  <si>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</si>
  <si>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</si>
  <si>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</si>
  <si>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</si>
  <si>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</si>
  <si>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</si>
  <si>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</si>
  <si>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</si>
  <si>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</si>
  <si>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</si>
  <si>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</si>
  <si>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</si>
  <si>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</si>
  <si>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</si>
  <si>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</si>
  <si>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</si>
  <si>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</si>
  <si>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</si>
  <si>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</si>
  <si>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</si>
  <si>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</si>
  <si>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</si>
  <si>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</si>
  <si>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</si>
  <si>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</si>
  <si>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</si>
  <si>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</si>
  <si>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</si>
  <si>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</si>
  <si>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</si>
  <si>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</si>
  <si>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</si>
  <si>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</si>
  <si>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</si>
  <si>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</si>
  <si>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</si>
  <si>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</si>
  <si>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</si>
  <si>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</si>
  <si>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</si>
  <si>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</si>
  <si>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</si>
  <si>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</si>
  <si>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</si>
  <si>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</si>
  <si>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</si>
  <si>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</si>
  <si>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</si>
  <si>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</si>
  <si>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</si>
  <si>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</si>
  <si>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</si>
  <si>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</si>
  <si>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</si>
  <si>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</si>
  <si>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</si>
  <si>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</si>
  <si>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</si>
  <si>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</si>
  <si>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</si>
  <si>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</si>
  <si>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</si>
  <si>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</si>
  <si>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</si>
  <si>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</si>
  <si>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</si>
  <si>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</si>
  <si>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</si>
  <si>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</si>
  <si>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</si>
  <si>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</si>
  <si>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</si>
  <si>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</si>
  <si>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</si>
  <si>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</si>
  <si>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</si>
  <si>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</si>
  <si>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</si>
  <si>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</si>
  <si>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</si>
  <si>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</si>
  <si>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</si>
  <si>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</si>
  <si>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</si>
  <si>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</si>
  <si>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</si>
  <si>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</si>
  <si>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</si>
  <si>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</si>
  <si>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</si>
  <si>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</si>
  <si>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</si>
  <si>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</si>
  <si>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</si>
  <si>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</si>
  <si>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</si>
  <si>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</si>
  <si>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</si>
  <si>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</si>
  <si>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</si>
  <si>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</si>
  <si>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</si>
  <si>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</si>
  <si>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</si>
  <si>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</si>
  <si>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</si>
  <si>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</si>
  <si>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</si>
  <si>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</si>
  <si>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</si>
  <si>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</si>
  <si>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</si>
  <si>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</si>
  <si>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</si>
  <si>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</si>
  <si>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</si>
  <si>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</si>
  <si>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</si>
  <si>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</si>
  <si>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</si>
  <si>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</si>
  <si>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</si>
  <si>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</si>
  <si>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</si>
  <si>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</si>
  <si>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</si>
  <si>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</si>
  <si>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</si>
  <si>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</si>
  <si>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</si>
  <si>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</si>
  <si>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</si>
  <si>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</si>
  <si>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</si>
  <si>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</si>
  <si>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</si>
  <si>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</si>
  <si>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</si>
  <si>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</si>
  <si>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</si>
  <si>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</si>
  <si>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</si>
  <si>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</si>
  <si>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</si>
  <si>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</si>
  <si>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</si>
  <si>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</si>
  <si>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</si>
  <si>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</si>
  <si>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</si>
  <si>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</si>
  <si>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</si>
  <si>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</si>
  <si>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</si>
  <si>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</si>
  <si>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</si>
  <si>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</si>
  <si>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</si>
  <si>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</si>
  <si>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</si>
  <si>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</si>
  <si>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</si>
  <si>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</si>
  <si>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</si>
  <si>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</si>
  <si>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</si>
  <si>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</si>
  <si>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</si>
  <si>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</si>
  <si>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</si>
  <si>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</si>
  <si>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</si>
  <si>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</si>
  <si>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</si>
  <si>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</si>
  <si>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</si>
  <si>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</si>
  <si>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</si>
  <si>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</si>
  <si>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</si>
  <si>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</si>
  <si>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</si>
  <si>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</si>
  <si>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</si>
  <si>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</si>
  <si>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</si>
  <si>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</si>
  <si>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</si>
  <si>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</si>
  <si>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</si>
  <si>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</si>
  <si>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</si>
  <si>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</si>
  <si>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</si>
  <si>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</si>
  <si>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</si>
  <si>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</si>
  <si>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</si>
  <si>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</si>
  <si>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</si>
  <si>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</si>
  <si>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</si>
  <si>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</si>
  <si>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</si>
  <si>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</si>
  <si>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</si>
  <si>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</si>
  <si>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</si>
  <si>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</si>
  <si>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</si>
  <si>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</si>
  <si>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</si>
  <si>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</si>
  <si>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</si>
  <si>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</si>
  <si>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</si>
  <si>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</si>
  <si>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</si>
  <si>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</si>
  <si>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</si>
  <si>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</si>
  <si>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</si>
  <si>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</si>
  <si>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</si>
  <si>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</si>
  <si>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</si>
  <si>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</si>
  <si>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</si>
  <si>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</si>
  <si>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</si>
  <si>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</si>
  <si>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</si>
  <si>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</si>
  <si>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</si>
  <si>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</si>
  <si>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</si>
  <si>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</si>
  <si>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</si>
  <si>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</si>
  <si>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</si>
  <si>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</si>
  <si>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</si>
  <si>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</si>
  <si>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</si>
  <si>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</si>
  <si>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</si>
  <si>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</si>
  <si>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</si>
  <si>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</si>
  <si>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</si>
  <si>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</si>
  <si>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</si>
  <si>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</si>
  <si>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</si>
  <si>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</si>
  <si>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</si>
  <si>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</si>
  <si>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</si>
  <si>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</si>
  <si>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</si>
  <si>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</si>
  <si>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</si>
  <si>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</si>
  <si>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</si>
  <si>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</si>
  <si>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</si>
  <si>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</si>
  <si>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</si>
  <si>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</si>
  <si>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</si>
  <si>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</si>
  <si>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</si>
  <si>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</si>
  <si>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</si>
  <si>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</si>
  <si>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</si>
  <si>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</si>
  <si>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</si>
  <si>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</si>
  <si>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</si>
  <si>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</si>
  <si>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</si>
  <si>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</si>
  <si>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</si>
  <si>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</si>
  <si>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</si>
  <si>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</si>
  <si>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</si>
  <si>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</si>
  <si>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</si>
  <si>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</si>
  <si>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</si>
  <si>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</si>
  <si>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</si>
  <si>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</si>
  <si>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</si>
  <si>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</si>
  <si>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</si>
  <si>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</si>
  <si>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</si>
  <si>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</si>
  <si>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</si>
  <si>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</si>
  <si>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</si>
  <si>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</si>
  <si>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</si>
  <si>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</si>
  <si>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</si>
  <si>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</si>
  <si>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</si>
  <si>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</si>
  <si>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</si>
  <si>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</si>
  <si>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</si>
  <si>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</si>
  <si>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</si>
  <si>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</si>
  <si>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</si>
  <si>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</si>
  <si>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</si>
  <si>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</si>
  <si>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</si>
  <si>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</si>
  <si>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</si>
  <si>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</si>
  <si>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</si>
  <si>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</si>
  <si>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</si>
  <si>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</si>
  <si>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</si>
  <si>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</si>
  <si>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</si>
  <si>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</si>
  <si>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</si>
  <si>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</si>
  <si>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</si>
  <si>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</si>
  <si>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</si>
  <si>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</si>
  <si>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</si>
  <si>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</si>
  <si>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</si>
  <si>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</si>
  <si>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</si>
  <si>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</si>
  <si>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</si>
  <si>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</si>
  <si>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</si>
  <si>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</si>
  <si>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</si>
  <si>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</si>
  <si>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</si>
  <si>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</si>
  <si>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</si>
  <si>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</si>
  <si>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</si>
  <si>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</si>
  <si>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</si>
  <si>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</si>
  <si>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</si>
  <si>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</si>
  <si>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</si>
  <si>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</si>
  <si>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</si>
  <si>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</si>
  <si>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</si>
  <si>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</si>
  <si>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</si>
  <si>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</si>
  <si>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</si>
  <si>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</si>
  <si>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</si>
  <si>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</si>
  <si>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</si>
  <si>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</si>
  <si>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</si>
  <si>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</si>
  <si>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</si>
  <si>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</si>
  <si>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</si>
  <si>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</si>
  <si>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</si>
  <si>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</si>
  <si>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</si>
  <si>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</si>
  <si>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</si>
  <si>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</si>
  <si>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</si>
  <si>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</si>
  <si>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</si>
  <si>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</si>
  <si>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</si>
  <si>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</si>
  <si>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</si>
  <si>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</si>
  <si>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</si>
  <si>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</si>
  <si>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</si>
  <si>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</si>
  <si>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</si>
  <si>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</si>
  <si>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</si>
  <si>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</si>
  <si>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</si>
  <si>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</si>
  <si>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</si>
  <si>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</si>
  <si>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</si>
  <si>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</si>
  <si>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</si>
  <si>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</si>
  <si>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</si>
  <si>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</si>
  <si>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</si>
  <si>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</si>
  <si>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</si>
  <si>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</si>
  <si>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</si>
  <si>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</si>
  <si>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</si>
  <si>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</si>
  <si>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</si>
  <si>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</si>
  <si>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</si>
  <si>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</si>
  <si>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</si>
  <si>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</si>
  <si>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</si>
  <si>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</si>
  <si>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</si>
  <si>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</si>
  <si>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</si>
  <si>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</si>
  <si>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</si>
  <si>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</si>
  <si>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</si>
  <si>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</si>
  <si>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</si>
  <si>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</si>
  <si>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</si>
  <si>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</si>
  <si>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</si>
  <si>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</si>
  <si>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</si>
  <si>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</si>
  <si>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</si>
  <si>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</si>
  <si>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</si>
  <si>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</si>
  <si>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</si>
  <si>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</si>
  <si>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</si>
  <si>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</si>
  <si>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</si>
  <si>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</si>
  <si>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</si>
  <si>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</si>
  <si>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</si>
  <si>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</si>
  <si>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</si>
  <si>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</si>
  <si>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</si>
  <si>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</si>
  <si>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</si>
  <si>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</si>
  <si>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</si>
  <si>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</si>
  <si>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</si>
  <si>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</si>
  <si>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</si>
  <si>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</si>
  <si>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</si>
  <si>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</si>
  <si>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</si>
  <si>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</si>
  <si>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</si>
  <si>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</si>
  <si>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</si>
  <si>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</si>
  <si>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</si>
  <si>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</si>
  <si>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</si>
  <si>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</si>
  <si>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</si>
  <si>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</si>
  <si>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</si>
  <si>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</si>
  <si>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</si>
  <si>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</si>
  <si>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</si>
  <si>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</si>
  <si>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</si>
  <si>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</si>
  <si>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</si>
  <si>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</si>
  <si>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</si>
  <si>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</si>
  <si>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</si>
  <si>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</si>
  <si>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</si>
  <si>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</si>
  <si>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</si>
  <si>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</si>
  <si>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</si>
  <si>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</si>
  <si>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</si>
  <si>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</si>
  <si>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</si>
  <si>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</si>
  <si>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</si>
  <si>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</si>
  <si>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</si>
  <si>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</si>
  <si>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</si>
  <si>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</si>
  <si>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</si>
  <si>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</si>
  <si>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</si>
  <si>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</si>
  <si>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</si>
  <si>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住宅</t>
    <phoneticPr fontId="5" type="noConversion"/>
  </si>
  <si>
    <t>区域土地利用方向</t>
    <phoneticPr fontId="47" type="noConversion"/>
  </si>
  <si>
    <r>
      <rPr>
        <sz val="10"/>
        <color indexed="8"/>
        <rFont val="宋体"/>
        <family val="3"/>
        <charset val="134"/>
      </rPr>
      <t>修正系数</t>
    </r>
    <phoneticPr fontId="81" type="noConversion"/>
  </si>
  <si>
    <t>五等判定</t>
    <phoneticPr fontId="18" type="noConversion"/>
  </si>
  <si>
    <t>基准地价修正</t>
    <phoneticPr fontId="18" type="noConversion"/>
  </si>
  <si>
    <t>*</t>
    <phoneticPr fontId="18" type="noConversion"/>
  </si>
  <si>
    <t>二级分类</t>
    <phoneticPr fontId="5"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</si>
  <si>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</si>
  <si>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</si>
  <si>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</si>
  <si>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</si>
  <si>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</si>
  <si>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</si>
  <si>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</si>
  <si>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</si>
  <si>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</si>
  <si>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</si>
  <si>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</si>
  <si>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</si>
  <si>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</si>
  <si>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</si>
  <si>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</si>
  <si>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</si>
  <si>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</si>
  <si>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</si>
  <si>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</si>
  <si>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</si>
  <si>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</si>
  <si>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</si>
  <si>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</si>
  <si>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</si>
  <si>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</si>
  <si>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</si>
  <si>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</si>
  <si>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</si>
  <si>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</si>
  <si>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</si>
  <si>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</si>
  <si>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</si>
  <si>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</si>
  <si>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</si>
  <si>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</si>
  <si>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</si>
  <si>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</si>
  <si>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</si>
  <si>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</si>
  <si>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</si>
  <si>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</si>
  <si>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</si>
  <si>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</si>
  <si>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</si>
  <si>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</si>
  <si>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</si>
  <si>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</si>
  <si>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</si>
  <si>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1" type="noConversion"/>
  </si>
  <si>
    <t>2.</t>
    <phoneticPr fontId="81" type="noConversion"/>
  </si>
  <si>
    <t>3.</t>
    <phoneticPr fontId="81" type="noConversion"/>
  </si>
  <si>
    <t>4.</t>
    <phoneticPr fontId="5" type="noConversion"/>
  </si>
  <si>
    <t>5.</t>
    <phoneticPr fontId="5" type="noConversion"/>
  </si>
  <si>
    <t>6.</t>
    <phoneticPr fontId="5" type="noConversion"/>
  </si>
  <si>
    <t>7.</t>
    <phoneticPr fontId="5" type="noConversion"/>
  </si>
  <si>
    <t>十一级</t>
  </si>
  <si>
    <t>十二级</t>
  </si>
  <si>
    <t>一级</t>
    <phoneticPr fontId="81" type="noConversion"/>
  </si>
  <si>
    <t>Ⅰ—01</t>
    <phoneticPr fontId="5" type="noConversion"/>
  </si>
  <si>
    <t xml:space="preserve">— </t>
    <phoneticPr fontId="87" type="noConversion"/>
  </si>
  <si>
    <t>估价项目名称：</t>
    <phoneticPr fontId="87" type="noConversion"/>
  </si>
  <si>
    <t>估价委托人：</t>
    <phoneticPr fontId="87" type="noConversion"/>
  </si>
  <si>
    <t>房地产估价机构：</t>
    <phoneticPr fontId="87" type="noConversion"/>
  </si>
  <si>
    <t>北京康正宏基房地产评估有限公司</t>
    <phoneticPr fontId="87" type="noConversion"/>
  </si>
  <si>
    <t>注册房地产估价师：</t>
    <phoneticPr fontId="87" type="noConversion"/>
  </si>
  <si>
    <t>估价报告编号：</t>
    <phoneticPr fontId="87" type="noConversion"/>
  </si>
  <si>
    <t>今日</t>
    <phoneticPr fontId="87" type="noConversion"/>
  </si>
  <si>
    <t>资质过期显示为红色</t>
    <phoneticPr fontId="87" type="noConversion"/>
  </si>
  <si>
    <t>注册房地产估价师</t>
    <phoneticPr fontId="87" type="noConversion"/>
  </si>
  <si>
    <t>注册证号</t>
    <phoneticPr fontId="87" type="noConversion"/>
  </si>
  <si>
    <t>资质有效期</t>
    <phoneticPr fontId="87" type="noConversion"/>
  </si>
  <si>
    <t>土地估价师</t>
    <phoneticPr fontId="87" type="noConversion"/>
  </si>
  <si>
    <t>证号</t>
    <phoneticPr fontId="87" type="noConversion"/>
  </si>
  <si>
    <t>梁津</t>
    <phoneticPr fontId="87" type="noConversion"/>
  </si>
  <si>
    <t>李立</t>
    <phoneticPr fontId="87" type="noConversion"/>
  </si>
  <si>
    <t>叶凌</t>
    <phoneticPr fontId="87" type="noConversion"/>
  </si>
  <si>
    <t>王鹏</t>
    <phoneticPr fontId="87" type="noConversion"/>
  </si>
  <si>
    <t>欧红伟</t>
    <phoneticPr fontId="87" type="noConversion"/>
  </si>
  <si>
    <t>吴薇</t>
    <phoneticPr fontId="87" type="noConversion"/>
  </si>
  <si>
    <t>陈颖</t>
    <phoneticPr fontId="87" type="noConversion"/>
  </si>
  <si>
    <t>崔锴</t>
    <phoneticPr fontId="87" type="noConversion"/>
  </si>
  <si>
    <t>郑燚</t>
    <phoneticPr fontId="87" type="noConversion"/>
  </si>
  <si>
    <t>赵雯</t>
    <phoneticPr fontId="87" type="noConversion"/>
  </si>
  <si>
    <t>刘敬东</t>
    <phoneticPr fontId="87" type="noConversion"/>
  </si>
  <si>
    <t>估价机构</t>
    <phoneticPr fontId="87" type="noConversion"/>
  </si>
  <si>
    <t>房地产</t>
    <phoneticPr fontId="87" type="noConversion"/>
  </si>
  <si>
    <t>土地</t>
    <phoneticPr fontId="87" type="noConversion"/>
  </si>
  <si>
    <t>证书名称</t>
    <phoneticPr fontId="87" type="noConversion"/>
  </si>
  <si>
    <t>号码</t>
    <phoneticPr fontId="87" type="noConversion"/>
  </si>
  <si>
    <t>资质有效期</t>
    <phoneticPr fontId="87" type="noConversion"/>
  </si>
  <si>
    <t>资质证书：一级</t>
    <phoneticPr fontId="87" type="noConversion"/>
  </si>
  <si>
    <t>建房估证字[2013]081号</t>
    <phoneticPr fontId="87" type="noConversion"/>
  </si>
  <si>
    <t>注册证书</t>
    <phoneticPr fontId="87" type="noConversion"/>
  </si>
  <si>
    <t>A201111009</t>
    <phoneticPr fontId="87" type="noConversion"/>
  </si>
  <si>
    <t>资信等级：A级</t>
    <phoneticPr fontId="87" type="noConversion"/>
  </si>
  <si>
    <t>估价目的</t>
    <phoneticPr fontId="89" type="noConversion"/>
  </si>
  <si>
    <t>优先受偿</t>
    <phoneticPr fontId="89" type="noConversion"/>
  </si>
  <si>
    <t>抵押</t>
    <phoneticPr fontId="89" type="noConversion"/>
  </si>
  <si>
    <t>2.估价师所知悉的法定优先受偿款</t>
    <phoneticPr fontId="89" type="noConversion"/>
  </si>
  <si>
    <t>2.估价师所知悉的除抵押担保权以外的法定优先受偿款</t>
    <phoneticPr fontId="89" type="noConversion"/>
  </si>
  <si>
    <t>价值类型及定义</t>
    <phoneticPr fontId="89" type="noConversion"/>
  </si>
  <si>
    <t>房地产价值</t>
    <phoneticPr fontId="89" type="noConversion"/>
  </si>
  <si>
    <t>房地产抵押价值</t>
    <phoneticPr fontId="89" type="noConversion"/>
  </si>
  <si>
    <t>已注销</t>
    <phoneticPr fontId="89" type="noConversion"/>
  </si>
  <si>
    <t>已注销及未注销</t>
    <phoneticPr fontId="89" type="noConversion"/>
  </si>
  <si>
    <t>抵押净值</t>
    <phoneticPr fontId="89" type="noConversion"/>
  </si>
  <si>
    <t>——</t>
    <phoneticPr fontId="18" type="noConversion"/>
  </si>
  <si>
    <t>XX</t>
  </si>
  <si>
    <t>附表：</t>
    <phoneticPr fontId="97"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</si>
  <si>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</si>
  <si>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</si>
  <si>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</si>
  <si>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</si>
  <si>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</si>
  <si>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</si>
  <si>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</si>
  <si>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</si>
  <si>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</si>
  <si>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</si>
  <si>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</si>
  <si>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</si>
  <si>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</si>
  <si>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</si>
  <si>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</si>
  <si>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</si>
  <si>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</si>
  <si>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</si>
  <si>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</si>
  <si>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</si>
  <si>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</si>
  <si>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</si>
  <si>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</si>
  <si>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</si>
  <si>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</si>
  <si>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</si>
  <si>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</si>
  <si>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</si>
  <si>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</si>
  <si>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</si>
  <si>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</si>
  <si>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</si>
  <si>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</si>
  <si>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</si>
  <si>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</si>
  <si>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</si>
  <si>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</si>
  <si>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</si>
  <si>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</si>
  <si>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</si>
  <si>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</si>
  <si>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</si>
  <si>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</si>
  <si>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</si>
  <si>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</si>
  <si>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</si>
  <si>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</si>
  <si>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</si>
  <si>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</si>
  <si>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</si>
  <si>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</si>
  <si>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</si>
  <si>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</si>
  <si>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</si>
  <si>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</si>
  <si>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</si>
  <si>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</si>
  <si>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</si>
  <si>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</si>
  <si>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</si>
  <si>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</si>
  <si>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</si>
  <si>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</si>
  <si>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</si>
  <si>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</si>
  <si>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</si>
  <si>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</si>
  <si>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</si>
  <si>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</si>
  <si>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</si>
  <si>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</si>
  <si>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</si>
  <si>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</si>
  <si>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</si>
  <si>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</si>
  <si>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</si>
  <si>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</si>
  <si>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</si>
  <si>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</si>
  <si>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</si>
  <si>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</si>
  <si>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</si>
  <si>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</si>
  <si>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</si>
  <si>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</si>
  <si>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</si>
  <si>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</si>
  <si>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</si>
  <si>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</si>
  <si>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</si>
  <si>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</si>
  <si>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</si>
  <si>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</si>
  <si>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</si>
  <si>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</si>
  <si>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</si>
  <si>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</si>
  <si>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</si>
  <si>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</si>
  <si>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</si>
  <si>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</si>
  <si>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</si>
  <si>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</si>
  <si>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</si>
  <si>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</si>
  <si>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</si>
  <si>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</si>
  <si>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</si>
  <si>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</si>
  <si>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</si>
  <si>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</si>
  <si>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</si>
  <si>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</si>
  <si>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</si>
  <si>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</si>
  <si>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</si>
  <si>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</si>
  <si>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</si>
  <si>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</si>
  <si>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</si>
  <si>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</si>
  <si>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</si>
  <si>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</si>
  <si>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</si>
  <si>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</si>
  <si>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</si>
  <si>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</si>
  <si>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</si>
  <si>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</si>
  <si>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</si>
  <si>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</si>
  <si>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</si>
  <si>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</si>
  <si>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</si>
  <si>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</si>
  <si>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</si>
  <si>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</si>
  <si>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</si>
  <si>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</si>
  <si>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</si>
  <si>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</si>
  <si>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</si>
  <si>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</si>
  <si>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</si>
  <si>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</si>
  <si>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</si>
  <si>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</si>
  <si>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</si>
  <si>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</si>
  <si>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</si>
  <si>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</si>
  <si>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</si>
  <si>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</si>
  <si>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</si>
  <si>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</si>
  <si>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</si>
  <si>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</si>
  <si>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</si>
  <si>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</si>
  <si>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</si>
  <si>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</si>
  <si>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</si>
  <si>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</si>
  <si>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</si>
  <si>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</si>
  <si>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</si>
  <si>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</si>
  <si>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</si>
  <si>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</si>
  <si>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</si>
  <si>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</si>
  <si>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</si>
  <si>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</si>
  <si>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</si>
  <si>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</si>
  <si>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</si>
  <si>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</si>
  <si>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</si>
  <si>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</si>
  <si>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</si>
  <si>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</si>
  <si>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</si>
  <si>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</si>
  <si>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</si>
  <si>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</si>
  <si>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</si>
  <si>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</si>
  <si>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</si>
  <si>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</si>
  <si>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</si>
  <si>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</si>
  <si>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</si>
  <si>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</si>
  <si>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</si>
  <si>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</si>
  <si>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</si>
  <si>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</si>
  <si>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</si>
  <si>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</si>
  <si>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</si>
  <si>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</si>
  <si>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</si>
  <si>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</si>
  <si>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</si>
  <si>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</si>
  <si>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</si>
  <si>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</si>
  <si>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</si>
  <si>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</si>
  <si>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</si>
  <si>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</si>
  <si>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</si>
  <si>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</si>
  <si>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</si>
  <si>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</si>
  <si>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</si>
  <si>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</si>
  <si>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</si>
  <si>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</si>
  <si>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</si>
  <si>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</si>
  <si>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</si>
  <si>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</si>
  <si>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</si>
  <si>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</si>
  <si>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</si>
  <si>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</si>
  <si>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</si>
  <si>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</si>
  <si>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</si>
  <si>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</si>
  <si>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</si>
  <si>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</si>
  <si>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</si>
  <si>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</si>
  <si>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</si>
  <si>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</si>
  <si>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</si>
  <si>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</si>
  <si>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</si>
  <si>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</si>
  <si>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</si>
  <si>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</si>
  <si>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</si>
  <si>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</si>
  <si>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</si>
  <si>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</si>
  <si>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</si>
  <si>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</si>
  <si>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</si>
  <si>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</si>
  <si>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</si>
  <si>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</si>
  <si>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</si>
  <si>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</si>
  <si>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</si>
  <si>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</si>
  <si>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</si>
  <si>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</si>
  <si>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</si>
  <si>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</si>
  <si>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</si>
  <si>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</si>
  <si>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</si>
  <si>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</si>
  <si>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</si>
  <si>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</si>
  <si>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</si>
  <si>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</si>
  <si>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</si>
  <si>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</si>
  <si>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</si>
  <si>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</si>
  <si>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</si>
  <si>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</si>
  <si>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</si>
  <si>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</si>
  <si>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</si>
  <si>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</si>
  <si>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</si>
  <si>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</si>
  <si>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</si>
  <si>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</si>
  <si>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</si>
  <si>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</si>
  <si>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</si>
  <si>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</si>
  <si>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</si>
  <si>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</si>
  <si>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</si>
  <si>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</si>
  <si>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</si>
  <si>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</si>
  <si>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</si>
  <si>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</si>
  <si>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</si>
  <si>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</si>
  <si>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</si>
  <si>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</si>
  <si>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</si>
  <si>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</si>
  <si>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</si>
  <si>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</si>
  <si>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</si>
  <si>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</si>
  <si>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</si>
  <si>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</si>
  <si>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</si>
  <si>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</si>
  <si>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</si>
  <si>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</si>
  <si>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</si>
  <si>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</si>
  <si>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</si>
  <si>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</si>
  <si>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</si>
  <si>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</si>
  <si>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</si>
  <si>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</si>
  <si>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</si>
  <si>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</si>
  <si>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</si>
  <si>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</si>
  <si>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</si>
  <si>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</si>
  <si>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</si>
  <si>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</si>
  <si>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</si>
  <si>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</si>
  <si>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</si>
  <si>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</si>
  <si>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</si>
  <si>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</si>
  <si>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</si>
  <si>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</si>
  <si>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</si>
  <si>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</si>
  <si>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</si>
  <si>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</si>
  <si>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</si>
  <si>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</si>
  <si>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</si>
  <si>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</si>
  <si>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</si>
  <si>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</si>
  <si>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</si>
  <si>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</si>
  <si>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</si>
  <si>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</si>
  <si>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</si>
  <si>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</si>
  <si>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</si>
  <si>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</si>
  <si>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</si>
  <si>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</si>
  <si>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</si>
  <si>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</si>
  <si>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</si>
  <si>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</si>
  <si>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</si>
  <si>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</si>
  <si>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</si>
  <si>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</si>
  <si>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</si>
  <si>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</si>
  <si>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</si>
  <si>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</si>
  <si>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</si>
  <si>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</si>
  <si>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</si>
  <si>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</si>
  <si>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</si>
  <si>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</si>
  <si>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</si>
  <si>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</si>
  <si>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</si>
  <si>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</si>
  <si>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</si>
  <si>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</si>
  <si>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</si>
  <si>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</si>
  <si>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</si>
  <si>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</si>
  <si>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</si>
  <si>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</si>
  <si>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</si>
  <si>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</si>
  <si>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</si>
  <si>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</si>
  <si>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</si>
  <si>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</si>
  <si>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</si>
  <si>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</si>
  <si>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</si>
  <si>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</si>
  <si>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</si>
  <si>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</si>
  <si>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</si>
  <si>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</si>
  <si>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</si>
  <si>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</si>
  <si>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</si>
  <si>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</si>
  <si>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</si>
  <si>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</si>
  <si>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</si>
  <si>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</si>
  <si>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</si>
  <si>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</si>
  <si>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9" type="noConversion"/>
  </si>
  <si>
    <t>本次估价的“抵押担保权已注销时的房地产抵押价值”是指估价对象在价值时点的“房地产价值”扣减估价师于价值时点所知悉的除抵押担保权以外的其他法定优先受偿款后的余额。</t>
    <phoneticPr fontId="89" type="noConversion"/>
  </si>
  <si>
    <t>本次估价的“抵押净值”是指估价对象“房地产抵押价值”减去估价对象在价值时点以“房地产销售收入”为基数计算的预计抵押权实现进行处置时需缴纳的各项费用、税金等相关费用后的价值。</t>
    <phoneticPr fontId="89"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</si>
  <si>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</si>
  <si>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</si>
  <si>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9"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</si>
  <si>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</si>
  <si>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</si>
  <si>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</si>
  <si>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</si>
  <si>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</si>
  <si>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</si>
  <si>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</si>
  <si>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</si>
  <si>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</si>
  <si>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</si>
  <si>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</si>
  <si>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</si>
  <si>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</si>
  <si>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5" type="noConversion"/>
  </si>
  <si>
    <t>开发期</t>
    <phoneticPr fontId="144" type="noConversion"/>
  </si>
  <si>
    <t>贷款利率</t>
    <phoneticPr fontId="5" type="noConversion"/>
  </si>
  <si>
    <t>贷款利率</t>
    <phoneticPr fontId="144" type="noConversion"/>
  </si>
  <si>
    <t>存款利率</t>
    <phoneticPr fontId="144"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</si>
  <si>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</si>
  <si>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</si>
  <si>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</si>
  <si>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</si>
  <si>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</si>
  <si>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</si>
  <si>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</si>
  <si>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</si>
  <si>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</si>
  <si>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</si>
  <si>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</si>
  <si>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</si>
  <si>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</si>
  <si>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</si>
  <si>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</si>
  <si>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</si>
  <si>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</si>
  <si>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</si>
  <si>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</si>
  <si>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</si>
  <si>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</si>
  <si>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</si>
  <si>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</si>
  <si>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</si>
  <si>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</si>
  <si>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</si>
  <si>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</si>
  <si>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</si>
  <si>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t>
    <phoneticPr fontId="88"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</si>
  <si>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</si>
  <si>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</si>
  <si>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</si>
  <si>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</si>
  <si>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</si>
  <si>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</si>
  <si>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</si>
  <si>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</si>
  <si>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</si>
  <si>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</si>
  <si>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</si>
  <si>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</si>
  <si>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</si>
  <si>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</si>
  <si>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</si>
  <si>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</si>
  <si>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</si>
  <si>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</si>
  <si>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</si>
  <si>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</si>
  <si>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</si>
  <si>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</si>
  <si>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</si>
  <si>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</si>
  <si>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</si>
  <si>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</si>
  <si>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</si>
  <si>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</si>
  <si>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</si>
  <si>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</si>
  <si>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</si>
  <si>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</si>
  <si>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</si>
  <si>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</si>
  <si>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</si>
  <si>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</si>
  <si>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</si>
  <si>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</si>
  <si>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</si>
  <si>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</si>
  <si>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</si>
  <si>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</si>
  <si>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</si>
  <si>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</si>
  <si>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</si>
  <si>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</si>
  <si>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</si>
  <si>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</si>
  <si>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</si>
  <si>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</si>
  <si>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</si>
  <si>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</si>
  <si>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</si>
  <si>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</si>
  <si>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</si>
  <si>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</si>
  <si>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</si>
  <si>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</si>
  <si>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</si>
  <si>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</si>
  <si>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</si>
  <si>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</si>
  <si>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</si>
  <si>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</si>
  <si>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</si>
  <si>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</si>
  <si>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</si>
  <si>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</si>
  <si>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</si>
  <si>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</si>
  <si>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</si>
  <si>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</si>
  <si>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</si>
  <si>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</si>
  <si>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</si>
  <si>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</si>
  <si>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</si>
  <si>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</si>
  <si>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</si>
  <si>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</si>
  <si>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</si>
  <si>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</si>
  <si>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</si>
  <si>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</si>
  <si>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</si>
  <si>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</si>
  <si>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</si>
  <si>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</si>
  <si>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</si>
  <si>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</si>
  <si>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</si>
  <si>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</si>
  <si>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</si>
  <si>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</si>
  <si>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</si>
  <si>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</si>
  <si>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</si>
  <si>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</si>
  <si>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</si>
  <si>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</si>
  <si>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</si>
  <si>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</si>
  <si>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</si>
  <si>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</si>
  <si>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</si>
  <si>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</si>
  <si>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</si>
  <si>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</si>
  <si>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</si>
  <si>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</si>
  <si>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</si>
  <si>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</si>
  <si>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</si>
  <si>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</si>
  <si>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</si>
  <si>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</si>
  <si>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</si>
  <si>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</si>
  <si>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</si>
  <si>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</si>
  <si>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</si>
  <si>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</si>
  <si>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</si>
  <si>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</si>
  <si>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</si>
  <si>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</si>
  <si>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</si>
  <si>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</si>
  <si>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</si>
  <si>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</si>
  <si>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</si>
  <si>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</si>
  <si>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</si>
  <si>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</si>
  <si>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</si>
  <si>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</si>
  <si>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</si>
  <si>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</si>
  <si>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</si>
  <si>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</si>
  <si>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</si>
  <si>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</si>
  <si>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</si>
  <si>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</si>
  <si>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</si>
  <si>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</si>
  <si>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</si>
  <si>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</si>
  <si>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</si>
  <si>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</si>
  <si>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</si>
  <si>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</si>
  <si>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</si>
  <si>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</si>
  <si>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</si>
  <si>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</si>
  <si>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</si>
  <si>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</si>
  <si>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</si>
  <si>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</si>
  <si>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</si>
  <si>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</si>
  <si>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</si>
  <si>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</si>
  <si>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</si>
  <si>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</si>
  <si>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</si>
  <si>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</si>
  <si>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</si>
  <si>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</si>
  <si>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</si>
  <si>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</si>
  <si>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</si>
  <si>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</si>
  <si>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</si>
  <si>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</si>
  <si>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</si>
  <si>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</si>
  <si>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</si>
  <si>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</si>
  <si>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</si>
  <si>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</si>
  <si>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</si>
  <si>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</si>
  <si>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</si>
  <si>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</si>
  <si>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</si>
  <si>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</si>
  <si>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</si>
  <si>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</si>
  <si>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</si>
  <si>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</si>
  <si>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</si>
  <si>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</si>
  <si>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</si>
  <si>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</si>
  <si>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</si>
  <si>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</si>
  <si>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</si>
  <si>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</si>
  <si>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</si>
  <si>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</si>
  <si>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</si>
  <si>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</si>
  <si>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</si>
  <si>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</si>
  <si>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</si>
  <si>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</si>
  <si>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</si>
  <si>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</si>
  <si>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</si>
  <si>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</si>
  <si>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</si>
  <si>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</si>
  <si>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</si>
  <si>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</si>
  <si>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</si>
  <si>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收益还原</t>
    </r>
  </si>
  <si>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</si>
  <si>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</si>
  <si>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</si>
  <si>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</si>
  <si>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</si>
  <si>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</si>
  <si>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</si>
  <si>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</si>
  <si>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</si>
  <si>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</si>
  <si>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</si>
  <si>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</si>
  <si>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</si>
  <si>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</si>
  <si>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</si>
  <si>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</si>
  <si>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</si>
  <si>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</si>
  <si>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</si>
  <si>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</si>
  <si>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</si>
  <si>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</si>
  <si>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</si>
  <si>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</si>
  <si>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</si>
  <si>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</si>
  <si>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</si>
  <si>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</si>
  <si>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</si>
  <si>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</si>
  <si>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</si>
  <si>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</si>
  <si>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</si>
  <si>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</si>
  <si>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</si>
  <si>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</si>
  <si>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</si>
  <si>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</si>
  <si>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7"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</si>
  <si>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</si>
  <si>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</si>
  <si>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</si>
  <si>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</si>
  <si>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</si>
  <si>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</si>
  <si>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</si>
  <si>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</si>
  <si>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</si>
  <si>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</si>
  <si>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</si>
  <si>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</si>
  <si>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</si>
  <si>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</si>
  <si>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</si>
  <si>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</si>
  <si>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9" type="noConversion"/>
  </si>
  <si>
    <r>
      <rPr>
        <sz val="14"/>
        <color theme="9" tint="-0.249977111117893"/>
        <rFont val="宋体"/>
        <family val="3"/>
        <charset val="134"/>
      </rPr>
      <t>（本页下方空白无内容）</t>
    </r>
  </si>
  <si>
    <r>
      <rPr>
        <b/>
        <sz val="18"/>
        <color theme="1"/>
        <rFont val="宋体"/>
        <family val="3"/>
        <charset val="134"/>
      </rPr>
      <t>评估意见函</t>
    </r>
    <phoneticPr fontId="89" type="noConversion"/>
  </si>
  <si>
    <r>
      <rPr>
        <b/>
        <sz val="14"/>
        <color rgb="FF000000"/>
        <rFont val="宋体"/>
        <family val="3"/>
        <charset val="134"/>
      </rPr>
      <t>估价对象：</t>
    </r>
    <phoneticPr fontId="89" type="noConversion"/>
  </si>
  <si>
    <r>
      <rPr>
        <b/>
        <i/>
        <sz val="14"/>
        <color theme="3" tint="0.39997558519241921"/>
        <rFont val="宋体"/>
        <family val="3"/>
        <charset val="134"/>
      </rPr>
      <t>现房：</t>
    </r>
    <phoneticPr fontId="89"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</si>
  <si>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0" type="noConversion"/>
  </si>
  <si>
    <r>
      <rPr>
        <b/>
        <i/>
        <sz val="14"/>
        <color theme="3" tint="0.39997558519241921"/>
        <rFont val="宋体"/>
        <family val="3"/>
        <charset val="134"/>
      </rPr>
      <t>在建：</t>
    </r>
    <phoneticPr fontId="89"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</si>
  <si>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0" type="noConversion"/>
  </si>
  <si>
    <r>
      <rPr>
        <b/>
        <sz val="14"/>
        <color rgb="FF000000"/>
        <rFont val="宋体"/>
        <family val="3"/>
        <charset val="134"/>
      </rPr>
      <t>估价目的：</t>
    </r>
    <phoneticPr fontId="89" type="noConversion"/>
  </si>
  <si>
    <r>
      <rPr>
        <b/>
        <sz val="14"/>
        <color theme="1"/>
        <rFont val="宋体"/>
        <family val="3"/>
        <charset val="134"/>
      </rPr>
      <t>价值时点：</t>
    </r>
    <phoneticPr fontId="89" type="noConversion"/>
  </si>
  <si>
    <r>
      <rPr>
        <b/>
        <sz val="14"/>
        <color theme="1"/>
        <rFont val="宋体"/>
        <family val="3"/>
        <charset val="134"/>
      </rPr>
      <t>价值类型：</t>
    </r>
    <phoneticPr fontId="89"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</si>
  <si>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9" type="noConversion"/>
  </si>
  <si>
    <r>
      <rPr>
        <b/>
        <sz val="14"/>
        <color theme="1"/>
        <rFont val="宋体"/>
        <family val="3"/>
        <charset val="134"/>
      </rPr>
      <t>估价结果：</t>
    </r>
    <phoneticPr fontId="89" type="noConversion"/>
  </si>
  <si>
    <r>
      <t>1.</t>
    </r>
    <r>
      <rPr>
        <b/>
        <sz val="12"/>
        <color indexed="8"/>
        <rFont val="宋体"/>
        <family val="3"/>
        <charset val="134"/>
      </rPr>
      <t>房地产价值</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</si>
  <si>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</si>
  <si>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</si>
  <si>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2"/>
        <color theme="1"/>
        <rFont val="宋体"/>
        <family val="3"/>
        <charset val="134"/>
      </rPr>
      <t>单价</t>
    </r>
    <phoneticPr fontId="89" type="noConversion"/>
  </si>
  <si>
    <r>
      <rPr>
        <b/>
        <sz val="12"/>
        <color rgb="FF000000"/>
        <rFont val="宋体"/>
        <family val="3"/>
        <charset val="134"/>
      </rPr>
      <t>总额</t>
    </r>
    <phoneticPr fontId="89" type="noConversion"/>
  </si>
  <si>
    <r>
      <rPr>
        <sz val="12"/>
        <color rgb="FF000000"/>
        <rFont val="宋体"/>
        <family val="3"/>
        <charset val="134"/>
      </rPr>
      <t>总额</t>
    </r>
    <phoneticPr fontId="89" type="noConversion"/>
  </si>
  <si>
    <r>
      <rPr>
        <sz val="14"/>
        <color theme="1"/>
        <rFont val="宋体"/>
        <family val="3"/>
        <charset val="134"/>
      </rPr>
      <t>（转下页）</t>
    </r>
    <phoneticPr fontId="91"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</si>
  <si>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9" type="noConversion"/>
  </si>
  <si>
    <r>
      <rPr>
        <b/>
        <sz val="14"/>
        <color theme="1"/>
        <rFont val="宋体"/>
        <family val="3"/>
        <charset val="134"/>
      </rPr>
      <t>结果表</t>
    </r>
    <r>
      <rPr>
        <b/>
        <sz val="14"/>
        <color theme="1"/>
        <rFont val="Arial"/>
        <family val="2"/>
      </rPr>
      <t>-1</t>
    </r>
    <phoneticPr fontId="91"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</si>
  <si>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9" type="noConversion"/>
  </si>
  <si>
    <r>
      <rPr>
        <sz val="12"/>
        <color rgb="FF000000"/>
        <rFont val="宋体"/>
        <family val="3"/>
        <charset val="134"/>
      </rPr>
      <t>总额</t>
    </r>
    <phoneticPr fontId="89"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</si>
  <si>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9" type="noConversion"/>
  </si>
  <si>
    <r>
      <rPr>
        <sz val="12"/>
        <color theme="1"/>
        <rFont val="宋体"/>
        <family val="3"/>
        <charset val="134"/>
      </rPr>
      <t>单价</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</si>
  <si>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</si>
  <si>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</si>
  <si>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1"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</si>
  <si>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</si>
  <si>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</si>
  <si>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</si>
  <si>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1" type="noConversion"/>
  </si>
  <si>
    <r>
      <rPr>
        <sz val="12"/>
        <color indexed="8"/>
        <rFont val="宋体"/>
        <family val="3"/>
        <charset val="134"/>
      </rPr>
      <t>建筑面积</t>
    </r>
    <phoneticPr fontId="89"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</si>
  <si>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9" type="noConversion"/>
  </si>
  <si>
    <r>
      <rPr>
        <sz val="12"/>
        <color indexed="8"/>
        <rFont val="宋体"/>
        <family val="3"/>
        <charset val="134"/>
      </rPr>
      <t>楼面单价</t>
    </r>
    <phoneticPr fontId="89"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</si>
  <si>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9"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</si>
  <si>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</si>
  <si>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</si>
  <si>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</si>
  <si>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</si>
  <si>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</si>
  <si>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</si>
  <si>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6"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</si>
  <si>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</si>
  <si>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</si>
  <si>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5"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</si>
  <si>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6"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</si>
  <si>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</si>
  <si>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3"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</si>
  <si>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</si>
  <si>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</si>
  <si>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</si>
  <si>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</si>
  <si>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</si>
  <si>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</si>
  <si>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</si>
  <si>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</si>
  <si>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</si>
  <si>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</si>
  <si>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</si>
  <si>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</si>
  <si>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</si>
  <si>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</si>
  <si>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</si>
  <si>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</si>
  <si>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</si>
  <si>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</si>
  <si>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</si>
  <si>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</si>
  <si>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</si>
  <si>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</si>
  <si>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</si>
  <si>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</si>
  <si>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</si>
  <si>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</si>
  <si>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</si>
  <si>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</si>
  <si>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</si>
  <si>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</si>
  <si>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</si>
  <si>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</si>
  <si>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</si>
  <si>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</si>
  <si>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</si>
  <si>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</si>
  <si>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</si>
  <si>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</si>
  <si>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</si>
  <si>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</si>
  <si>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</si>
  <si>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</si>
  <si>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</si>
  <si>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</si>
  <si>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</si>
  <si>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</si>
  <si>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</si>
  <si>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</si>
  <si>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</si>
  <si>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</si>
  <si>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</si>
  <si>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</si>
  <si>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</si>
  <si>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</si>
  <si>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</si>
  <si>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</si>
  <si>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</si>
  <si>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</si>
  <si>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</si>
  <si>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</si>
  <si>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</si>
  <si>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</si>
  <si>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</si>
  <si>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</si>
  <si>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</si>
  <si>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</si>
  <si>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</si>
  <si>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</si>
  <si>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</si>
  <si>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</si>
  <si>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</si>
  <si>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</si>
  <si>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</si>
  <si>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</si>
  <si>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</si>
  <si>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</si>
  <si>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</si>
  <si>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</si>
  <si>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</si>
  <si>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</si>
  <si>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</si>
  <si>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</si>
  <si>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</si>
  <si>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</si>
  <si>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</si>
  <si>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</si>
  <si>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</si>
  <si>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</si>
  <si>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</si>
  <si>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</si>
  <si>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</si>
  <si>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</si>
  <si>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</si>
  <si>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</si>
  <si>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</si>
  <si>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</si>
  <si>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</si>
  <si>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</si>
  <si>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</si>
  <si>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</si>
  <si>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</si>
  <si>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</si>
  <si>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</si>
  <si>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</si>
  <si>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</si>
  <si>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</si>
  <si>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</si>
  <si>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</si>
  <si>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</si>
  <si>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</si>
  <si>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</si>
  <si>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</si>
  <si>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</si>
  <si>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</si>
  <si>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</si>
  <si>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</si>
  <si>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</si>
  <si>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2"/>
        <color indexed="8"/>
        <rFont val="宋体"/>
        <family val="3"/>
        <charset val="134"/>
      </rPr>
      <t>估价项目名称</t>
    </r>
    <phoneticPr fontId="5" type="noConversion"/>
  </si>
  <si>
    <r>
      <rPr>
        <sz val="12"/>
        <color indexed="8"/>
        <rFont val="宋体"/>
        <family val="3"/>
        <charset val="134"/>
      </rPr>
      <t>报告编号</t>
    </r>
    <phoneticPr fontId="8" type="noConversion"/>
  </si>
  <si>
    <r>
      <rPr>
        <sz val="12"/>
        <color indexed="8"/>
        <rFont val="宋体"/>
        <family val="3"/>
        <charset val="134"/>
      </rPr>
      <t>现场勘查日</t>
    </r>
    <phoneticPr fontId="89" type="noConversion"/>
  </si>
  <si>
    <r>
      <rPr>
        <sz val="12"/>
        <color indexed="8"/>
        <rFont val="宋体"/>
        <family val="3"/>
        <charset val="134"/>
      </rPr>
      <t>价值时点</t>
    </r>
    <phoneticPr fontId="89" type="noConversion"/>
  </si>
  <si>
    <r>
      <rPr>
        <sz val="12"/>
        <color indexed="8"/>
        <rFont val="宋体"/>
        <family val="3"/>
        <charset val="134"/>
      </rPr>
      <t>签字估价师</t>
    </r>
    <phoneticPr fontId="89" type="noConversion"/>
  </si>
  <si>
    <r>
      <rPr>
        <sz val="12"/>
        <color indexed="8"/>
        <rFont val="宋体"/>
        <family val="3"/>
        <charset val="134"/>
      </rPr>
      <t>估价委托人</t>
    </r>
    <r>
      <rPr>
        <sz val="12"/>
        <color indexed="8"/>
        <rFont val="Arial"/>
        <family val="2"/>
      </rPr>
      <t xml:space="preserve">  </t>
    </r>
    <phoneticPr fontId="87"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</si>
  <si>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7" type="noConversion"/>
  </si>
  <si>
    <r>
      <rPr>
        <sz val="12"/>
        <color indexed="8"/>
        <rFont val="宋体"/>
        <family val="3"/>
        <charset val="134"/>
      </rPr>
      <t>借款方</t>
    </r>
    <phoneticPr fontId="8" type="noConversion"/>
  </si>
  <si>
    <r>
      <rPr>
        <sz val="12"/>
        <color indexed="8"/>
        <rFont val="宋体"/>
        <family val="3"/>
        <charset val="134"/>
      </rPr>
      <t>估价目的</t>
    </r>
    <phoneticPr fontId="87" type="noConversion"/>
  </si>
  <si>
    <r>
      <rPr>
        <sz val="12"/>
        <color indexed="8"/>
        <rFont val="宋体"/>
        <family val="3"/>
        <charset val="134"/>
      </rPr>
      <t>抵押结果包含：</t>
    </r>
    <phoneticPr fontId="89" type="noConversion"/>
  </si>
  <si>
    <r>
      <rPr>
        <sz val="12"/>
        <color indexed="8"/>
        <rFont val="宋体"/>
        <family val="3"/>
        <charset val="134"/>
      </rPr>
      <t>价值类型</t>
    </r>
    <phoneticPr fontId="87" type="noConversion"/>
  </si>
  <si>
    <r>
      <rPr>
        <sz val="12"/>
        <color indexed="8"/>
        <rFont val="宋体"/>
        <family val="3"/>
        <charset val="134"/>
      </rPr>
      <t>项目所在城市</t>
    </r>
    <phoneticPr fontId="8" type="noConversion"/>
  </si>
  <si>
    <r>
      <rPr>
        <sz val="12"/>
        <color indexed="8"/>
        <rFont val="宋体"/>
        <family val="3"/>
        <charset val="134"/>
      </rPr>
      <t>坐落</t>
    </r>
    <phoneticPr fontId="87" type="noConversion"/>
  </si>
  <si>
    <r>
      <rPr>
        <sz val="12"/>
        <color indexed="8"/>
        <rFont val="宋体"/>
        <family val="3"/>
        <charset val="134"/>
      </rPr>
      <t>不动产权利人</t>
    </r>
    <phoneticPr fontId="8" type="noConversion"/>
  </si>
  <si>
    <r>
      <rPr>
        <sz val="12"/>
        <color indexed="8"/>
        <rFont val="宋体"/>
        <family val="3"/>
        <charset val="134"/>
      </rPr>
      <t>土地性质</t>
    </r>
    <phoneticPr fontId="87" type="noConversion"/>
  </si>
  <si>
    <r>
      <rPr>
        <sz val="11"/>
        <color indexed="8"/>
        <rFont val="宋体"/>
        <family val="3"/>
        <charset val="134"/>
      </rPr>
      <t>用途</t>
    </r>
    <phoneticPr fontId="8" type="noConversion"/>
  </si>
  <si>
    <r>
      <rPr>
        <sz val="11"/>
        <color indexed="8"/>
        <rFont val="宋体"/>
        <family val="3"/>
        <charset val="134"/>
      </rPr>
      <t>住宅</t>
    </r>
    <phoneticPr fontId="8" type="noConversion"/>
  </si>
  <si>
    <r>
      <rPr>
        <sz val="11"/>
        <color indexed="8"/>
        <rFont val="宋体"/>
        <family val="3"/>
        <charset val="134"/>
      </rPr>
      <t>商业</t>
    </r>
    <phoneticPr fontId="8" type="noConversion"/>
  </si>
  <si>
    <r>
      <rPr>
        <sz val="11"/>
        <color indexed="8"/>
        <rFont val="宋体"/>
        <family val="3"/>
        <charset val="134"/>
      </rPr>
      <t>办公</t>
    </r>
    <phoneticPr fontId="8" type="noConversion"/>
  </si>
  <si>
    <r>
      <rPr>
        <sz val="11"/>
        <color indexed="8"/>
        <rFont val="宋体"/>
        <family val="3"/>
        <charset val="134"/>
      </rPr>
      <t>车库</t>
    </r>
    <phoneticPr fontId="8" type="noConversion"/>
  </si>
  <si>
    <r>
      <rPr>
        <sz val="11"/>
        <color indexed="8"/>
        <rFont val="宋体"/>
        <family val="3"/>
        <charset val="134"/>
      </rPr>
      <t>仓储</t>
    </r>
    <phoneticPr fontId="8" type="noConversion"/>
  </si>
  <si>
    <r>
      <rPr>
        <sz val="11"/>
        <color indexed="8"/>
        <rFont val="宋体"/>
        <family val="3"/>
        <charset val="134"/>
      </rPr>
      <t>工业</t>
    </r>
    <phoneticPr fontId="8" type="noConversion"/>
  </si>
  <si>
    <r>
      <rPr>
        <sz val="12"/>
        <color indexed="8"/>
        <rFont val="宋体"/>
        <family val="3"/>
        <charset val="134"/>
      </rPr>
      <t>终止日期</t>
    </r>
    <phoneticPr fontId="8" type="noConversion"/>
  </si>
  <si>
    <r>
      <rPr>
        <sz val="12"/>
        <color indexed="8"/>
        <rFont val="宋体"/>
        <family val="3"/>
        <charset val="134"/>
      </rPr>
      <t>出让年限</t>
    </r>
    <phoneticPr fontId="8" type="noConversion"/>
  </si>
  <si>
    <r>
      <rPr>
        <sz val="12"/>
        <color indexed="8"/>
        <rFont val="宋体"/>
        <family val="3"/>
        <charset val="134"/>
      </rPr>
      <t>剩余年限</t>
    </r>
    <phoneticPr fontId="8" type="noConversion"/>
  </si>
  <si>
    <r>
      <rPr>
        <sz val="12"/>
        <color indexed="8"/>
        <rFont val="宋体"/>
        <family val="3"/>
        <charset val="134"/>
      </rPr>
      <t>估价对象用途明细</t>
    </r>
    <phoneticPr fontId="87" type="noConversion"/>
  </si>
  <si>
    <r>
      <rPr>
        <sz val="12"/>
        <color indexed="8"/>
        <rFont val="宋体"/>
        <family val="3"/>
        <charset val="134"/>
      </rPr>
      <t>剩余土地年限</t>
    </r>
    <phoneticPr fontId="8" type="noConversion"/>
  </si>
  <si>
    <r>
      <rPr>
        <sz val="12"/>
        <color indexed="8"/>
        <rFont val="宋体"/>
        <family val="3"/>
        <charset val="134"/>
      </rPr>
      <t>面积指标</t>
    </r>
    <phoneticPr fontId="87" type="noConversion"/>
  </si>
  <si>
    <r>
      <rPr>
        <sz val="12"/>
        <color indexed="8"/>
        <rFont val="宋体"/>
        <family val="3"/>
        <charset val="134"/>
      </rPr>
      <t>建筑面积</t>
    </r>
    <phoneticPr fontId="87" type="noConversion"/>
  </si>
  <si>
    <r>
      <rPr>
        <sz val="12"/>
        <color indexed="8"/>
        <rFont val="宋体"/>
        <family val="3"/>
        <charset val="134"/>
      </rPr>
      <t>面积依据</t>
    </r>
    <phoneticPr fontId="87"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</si>
  <si>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8" type="noConversion"/>
  </si>
  <si>
    <r>
      <rPr>
        <sz val="12"/>
        <color indexed="8"/>
        <rFont val="宋体"/>
        <family val="3"/>
        <charset val="134"/>
      </rPr>
      <t>建筑与土地面积依据相同</t>
    </r>
  </si>
  <si>
    <r>
      <rPr>
        <sz val="12"/>
        <color indexed="8"/>
        <rFont val="宋体"/>
        <family val="3"/>
        <charset val="134"/>
      </rPr>
      <t>土地面积</t>
    </r>
    <phoneticPr fontId="87" type="noConversion"/>
  </si>
  <si>
    <r>
      <rPr>
        <sz val="12"/>
        <color theme="9" tint="-0.249977111117893"/>
        <rFont val="宋体"/>
        <family val="3"/>
        <charset val="134"/>
      </rPr>
      <t>《国有土地使用证》</t>
    </r>
    <r>
      <rPr>
        <sz val="12"/>
        <color theme="9" tint="-0.249977111117893"/>
        <rFont val="Arial"/>
        <family val="2"/>
      </rPr>
      <t>[]</t>
    </r>
    <phoneticPr fontId="8" type="noConversion"/>
  </si>
  <si>
    <r>
      <rPr>
        <sz val="10"/>
        <color indexed="8"/>
        <rFont val="宋体"/>
        <family val="3"/>
        <charset val="134"/>
      </rPr>
      <t>权利状况（抵押）</t>
    </r>
    <phoneticPr fontId="89" type="noConversion"/>
  </si>
  <si>
    <r>
      <rPr>
        <sz val="10"/>
        <color indexed="8"/>
        <rFont val="宋体"/>
        <family val="3"/>
        <charset val="134"/>
      </rPr>
      <t>是否抵押</t>
    </r>
    <phoneticPr fontId="89" type="noConversion"/>
  </si>
  <si>
    <r>
      <rPr>
        <sz val="10"/>
        <color indexed="8"/>
        <rFont val="宋体"/>
        <family val="3"/>
        <charset val="134"/>
      </rPr>
      <t>权属证件是否登记权利价值</t>
    </r>
    <phoneticPr fontId="89" type="noConversion"/>
  </si>
  <si>
    <r>
      <rPr>
        <sz val="10"/>
        <color indexed="8"/>
        <rFont val="宋体"/>
        <family val="3"/>
        <charset val="134"/>
      </rPr>
      <t>依据</t>
    </r>
    <phoneticPr fontId="89" type="noConversion"/>
  </si>
  <si>
    <r>
      <rPr>
        <sz val="10"/>
        <color indexed="8"/>
        <rFont val="宋体"/>
        <family val="3"/>
        <charset val="134"/>
      </rPr>
      <t>权属文件</t>
    </r>
    <phoneticPr fontId="89" type="noConversion"/>
  </si>
  <si>
    <r>
      <rPr>
        <sz val="10"/>
        <color indexed="8"/>
        <rFont val="宋体"/>
        <family val="3"/>
        <charset val="134"/>
      </rPr>
      <t>他项权证</t>
    </r>
    <phoneticPr fontId="89" type="noConversion"/>
  </si>
  <si>
    <r>
      <rPr>
        <sz val="10"/>
        <color indexed="8"/>
        <rFont val="宋体"/>
        <family val="3"/>
        <charset val="134"/>
      </rPr>
      <t>其他资料</t>
    </r>
    <phoneticPr fontId="89" type="noConversion"/>
  </si>
  <si>
    <r>
      <rPr>
        <sz val="10"/>
        <color indexed="8"/>
        <rFont val="宋体"/>
        <family val="3"/>
        <charset val="134"/>
      </rPr>
      <t>抵押情况描述</t>
    </r>
    <phoneticPr fontId="89"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</si>
  <si>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</si>
  <si>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</si>
  <si>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9"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</si>
  <si>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</si>
  <si>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</si>
  <si>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9" type="noConversion"/>
  </si>
  <si>
    <r>
      <rPr>
        <sz val="10"/>
        <color indexed="8"/>
        <rFont val="宋体"/>
        <family val="3"/>
        <charset val="134"/>
      </rPr>
      <t>设定日期</t>
    </r>
    <phoneticPr fontId="89" type="noConversion"/>
  </si>
  <si>
    <r>
      <rPr>
        <sz val="10"/>
        <color indexed="8"/>
        <rFont val="宋体"/>
        <family val="3"/>
        <charset val="134"/>
      </rPr>
      <t>权利人</t>
    </r>
    <phoneticPr fontId="89" type="noConversion"/>
  </si>
  <si>
    <r>
      <rPr>
        <sz val="10"/>
        <color indexed="8"/>
        <rFont val="宋体"/>
        <family val="3"/>
        <charset val="134"/>
      </rPr>
      <t>权利范围</t>
    </r>
    <phoneticPr fontId="89" type="noConversion"/>
  </si>
  <si>
    <r>
      <rPr>
        <sz val="10"/>
        <color indexed="8"/>
        <rFont val="宋体"/>
        <family val="3"/>
        <charset val="134"/>
      </rPr>
      <t>权利价值</t>
    </r>
    <phoneticPr fontId="89" type="noConversion"/>
  </si>
  <si>
    <r>
      <rPr>
        <sz val="10"/>
        <color indexed="8"/>
        <rFont val="宋体"/>
        <family val="3"/>
        <charset val="134"/>
      </rPr>
      <t>权利价值</t>
    </r>
    <phoneticPr fontId="89" type="noConversion"/>
  </si>
  <si>
    <r>
      <rPr>
        <sz val="12"/>
        <color indexed="8"/>
        <rFont val="宋体"/>
        <family val="3"/>
        <charset val="134"/>
      </rPr>
      <t>项目类型</t>
    </r>
    <phoneticPr fontId="8" type="noConversion"/>
  </si>
  <si>
    <r>
      <rPr>
        <sz val="12"/>
        <color indexed="8"/>
        <rFont val="宋体"/>
        <family val="3"/>
        <charset val="134"/>
      </rPr>
      <t>按主用途</t>
    </r>
    <phoneticPr fontId="8" type="noConversion"/>
  </si>
  <si>
    <r>
      <rPr>
        <sz val="12"/>
        <color indexed="8"/>
        <rFont val="宋体"/>
        <family val="3"/>
        <charset val="134"/>
      </rPr>
      <t>特殊细项</t>
    </r>
    <phoneticPr fontId="8" type="noConversion"/>
  </si>
  <si>
    <r>
      <rPr>
        <sz val="12"/>
        <color indexed="8"/>
        <rFont val="宋体"/>
        <family val="3"/>
        <charset val="134"/>
      </rPr>
      <t>是否配建</t>
    </r>
    <phoneticPr fontId="8" type="noConversion"/>
  </si>
  <si>
    <r>
      <rPr>
        <sz val="12"/>
        <color indexed="8"/>
        <rFont val="宋体"/>
        <family val="3"/>
        <charset val="134"/>
      </rPr>
      <t>配建类型</t>
    </r>
    <phoneticPr fontId="8" type="noConversion"/>
  </si>
  <si>
    <r>
      <rPr>
        <sz val="12"/>
        <color indexed="8"/>
        <rFont val="宋体"/>
        <family val="3"/>
        <charset val="134"/>
      </rPr>
      <t>项目现状</t>
    </r>
    <phoneticPr fontId="8" type="noConversion"/>
  </si>
  <si>
    <r>
      <rPr>
        <sz val="12"/>
        <color indexed="8"/>
        <rFont val="宋体"/>
        <family val="3"/>
        <charset val="134"/>
      </rPr>
      <t>红线外市政</t>
    </r>
    <phoneticPr fontId="8" type="noConversion"/>
  </si>
  <si>
    <r>
      <rPr>
        <sz val="11"/>
        <color indexed="8"/>
        <rFont val="宋体"/>
        <family val="3"/>
        <charset val="134"/>
      </rPr>
      <t>一通</t>
    </r>
    <phoneticPr fontId="94" type="noConversion"/>
  </si>
  <si>
    <r>
      <rPr>
        <sz val="11"/>
        <color indexed="8"/>
        <rFont val="宋体"/>
        <family val="3"/>
        <charset val="134"/>
      </rPr>
      <t>二通</t>
    </r>
    <phoneticPr fontId="94" type="noConversion"/>
  </si>
  <si>
    <r>
      <rPr>
        <sz val="11"/>
        <color indexed="8"/>
        <rFont val="宋体"/>
        <family val="3"/>
        <charset val="134"/>
      </rPr>
      <t>三通</t>
    </r>
    <phoneticPr fontId="94" type="noConversion"/>
  </si>
  <si>
    <r>
      <rPr>
        <sz val="11"/>
        <color indexed="8"/>
        <rFont val="宋体"/>
        <family val="3"/>
        <charset val="134"/>
      </rPr>
      <t>四通</t>
    </r>
    <phoneticPr fontId="94" type="noConversion"/>
  </si>
  <si>
    <r>
      <rPr>
        <sz val="11"/>
        <color indexed="8"/>
        <rFont val="宋体"/>
        <family val="3"/>
        <charset val="134"/>
      </rPr>
      <t>五通</t>
    </r>
    <phoneticPr fontId="94" type="noConversion"/>
  </si>
  <si>
    <r>
      <rPr>
        <sz val="11"/>
        <color indexed="8"/>
        <rFont val="宋体"/>
        <family val="3"/>
        <charset val="134"/>
      </rPr>
      <t>六通</t>
    </r>
    <phoneticPr fontId="94" type="noConversion"/>
  </si>
  <si>
    <r>
      <rPr>
        <sz val="11"/>
        <color indexed="8"/>
        <rFont val="宋体"/>
        <family val="3"/>
        <charset val="134"/>
      </rPr>
      <t>七通</t>
    </r>
    <phoneticPr fontId="94" type="noConversion"/>
  </si>
  <si>
    <r>
      <rPr>
        <sz val="11"/>
        <color indexed="8"/>
        <rFont val="宋体"/>
        <family val="3"/>
        <charset val="134"/>
      </rPr>
      <t>估价对象</t>
    </r>
    <phoneticPr fontId="94" type="noConversion"/>
  </si>
  <si>
    <r>
      <rPr>
        <sz val="12"/>
        <color indexed="8"/>
        <rFont val="宋体"/>
        <family val="3"/>
        <charset val="134"/>
      </rPr>
      <t>北京市</t>
    </r>
    <phoneticPr fontId="8" type="noConversion"/>
  </si>
  <si>
    <r>
      <rPr>
        <sz val="12"/>
        <color indexed="8"/>
        <rFont val="宋体"/>
        <family val="3"/>
        <charset val="134"/>
      </rPr>
      <t>商业</t>
    </r>
    <phoneticPr fontId="8" type="noConversion"/>
  </si>
  <si>
    <r>
      <rPr>
        <sz val="12"/>
        <color indexed="8"/>
        <rFont val="宋体"/>
        <family val="3"/>
        <charset val="134"/>
      </rPr>
      <t>办公</t>
    </r>
    <phoneticPr fontId="8" type="noConversion"/>
  </si>
  <si>
    <r>
      <rPr>
        <sz val="12"/>
        <color indexed="8"/>
        <rFont val="宋体"/>
        <family val="3"/>
        <charset val="134"/>
      </rPr>
      <t>住宅</t>
    </r>
    <phoneticPr fontId="8" type="noConversion"/>
  </si>
  <si>
    <r>
      <rPr>
        <sz val="12"/>
        <color indexed="8"/>
        <rFont val="宋体"/>
        <family val="3"/>
        <charset val="134"/>
      </rPr>
      <t>工业</t>
    </r>
    <phoneticPr fontId="8" type="noConversion"/>
  </si>
  <si>
    <r>
      <rPr>
        <sz val="12"/>
        <color indexed="8"/>
        <rFont val="宋体"/>
        <family val="3"/>
        <charset val="134"/>
      </rPr>
      <t>土地级别</t>
    </r>
    <phoneticPr fontId="8" type="noConversion"/>
  </si>
  <si>
    <r>
      <rPr>
        <sz val="12"/>
        <color indexed="8"/>
        <rFont val="宋体"/>
        <family val="3"/>
        <charset val="134"/>
      </rPr>
      <t>区片编号</t>
    </r>
    <phoneticPr fontId="8" type="noConversion"/>
  </si>
  <si>
    <r>
      <rPr>
        <b/>
        <sz val="16"/>
        <color rgb="FFFF0000"/>
        <rFont val="宋体"/>
        <family val="3"/>
        <charset val="134"/>
      </rPr>
      <t>虚线以上为必填</t>
    </r>
    <phoneticPr fontId="8" type="noConversion"/>
  </si>
  <si>
    <r>
      <rPr>
        <b/>
        <sz val="11"/>
        <color indexed="8"/>
        <rFont val="宋体"/>
        <family val="3"/>
        <charset val="134"/>
      </rPr>
      <t>证件取得及他项权利状况</t>
    </r>
    <phoneticPr fontId="8" type="noConversion"/>
  </si>
  <si>
    <r>
      <rPr>
        <sz val="11"/>
        <color indexed="8"/>
        <rFont val="宋体"/>
        <family val="3"/>
        <charset val="134"/>
      </rPr>
      <t>地块编号</t>
    </r>
    <phoneticPr fontId="5"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</si>
  <si>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5" type="noConversion"/>
  </si>
  <si>
    <r>
      <rPr>
        <sz val="11"/>
        <color indexed="8"/>
        <rFont val="宋体"/>
        <family val="3"/>
        <charset val="134"/>
      </rPr>
      <t>出让合同</t>
    </r>
    <phoneticPr fontId="5" type="noConversion"/>
  </si>
  <si>
    <r>
      <rPr>
        <sz val="11"/>
        <color indexed="8"/>
        <rFont val="宋体"/>
        <family val="3"/>
        <charset val="134"/>
      </rPr>
      <t>用地规划</t>
    </r>
    <phoneticPr fontId="5" type="noConversion"/>
  </si>
  <si>
    <r>
      <rPr>
        <sz val="11"/>
        <color indexed="8"/>
        <rFont val="宋体"/>
        <family val="3"/>
        <charset val="134"/>
      </rPr>
      <t>规划意见复函</t>
    </r>
    <phoneticPr fontId="5" type="noConversion"/>
  </si>
  <si>
    <r>
      <rPr>
        <sz val="11"/>
        <color indexed="8"/>
        <rFont val="宋体"/>
        <family val="3"/>
        <charset val="134"/>
      </rPr>
      <t>工程规划</t>
    </r>
    <phoneticPr fontId="5" type="noConversion"/>
  </si>
  <si>
    <r>
      <rPr>
        <sz val="11"/>
        <color indexed="8"/>
        <rFont val="宋体"/>
        <family val="3"/>
        <charset val="134"/>
      </rPr>
      <t>施工证</t>
    </r>
    <phoneticPr fontId="5" type="noConversion"/>
  </si>
  <si>
    <r>
      <rPr>
        <sz val="11"/>
        <color indexed="8"/>
        <rFont val="宋体"/>
        <family val="3"/>
        <charset val="134"/>
      </rPr>
      <t>预售证</t>
    </r>
    <phoneticPr fontId="5" type="noConversion"/>
  </si>
  <si>
    <r>
      <rPr>
        <sz val="11"/>
        <color indexed="8"/>
        <rFont val="宋体"/>
        <family val="3"/>
        <charset val="134"/>
      </rPr>
      <t>竣工备案</t>
    </r>
    <phoneticPr fontId="5" type="noConversion"/>
  </si>
  <si>
    <r>
      <rPr>
        <sz val="11"/>
        <color indexed="8"/>
        <rFont val="宋体"/>
        <family val="3"/>
        <charset val="134"/>
      </rPr>
      <t>测绘报告</t>
    </r>
    <phoneticPr fontId="5" type="noConversion"/>
  </si>
  <si>
    <r>
      <rPr>
        <sz val="11"/>
        <color indexed="8"/>
        <rFont val="宋体"/>
        <family val="3"/>
        <charset val="134"/>
      </rPr>
      <t>现状</t>
    </r>
    <phoneticPr fontId="8"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</si>
  <si>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8" type="noConversion"/>
  </si>
  <si>
    <r>
      <rPr>
        <sz val="11"/>
        <color indexed="8"/>
        <rFont val="宋体"/>
        <family val="3"/>
        <charset val="134"/>
      </rPr>
      <t>不动产权证书</t>
    </r>
    <phoneticPr fontId="8" type="noConversion"/>
  </si>
  <si>
    <r>
      <rPr>
        <sz val="11"/>
        <color indexed="8"/>
        <rFont val="宋体"/>
        <family val="3"/>
        <charset val="134"/>
      </rPr>
      <t>国土证</t>
    </r>
    <phoneticPr fontId="5" type="noConversion"/>
  </si>
  <si>
    <r>
      <rPr>
        <sz val="11"/>
        <color indexed="8"/>
        <rFont val="宋体"/>
        <family val="3"/>
        <charset val="134"/>
      </rPr>
      <t>房产证</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</si>
  <si>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</si>
  <si>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8"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</si>
  <si>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</si>
  <si>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</si>
  <si>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</si>
  <si>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</si>
  <si>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</si>
  <si>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</si>
  <si>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</si>
  <si>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</si>
  <si>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</si>
  <si>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</si>
  <si>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</si>
  <si>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</si>
  <si>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</si>
  <si>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</si>
  <si>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</si>
  <si>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</si>
  <si>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</si>
  <si>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</si>
  <si>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</si>
  <si>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</si>
  <si>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</si>
  <si>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</si>
  <si>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</si>
  <si>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</si>
  <si>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</si>
  <si>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</si>
  <si>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</si>
  <si>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</si>
  <si>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</si>
  <si>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</si>
  <si>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</si>
  <si>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</si>
  <si>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</si>
  <si>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</si>
  <si>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</si>
  <si>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</si>
  <si>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</si>
  <si>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</si>
  <si>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</si>
  <si>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</si>
  <si>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</si>
  <si>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</si>
  <si>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</si>
  <si>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</si>
  <si>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</si>
  <si>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</si>
  <si>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</si>
  <si>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</si>
  <si>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</si>
  <si>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</si>
  <si>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</si>
  <si>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</si>
  <si>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</si>
  <si>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</si>
  <si>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</si>
  <si>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</si>
  <si>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</si>
  <si>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</si>
  <si>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</si>
  <si>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</si>
  <si>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</si>
  <si>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</si>
  <si>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</si>
  <si>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</si>
  <si>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</si>
  <si>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</si>
  <si>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</si>
  <si>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</si>
  <si>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</si>
  <si>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</si>
  <si>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</si>
  <si>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</si>
  <si>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</si>
  <si>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</si>
  <si>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</si>
  <si>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</si>
  <si>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</si>
  <si>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</si>
  <si>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</si>
  <si>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</si>
  <si>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</si>
  <si>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</si>
  <si>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</si>
  <si>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</si>
  <si>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</si>
  <si>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</si>
  <si>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</si>
  <si>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</si>
  <si>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</si>
  <si>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</si>
  <si>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</si>
  <si>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</si>
  <si>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</si>
  <si>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</si>
  <si>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</si>
  <si>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</si>
  <si>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</si>
  <si>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</si>
  <si>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</si>
  <si>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</si>
  <si>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</si>
  <si>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</si>
  <si>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</si>
  <si>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</si>
  <si>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</si>
  <si>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</si>
  <si>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</si>
  <si>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</si>
  <si>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</si>
  <si>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</si>
  <si>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</si>
  <si>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</si>
  <si>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</si>
  <si>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</si>
  <si>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</si>
  <si>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</si>
  <si>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</si>
  <si>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</si>
  <si>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</si>
  <si>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</si>
  <si>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</si>
  <si>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</si>
  <si>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</si>
  <si>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</si>
  <si>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</si>
  <si>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</si>
  <si>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</si>
  <si>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</si>
  <si>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</si>
  <si>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</si>
  <si>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</si>
  <si>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</si>
  <si>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</si>
  <si>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</si>
  <si>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</si>
  <si>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</si>
  <si>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</si>
  <si>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</si>
  <si>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</si>
  <si>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</si>
  <si>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</si>
  <si>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</si>
  <si>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</si>
  <si>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</si>
  <si>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</si>
  <si>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</si>
  <si>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</si>
  <si>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</si>
  <si>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</si>
  <si>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</si>
  <si>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</si>
  <si>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color indexed="8"/>
        <rFont val="宋体"/>
        <family val="3"/>
        <charset val="134"/>
      </rPr>
      <t>默认为已完成的土地开发期</t>
    </r>
    <phoneticPr fontId="5" type="noConversion"/>
  </si>
  <si>
    <r>
      <rPr>
        <sz val="11"/>
        <rFont val="宋体"/>
        <family val="3"/>
        <charset val="134"/>
      </rPr>
      <t>建设期</t>
    </r>
    <phoneticPr fontId="6" type="noConversion"/>
  </si>
  <si>
    <r>
      <rPr>
        <sz val="11"/>
        <color indexed="8"/>
        <rFont val="宋体"/>
        <family val="3"/>
        <charset val="134"/>
      </rPr>
      <t>包含未完成的红线外市政工程时间（如现状三通，开发完成后七通）</t>
    </r>
    <phoneticPr fontId="5"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</si>
  <si>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</si>
  <si>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</si>
  <si>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</si>
  <si>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</si>
  <si>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</si>
  <si>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</si>
  <si>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</si>
  <si>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</si>
  <si>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theme="1"/>
        <rFont val="宋体"/>
        <family val="3"/>
        <charset val="134"/>
      </rPr>
      <t>请录依据文件名称：</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</si>
  <si>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</si>
  <si>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</si>
  <si>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theme="1"/>
        <rFont val="宋体"/>
        <family val="3"/>
        <charset val="134"/>
      </rPr>
      <t>凭票据或默认已缴纳</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</si>
  <si>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</si>
  <si>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</si>
  <si>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</si>
  <si>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</si>
  <si>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0"/>
        <color theme="1"/>
        <rFont val="宋体"/>
        <family val="3"/>
        <charset val="134"/>
      </rPr>
      <t>范围：</t>
    </r>
    <r>
      <rPr>
        <sz val="10"/>
        <color theme="1"/>
        <rFont val="Arial"/>
        <family val="2"/>
      </rPr>
      <t>3%-5%</t>
    </r>
    <phoneticPr fontId="5" type="noConversion"/>
  </si>
  <si>
    <r>
      <rPr>
        <sz val="11"/>
        <color indexed="8"/>
        <rFont val="宋体"/>
        <family val="3"/>
        <charset val="134"/>
      </rPr>
      <t>公共配套设施费用</t>
    </r>
    <phoneticPr fontId="5" type="noConversion"/>
  </si>
  <si>
    <r>
      <rPr>
        <sz val="10"/>
        <color theme="1"/>
        <rFont val="宋体"/>
        <family val="3"/>
        <charset val="134"/>
      </rPr>
      <t>范围：</t>
    </r>
    <r>
      <rPr>
        <sz val="10"/>
        <color theme="1"/>
        <rFont val="Arial"/>
        <family val="2"/>
      </rPr>
      <t>0-10%</t>
    </r>
    <phoneticPr fontId="5" type="noConversion"/>
  </si>
  <si>
    <r>
      <rPr>
        <sz val="11"/>
        <color indexed="8"/>
        <rFont val="宋体"/>
        <family val="3"/>
        <charset val="134"/>
      </rPr>
      <t>非住宅项目及用公共配套计算实为</t>
    </r>
    <r>
      <rPr>
        <sz val="11"/>
        <color indexed="8"/>
        <rFont val="Arial"/>
        <family val="2"/>
      </rPr>
      <t>0</t>
    </r>
    <phoneticPr fontId="5" type="noConversion"/>
  </si>
  <si>
    <r>
      <rPr>
        <sz val="11"/>
        <color indexed="8"/>
        <rFont val="宋体"/>
        <family val="3"/>
        <charset val="134"/>
      </rPr>
      <t>红线内市政基础设施</t>
    </r>
    <phoneticPr fontId="5" type="noConversion"/>
  </si>
  <si>
    <r>
      <rPr>
        <sz val="10"/>
        <color theme="1"/>
        <rFont val="宋体"/>
        <family val="3"/>
        <charset val="134"/>
      </rPr>
      <t>变化</t>
    </r>
    <phoneticPr fontId="5" type="noConversion"/>
  </si>
  <si>
    <r>
      <rPr>
        <sz val="11"/>
        <color indexed="8"/>
        <rFont val="宋体"/>
        <family val="3"/>
        <charset val="134"/>
      </rPr>
      <t>建造成本中相关税费</t>
    </r>
    <phoneticPr fontId="5" type="noConversion"/>
  </si>
  <si>
    <r>
      <rPr>
        <sz val="10"/>
        <color theme="1"/>
        <rFont val="宋体"/>
        <family val="3"/>
        <charset val="134"/>
      </rPr>
      <t>定值：</t>
    </r>
    <r>
      <rPr>
        <sz val="10"/>
        <color theme="1"/>
        <rFont val="Arial"/>
        <family val="2"/>
      </rPr>
      <t>1.5%</t>
    </r>
    <phoneticPr fontId="5" type="noConversion"/>
  </si>
  <si>
    <r>
      <rPr>
        <sz val="11"/>
        <color indexed="8"/>
        <rFont val="宋体"/>
        <family val="3"/>
        <charset val="134"/>
      </rPr>
      <t>管理费用</t>
    </r>
    <phoneticPr fontId="5" type="noConversion"/>
  </si>
  <si>
    <r>
      <rPr>
        <sz val="10"/>
        <color theme="1"/>
        <rFont val="宋体"/>
        <family val="3"/>
        <charset val="134"/>
      </rPr>
      <t>范围：</t>
    </r>
    <r>
      <rPr>
        <sz val="10"/>
        <color theme="1"/>
        <rFont val="Arial"/>
        <family val="2"/>
      </rPr>
      <t>1%-3%</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</si>
  <si>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</si>
  <si>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</si>
  <si>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贷款利息</t>
    </r>
    <phoneticPr fontId="5"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</si>
  <si>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</si>
  <si>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</si>
  <si>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</si>
  <si>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</si>
  <si>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</si>
  <si>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</si>
  <si>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</si>
  <si>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</si>
  <si>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</si>
  <si>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</si>
  <si>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sz val="11"/>
        <color indexed="8"/>
        <rFont val="宋体"/>
        <family val="3"/>
        <charset val="134"/>
      </rPr>
      <t>其他税种</t>
    </r>
    <phoneticPr fontId="5" type="noConversion"/>
  </si>
  <si>
    <r>
      <rPr>
        <sz val="11"/>
        <color theme="1"/>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</si>
  <si>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</si>
  <si>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</si>
  <si>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</si>
  <si>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</si>
  <si>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</si>
  <si>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</si>
  <si>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</si>
  <si>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</si>
  <si>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</si>
  <si>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</si>
  <si>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</si>
  <si>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</si>
  <si>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</si>
  <si>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</si>
  <si>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</si>
  <si>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</si>
  <si>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</si>
  <si>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</si>
  <si>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</si>
  <si>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</si>
  <si>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</si>
  <si>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</si>
  <si>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</si>
  <si>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27"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</si>
  <si>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</si>
  <si>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3"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</si>
  <si>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</si>
  <si>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3" type="noConversion"/>
  </si>
  <si>
    <r>
      <rPr>
        <sz val="11"/>
        <color indexed="8"/>
        <rFont val="宋体"/>
        <family val="3"/>
        <charset val="134"/>
      </rPr>
      <t>商业繁华度</t>
    </r>
    <phoneticPr fontId="31"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</si>
  <si>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7" type="noConversion"/>
  </si>
  <si>
    <r>
      <rPr>
        <sz val="11"/>
        <color indexed="8"/>
        <rFont val="宋体"/>
        <family val="3"/>
        <charset val="134"/>
      </rPr>
      <t>交通便捷度</t>
    </r>
    <phoneticPr fontId="31" type="noConversion"/>
  </si>
  <si>
    <r>
      <rPr>
        <sz val="11"/>
        <color theme="9" tint="-0.249977111117893"/>
        <rFont val="宋体"/>
        <family val="3"/>
        <charset val="134"/>
      </rPr>
      <t>估价对象周边道路状况、公共交通通达情况、停车便捷程度，综合评价交通便捷度较好</t>
    </r>
    <phoneticPr fontId="43" type="noConversion"/>
  </si>
  <si>
    <r>
      <rPr>
        <sz val="11"/>
        <color indexed="8"/>
        <rFont val="宋体"/>
        <family val="3"/>
        <charset val="134"/>
      </rPr>
      <t>办公集聚程度</t>
    </r>
    <phoneticPr fontId="31"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</si>
  <si>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7" type="noConversion"/>
  </si>
  <si>
    <r>
      <rPr>
        <sz val="11"/>
        <color indexed="8"/>
        <rFont val="宋体"/>
        <family val="3"/>
        <charset val="134"/>
      </rPr>
      <t>公共配套设施</t>
    </r>
    <phoneticPr fontId="27" type="noConversion"/>
  </si>
  <si>
    <r>
      <rPr>
        <sz val="11"/>
        <color theme="9" tint="-0.249977111117893"/>
        <rFont val="宋体"/>
        <family val="3"/>
        <charset val="134"/>
      </rPr>
      <t>估价对象所在区域公共配套设施齐备情况</t>
    </r>
    <phoneticPr fontId="43"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</si>
  <si>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</si>
  <si>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</si>
  <si>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theme="9" tint="-0.249977111117893"/>
        <rFont val="宋体"/>
        <family val="3"/>
        <charset val="134"/>
      </rPr>
      <t>估价对象所在区域基础设施水平</t>
    </r>
    <phoneticPr fontId="27" type="noConversion"/>
  </si>
  <si>
    <r>
      <rPr>
        <sz val="11"/>
        <color indexed="8"/>
        <rFont val="宋体"/>
        <family val="3"/>
        <charset val="134"/>
      </rPr>
      <t>环境状况</t>
    </r>
    <phoneticPr fontId="31" type="noConversion"/>
  </si>
  <si>
    <r>
      <rPr>
        <sz val="11"/>
        <color theme="9" tint="-0.249977111117893"/>
        <rFont val="宋体"/>
        <family val="3"/>
        <charset val="134"/>
      </rPr>
      <t>该园区内是否有污染型企业，绿化情况，卫生条件，整体环境状况判断</t>
    </r>
    <phoneticPr fontId="43"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</si>
  <si>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</si>
  <si>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3" type="noConversion"/>
  </si>
  <si>
    <r>
      <rPr>
        <sz val="11"/>
        <color indexed="8"/>
        <rFont val="宋体"/>
        <family val="3"/>
        <charset val="134"/>
      </rPr>
      <t>毗邻道路的类型与等级</t>
    </r>
    <phoneticPr fontId="31"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</si>
  <si>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</si>
  <si>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</si>
  <si>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</si>
  <si>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31" type="noConversion"/>
  </si>
  <si>
    <r>
      <rPr>
        <b/>
        <sz val="11"/>
        <color indexed="8"/>
        <rFont val="宋体"/>
        <family val="3"/>
        <charset val="134"/>
      </rPr>
      <t>区位状况</t>
    </r>
    <phoneticPr fontId="27" type="noConversion"/>
  </si>
  <si>
    <r>
      <rPr>
        <sz val="11"/>
        <color indexed="8"/>
        <rFont val="宋体"/>
        <family val="3"/>
        <charset val="134"/>
      </rPr>
      <t>产业集聚程度</t>
    </r>
    <phoneticPr fontId="31" type="noConversion"/>
  </si>
  <si>
    <r>
      <rPr>
        <sz val="11"/>
        <color indexed="8"/>
        <rFont val="宋体"/>
        <family val="3"/>
        <charset val="134"/>
      </rPr>
      <t>区域土地利用方向</t>
    </r>
    <phoneticPr fontId="31"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</si>
  <si>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</si>
  <si>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</si>
  <si>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7" type="noConversion"/>
  </si>
  <si>
    <r>
      <rPr>
        <sz val="11"/>
        <color indexed="8"/>
        <rFont val="宋体"/>
        <family val="3"/>
        <charset val="134"/>
      </rPr>
      <t>临街状况</t>
    </r>
  </si>
  <si>
    <r>
      <rPr>
        <sz val="11"/>
        <color indexed="8"/>
        <rFont val="宋体"/>
        <family val="3"/>
        <charset val="134"/>
      </rPr>
      <t>土地级别</t>
    </r>
    <phoneticPr fontId="31" type="noConversion"/>
  </si>
  <si>
    <r>
      <rPr>
        <sz val="11"/>
        <color indexed="8"/>
        <rFont val="宋体"/>
        <family val="3"/>
        <charset val="134"/>
      </rPr>
      <t>毗邻道路的类型与等级</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</si>
  <si>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</si>
  <si>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</si>
  <si>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</si>
  <si>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</si>
  <si>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</si>
  <si>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</si>
  <si>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</si>
  <si>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</si>
  <si>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</si>
  <si>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</si>
  <si>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</si>
  <si>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</si>
  <si>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</si>
  <si>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</si>
  <si>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</si>
  <si>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</si>
  <si>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</si>
  <si>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</si>
  <si>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</si>
  <si>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</si>
  <si>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</si>
  <si>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</si>
  <si>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</si>
  <si>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</si>
  <si>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</si>
  <si>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</si>
  <si>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</si>
  <si>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</si>
  <si>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</si>
  <si>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</si>
  <si>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</si>
  <si>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</si>
  <si>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</si>
  <si>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</si>
  <si>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</si>
  <si>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</si>
  <si>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</si>
  <si>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</si>
  <si>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</si>
  <si>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</si>
  <si>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</si>
  <si>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</si>
  <si>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</si>
  <si>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</si>
  <si>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总价</t>
    </r>
  </si>
  <si>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</si>
  <si>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4" type="noConversion"/>
  </si>
  <si>
    <r>
      <rPr>
        <sz val="11"/>
        <color indexed="8"/>
        <rFont val="宋体"/>
        <family val="3"/>
        <charset val="134"/>
      </rPr>
      <t>土地价值</t>
    </r>
    <phoneticPr fontId="10" type="noConversion"/>
  </si>
  <si>
    <r>
      <rPr>
        <sz val="10"/>
        <color indexed="8"/>
        <rFont val="宋体"/>
        <family val="3"/>
        <charset val="134"/>
      </rPr>
      <t>土地价值</t>
    </r>
    <phoneticPr fontId="94" type="noConversion"/>
  </si>
  <si>
    <r>
      <rPr>
        <sz val="11"/>
        <color indexed="8"/>
        <rFont val="宋体"/>
        <family val="3"/>
        <charset val="134"/>
      </rPr>
      <t>建筑物价值</t>
    </r>
    <phoneticPr fontId="10" type="noConversion"/>
  </si>
  <si>
    <r>
      <rPr>
        <sz val="10"/>
        <color indexed="8"/>
        <rFont val="宋体"/>
        <family val="3"/>
        <charset val="134"/>
      </rPr>
      <t>建筑物价值</t>
    </r>
    <phoneticPr fontId="94"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</si>
  <si>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</si>
  <si>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</si>
  <si>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</si>
  <si>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</si>
  <si>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</si>
  <si>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</si>
  <si>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</si>
  <si>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</si>
  <si>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</si>
  <si>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</si>
  <si>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</si>
  <si>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</si>
  <si>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</si>
  <si>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</si>
  <si>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</si>
  <si>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</si>
  <si>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</si>
  <si>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</si>
  <si>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</si>
  <si>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</si>
  <si>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</si>
  <si>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</si>
  <si>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</si>
  <si>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</si>
  <si>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</si>
  <si>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</si>
  <si>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</si>
  <si>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</si>
  <si>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</si>
  <si>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</si>
  <si>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</si>
  <si>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</si>
  <si>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</si>
  <si>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</si>
  <si>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</si>
  <si>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</si>
  <si>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</si>
  <si>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</si>
  <si>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</si>
  <si>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</si>
  <si>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</si>
  <si>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</si>
  <si>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</si>
  <si>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</si>
  <si>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</si>
  <si>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</si>
  <si>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</si>
  <si>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</si>
  <si>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</si>
  <si>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</si>
  <si>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</si>
  <si>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</si>
  <si>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</si>
  <si>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rPr>
        <sz val="10"/>
        <color indexed="8"/>
        <rFont val="宋体"/>
        <family val="3"/>
        <charset val="134"/>
      </rPr>
      <t>正常</t>
    </r>
  </si>
  <si>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</si>
  <si>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</si>
  <si>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</si>
  <si>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</si>
  <si>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</si>
  <si>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</si>
  <si>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</si>
  <si>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</si>
  <si>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</si>
  <si>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</si>
  <si>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</si>
  <si>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0"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</si>
  <si>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</si>
  <si>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</si>
  <si>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</si>
  <si>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</si>
  <si>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</si>
  <si>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</si>
  <si>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</si>
  <si>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</si>
  <si>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</si>
  <si>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</si>
  <si>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</si>
  <si>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</si>
  <si>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</si>
  <si>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</si>
  <si>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</si>
  <si>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</si>
  <si>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</si>
  <si>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</si>
  <si>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</si>
  <si>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</si>
  <si>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</si>
  <si>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</si>
  <si>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</si>
  <si>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</si>
  <si>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</si>
  <si>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买卖合同</t>
    </r>
  </si>
  <si>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</si>
  <si>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</si>
  <si>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</si>
  <si>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</si>
  <si>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</si>
  <si>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</si>
  <si>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</si>
  <si>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</si>
  <si>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</si>
  <si>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</si>
  <si>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</si>
  <si>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</si>
  <si>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</si>
  <si>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</si>
  <si>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</si>
  <si>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</si>
  <si>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</si>
  <si>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</si>
  <si>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</si>
  <si>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</si>
  <si>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</si>
  <si>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</si>
  <si>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</si>
  <si>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</si>
  <si>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</si>
  <si>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</si>
  <si>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</si>
  <si>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</si>
  <si>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</si>
  <si>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</si>
  <si>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</si>
  <si>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</si>
  <si>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</si>
  <si>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</si>
  <si>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</si>
  <si>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</si>
  <si>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</si>
  <si>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</si>
  <si>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</si>
  <si>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</si>
  <si>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</si>
  <si>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</si>
  <si>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</si>
  <si>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</si>
  <si>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</si>
  <si>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</si>
  <si>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</si>
  <si>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</si>
  <si>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</si>
  <si>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</si>
  <si>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</si>
  <si>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</si>
  <si>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</si>
  <si>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</si>
  <si>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</si>
  <si>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</si>
  <si>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</si>
  <si>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</si>
  <si>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</si>
  <si>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</si>
  <si>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</si>
  <si>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</si>
  <si>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</si>
  <si>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</si>
  <si>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</si>
  <si>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</si>
  <si>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</si>
  <si>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</si>
  <si>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</si>
  <si>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</si>
  <si>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</si>
  <si>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</si>
  <si>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</si>
  <si>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</si>
  <si>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</si>
  <si>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</si>
  <si>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</si>
  <si>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</si>
  <si>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</si>
  <si>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4"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</si>
  <si>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</si>
  <si>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</si>
  <si>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</si>
  <si>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</si>
  <si>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</si>
  <si>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</si>
  <si>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</si>
  <si>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</si>
  <si>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</si>
  <si>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</si>
  <si>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</si>
  <si>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</si>
  <si>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</si>
  <si>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</si>
  <si>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</si>
  <si>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</si>
  <si>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</si>
  <si>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</si>
  <si>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</si>
  <si>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</si>
  <si>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</si>
  <si>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</si>
  <si>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</si>
  <si>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</si>
  <si>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</si>
  <si>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</si>
  <si>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</si>
  <si>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</si>
  <si>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</si>
  <si>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</si>
  <si>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</si>
  <si>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</si>
  <si>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</si>
  <si>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</si>
  <si>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</si>
  <si>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</si>
  <si>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</si>
  <si>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</si>
  <si>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</si>
  <si>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</si>
  <si>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</si>
  <si>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</si>
  <si>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</si>
  <si>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</si>
  <si>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</si>
  <si>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</si>
  <si>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</si>
  <si>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</si>
  <si>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</si>
  <si>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</si>
  <si>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</si>
  <si>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</si>
  <si>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</si>
  <si>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</si>
  <si>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</si>
  <si>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</si>
  <si>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</si>
  <si>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</si>
  <si>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</si>
  <si>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</si>
  <si>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</si>
  <si>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</si>
  <si>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</si>
  <si>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</si>
  <si>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</si>
  <si>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</si>
  <si>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</si>
  <si>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</si>
  <si>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</si>
  <si>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</si>
  <si>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</si>
  <si>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</si>
  <si>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</si>
  <si>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</si>
  <si>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</si>
  <si>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</si>
  <si>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</si>
  <si>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</si>
  <si>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</si>
  <si>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</si>
  <si>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</si>
  <si>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</si>
  <si>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</si>
  <si>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4"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</si>
  <si>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</si>
  <si>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</si>
  <si>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</si>
  <si>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</si>
  <si>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</si>
  <si>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</si>
  <si>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</si>
  <si>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</si>
  <si>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</si>
  <si>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</si>
  <si>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</si>
  <si>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</si>
  <si>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</si>
  <si>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</si>
  <si>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</si>
  <si>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</si>
  <si>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</si>
  <si>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</si>
  <si>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</si>
  <si>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</si>
  <si>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</si>
  <si>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</si>
  <si>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</si>
  <si>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</si>
  <si>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</si>
  <si>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</si>
  <si>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</si>
  <si>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</si>
  <si>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</si>
  <si>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</si>
  <si>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</si>
  <si>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</si>
  <si>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</si>
  <si>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</si>
  <si>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</si>
  <si>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</si>
  <si>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</si>
  <si>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</si>
  <si>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</si>
  <si>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</si>
  <si>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</si>
  <si>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</si>
  <si>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</si>
  <si>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</si>
  <si>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</si>
  <si>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</si>
  <si>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</si>
  <si>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</si>
  <si>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</si>
  <si>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</si>
  <si>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</si>
  <si>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</si>
  <si>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</si>
  <si>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</si>
  <si>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</si>
  <si>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</si>
  <si>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</si>
  <si>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</si>
  <si>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</si>
  <si>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</si>
  <si>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</si>
  <si>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</si>
  <si>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</si>
  <si>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</si>
  <si>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</si>
  <si>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</si>
  <si>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</si>
  <si>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</si>
  <si>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</si>
  <si>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</si>
  <si>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</si>
  <si>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</si>
  <si>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</si>
  <si>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</si>
  <si>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</si>
  <si>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</si>
  <si>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</si>
  <si>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</si>
  <si>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</si>
  <si>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</si>
  <si>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</si>
  <si>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</si>
  <si>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</si>
  <si>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</si>
  <si>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</si>
  <si>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</si>
  <si>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</si>
  <si>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</si>
  <si>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</si>
  <si>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</si>
  <si>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</si>
  <si>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</si>
  <si>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</si>
  <si>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</si>
  <si>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</si>
  <si>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</si>
  <si>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</si>
  <si>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</si>
  <si>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</si>
  <si>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</si>
  <si>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</si>
  <si>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</si>
  <si>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</si>
  <si>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</si>
  <si>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0"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</si>
  <si>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</si>
  <si>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</si>
  <si>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</si>
  <si>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</si>
  <si>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</si>
  <si>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</si>
  <si>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</si>
  <si>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</si>
  <si>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</si>
  <si>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</si>
  <si>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</si>
  <si>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</si>
  <si>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</si>
  <si>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</si>
  <si>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</si>
  <si>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</si>
  <si>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</si>
  <si>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</si>
  <si>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</si>
  <si>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</si>
  <si>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</si>
  <si>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</si>
  <si>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</si>
  <si>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</si>
  <si>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</si>
  <si>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</si>
  <si>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</si>
  <si>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</si>
  <si>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</si>
  <si>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</si>
  <si>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</si>
  <si>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</si>
  <si>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</si>
  <si>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</si>
  <si>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</si>
  <si>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</si>
  <si>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</si>
  <si>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</si>
  <si>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</si>
  <si>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</si>
  <si>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</si>
  <si>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</si>
  <si>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</si>
  <si>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</si>
  <si>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</si>
  <si>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</si>
  <si>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</si>
  <si>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</si>
  <si>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</si>
  <si>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</si>
  <si>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</si>
  <si>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</si>
  <si>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5"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</si>
  <si>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</si>
  <si>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</si>
  <si>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</si>
  <si>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</si>
  <si>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</si>
  <si>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</si>
  <si>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</si>
  <si>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</si>
  <si>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</si>
  <si>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</si>
  <si>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</si>
  <si>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</si>
  <si>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</si>
  <si>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</si>
  <si>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</si>
  <si>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</si>
  <si>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</si>
  <si>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</si>
  <si>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</si>
  <si>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</si>
  <si>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</si>
  <si>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</si>
  <si>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</si>
  <si>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</si>
  <si>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</si>
  <si>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</si>
  <si>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</si>
  <si>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</si>
  <si>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</si>
  <si>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</si>
  <si>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</si>
  <si>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</si>
  <si>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</si>
  <si>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</si>
  <si>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</si>
  <si>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</si>
  <si>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</si>
  <si>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</si>
  <si>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</si>
  <si>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</si>
  <si>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</si>
  <si>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</si>
  <si>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</si>
  <si>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</si>
  <si>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</si>
  <si>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</si>
  <si>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</si>
  <si>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</si>
  <si>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</si>
  <si>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</si>
  <si>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</si>
  <si>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</si>
  <si>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</si>
  <si>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</si>
  <si>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</si>
  <si>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</si>
  <si>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</si>
  <si>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</si>
  <si>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</si>
  <si>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</si>
  <si>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</si>
  <si>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</si>
  <si>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</si>
  <si>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</si>
  <si>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</si>
  <si>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</si>
  <si>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</si>
  <si>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</si>
  <si>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</si>
  <si>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</si>
  <si>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</si>
  <si>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</si>
  <si>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</si>
  <si>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</si>
  <si>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</si>
  <si>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</si>
  <si>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</si>
  <si>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</si>
  <si>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</si>
  <si>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</si>
  <si>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</si>
  <si>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</si>
  <si>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</si>
  <si>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</si>
  <si>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</si>
  <si>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</si>
  <si>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</si>
  <si>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</si>
  <si>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</si>
  <si>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</si>
  <si>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</si>
  <si>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</si>
  <si>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</si>
  <si>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</si>
  <si>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</si>
  <si>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</si>
  <si>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</si>
  <si>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</si>
  <si>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</si>
  <si>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</si>
  <si>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</si>
  <si>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</si>
  <si>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</si>
  <si>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</si>
  <si>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</si>
  <si>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</si>
  <si>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</si>
  <si>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</si>
  <si>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</si>
  <si>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</si>
  <si>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</si>
  <si>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</si>
  <si>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</si>
  <si>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</si>
  <si>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</si>
  <si>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</si>
  <si>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</si>
  <si>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</si>
  <si>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</si>
  <si>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</si>
  <si>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</si>
  <si>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</si>
  <si>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</si>
  <si>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</si>
  <si>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</si>
  <si>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</si>
  <si>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</si>
  <si>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</si>
  <si>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</si>
  <si>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</si>
  <si>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</si>
  <si>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</si>
  <si>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</si>
  <si>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</si>
  <si>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</si>
  <si>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</si>
  <si>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</si>
  <si>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</si>
  <si>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</si>
  <si>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</si>
  <si>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</si>
  <si>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</si>
  <si>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</si>
  <si>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</si>
  <si>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</si>
  <si>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</si>
  <si>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</si>
  <si>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</si>
  <si>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</si>
  <si>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</si>
  <si>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</si>
  <si>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</si>
  <si>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</si>
  <si>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</si>
  <si>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</si>
  <si>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</si>
  <si>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</si>
  <si>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</si>
  <si>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</si>
  <si>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</si>
  <si>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配建</t>
    </r>
    <phoneticPr fontId="33"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</si>
  <si>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</si>
  <si>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</si>
  <si>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</si>
  <si>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</si>
  <si>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</si>
  <si>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</si>
  <si>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</si>
  <si>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</si>
  <si>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</si>
  <si>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</si>
  <si>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</si>
  <si>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</si>
  <si>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</si>
  <si>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</si>
  <si>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</si>
  <si>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</si>
  <si>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</si>
  <si>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</si>
  <si>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</si>
  <si>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</si>
  <si>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</si>
  <si>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</si>
  <si>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</si>
  <si>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</si>
  <si>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地下商业（</t>
    </r>
    <r>
      <rPr>
        <sz val="10"/>
        <rFont val="Arial"/>
        <family val="2"/>
      </rPr>
      <t>-4</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</si>
  <si>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</si>
  <si>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</si>
  <si>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</si>
  <si>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</si>
  <si>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</si>
  <si>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</si>
  <si>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</si>
  <si>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</si>
  <si>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</si>
  <si>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</si>
  <si>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</si>
  <si>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</si>
  <si>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</si>
  <si>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</si>
  <si>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</si>
  <si>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</si>
  <si>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</si>
  <si>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</si>
  <si>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</si>
  <si>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</si>
  <si>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</si>
  <si>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</si>
  <si>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</si>
  <si>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</si>
  <si>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</si>
  <si>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</si>
  <si>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</si>
  <si>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</si>
  <si>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</si>
  <si>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</si>
  <si>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</si>
  <si>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</si>
  <si>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1"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</si>
  <si>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</si>
  <si>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</si>
  <si>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</si>
  <si>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</si>
  <si>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</si>
  <si>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</si>
  <si>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</si>
  <si>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</si>
  <si>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</si>
  <si>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</si>
  <si>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</si>
  <si>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</si>
  <si>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</si>
  <si>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</si>
  <si>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</si>
  <si>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</si>
  <si>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</si>
  <si>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</si>
  <si>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</si>
  <si>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</si>
  <si>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</si>
  <si>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1"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</si>
  <si>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</si>
  <si>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</si>
  <si>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</si>
  <si>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</si>
  <si>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</si>
  <si>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</si>
  <si>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</si>
  <si>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</si>
  <si>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</si>
  <si>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</si>
  <si>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</si>
  <si>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</si>
  <si>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</si>
  <si>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</si>
  <si>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</si>
  <si>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</si>
  <si>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</si>
  <si>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</si>
  <si>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</si>
  <si>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</si>
  <si>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</si>
  <si>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</si>
  <si>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</si>
  <si>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</si>
  <si>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</si>
  <si>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</si>
  <si>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</si>
  <si>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</si>
  <si>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</si>
  <si>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</si>
  <si>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</si>
  <si>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</si>
  <si>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</si>
  <si>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</si>
  <si>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</si>
  <si>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</si>
  <si>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</si>
  <si>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1"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</si>
  <si>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</si>
  <si>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</si>
  <si>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</si>
  <si>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</si>
  <si>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</si>
  <si>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</si>
  <si>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</si>
  <si>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</si>
  <si>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</si>
  <si>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1"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</si>
  <si>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</si>
  <si>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</si>
  <si>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</si>
  <si>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</si>
  <si>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</si>
  <si>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</si>
  <si>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1"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</si>
  <si>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</si>
  <si>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</si>
  <si>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</si>
  <si>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</si>
  <si>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</si>
  <si>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</si>
  <si>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</si>
  <si>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</si>
  <si>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</si>
  <si>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</si>
  <si>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81" type="noConversion"/>
  </si>
  <si>
    <r>
      <rPr>
        <sz val="10"/>
        <rFont val="宋体"/>
        <family val="3"/>
        <charset val="134"/>
      </rPr>
      <t>相差季度数</t>
    </r>
    <phoneticPr fontId="81"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</si>
  <si>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</si>
  <si>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</si>
  <si>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</si>
  <si>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1"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</si>
  <si>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</si>
  <si>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</si>
  <si>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</si>
  <si>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</si>
  <si>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1"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</si>
  <si>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</si>
  <si>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</si>
  <si>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</si>
  <si>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1"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</si>
  <si>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</si>
  <si>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</si>
  <si>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</si>
  <si>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</si>
  <si>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</si>
  <si>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</si>
  <si>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1" type="noConversion"/>
  </si>
  <si>
    <r>
      <rPr>
        <sz val="11"/>
        <rFont val="宋体"/>
        <family val="3"/>
        <charset val="134"/>
      </rPr>
      <t>政府土地出让收益</t>
    </r>
    <phoneticPr fontId="81"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</si>
  <si>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</si>
  <si>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</si>
  <si>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</si>
  <si>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</si>
  <si>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</si>
  <si>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</si>
  <si>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</si>
  <si>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</si>
  <si>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</si>
  <si>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1"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</si>
  <si>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1" type="noConversion"/>
  </si>
  <si>
    <r>
      <rPr>
        <sz val="10"/>
        <rFont val="宋体"/>
        <family val="3"/>
        <charset val="134"/>
      </rPr>
      <t>相应用途地下空间修正系数</t>
    </r>
  </si>
  <si>
    <r>
      <rPr>
        <b/>
        <sz val="10"/>
        <color rgb="FFFF0000"/>
        <rFont val="宋体"/>
        <family val="3"/>
        <charset val="134"/>
      </rPr>
      <t>地下商业不考虑路线价修正</t>
    </r>
    <phoneticPr fontId="81"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</si>
  <si>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</si>
  <si>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</si>
  <si>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</si>
  <si>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</si>
  <si>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</si>
  <si>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1"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</si>
  <si>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</si>
  <si>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</si>
  <si>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</si>
  <si>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</si>
  <si>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</si>
  <si>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</si>
  <si>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</si>
  <si>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</si>
  <si>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</si>
  <si>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</si>
  <si>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1" type="noConversion"/>
  </si>
  <si>
    <r>
      <rPr>
        <sz val="10"/>
        <color rgb="FFFF0000"/>
        <rFont val="宋体"/>
        <family val="3"/>
        <charset val="134"/>
      </rPr>
      <t>各因素幅度控制</t>
    </r>
    <r>
      <rPr>
        <sz val="10"/>
        <color rgb="FFFF0000"/>
        <rFont val="Arial"/>
        <family val="2"/>
      </rPr>
      <t>(±)</t>
    </r>
    <phoneticPr fontId="81"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</si>
  <si>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</si>
  <si>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</si>
  <si>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</si>
  <si>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</si>
  <si>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</si>
  <si>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1"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</si>
  <si>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</si>
  <si>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</si>
  <si>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1"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</si>
  <si>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</si>
  <si>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</si>
  <si>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</si>
  <si>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</si>
  <si>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1"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</si>
  <si>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</si>
  <si>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</si>
  <si>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</si>
  <si>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</si>
  <si>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</si>
  <si>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</si>
  <si>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</si>
  <si>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</si>
  <si>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</si>
  <si>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</si>
  <si>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</si>
  <si>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</si>
  <si>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</si>
  <si>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</si>
  <si>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</si>
  <si>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</si>
  <si>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</si>
  <si>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</si>
  <si>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</si>
  <si>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</si>
  <si>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</si>
  <si>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</si>
  <si>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</si>
  <si>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</si>
  <si>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</si>
  <si>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</si>
  <si>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</si>
  <si>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</si>
  <si>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</si>
  <si>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</si>
  <si>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</si>
  <si>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</si>
  <si>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</si>
  <si>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</si>
  <si>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</si>
  <si>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</si>
  <si>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</si>
  <si>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</si>
  <si>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</si>
  <si>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</si>
  <si>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</si>
  <si>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</si>
  <si>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</si>
  <si>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</si>
  <si>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</si>
  <si>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</si>
  <si>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</si>
  <si>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</si>
  <si>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</si>
  <si>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</si>
  <si>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</si>
  <si>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</si>
  <si>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</si>
  <si>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</si>
  <si>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</si>
  <si>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</si>
  <si>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b/>
        <sz val="10"/>
        <rFont val="宋体"/>
        <family val="3"/>
        <charset val="134"/>
      </rPr>
      <t>需扣减承租人权益</t>
    </r>
  </si>
  <si>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</si>
  <si>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</si>
  <si>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</si>
  <si>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</si>
  <si>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</si>
  <si>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</si>
  <si>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</si>
  <si>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</si>
  <si>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b/>
        <sz val="10"/>
        <color indexed="10"/>
        <rFont val="宋体"/>
        <family val="3"/>
        <charset val="134"/>
      </rPr>
      <t>基准户型</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</si>
  <si>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</si>
  <si>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</si>
  <si>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</si>
  <si>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</si>
  <si>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</si>
  <si>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</si>
  <si>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</si>
  <si>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</si>
  <si>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2018-1</t>
    <phoneticPr fontId="5"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</si>
  <si>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</si>
  <si>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</si>
  <si>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</si>
  <si>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</si>
  <si>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</si>
  <si>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</si>
  <si>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</si>
  <si>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</si>
  <si>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苏海</t>
    <phoneticPr fontId="5" type="noConversion"/>
  </si>
  <si>
    <t>杨红英</t>
    <phoneticPr fontId="5" type="noConversion"/>
  </si>
  <si>
    <t>刘梅</t>
    <phoneticPr fontId="5" type="noConversion"/>
  </si>
  <si>
    <t>张津夷</t>
    <phoneticPr fontId="5" type="noConversion"/>
  </si>
  <si>
    <t>地下车库及仓储年期修正</t>
    <phoneticPr fontId="5" type="noConversion"/>
  </si>
  <si>
    <t>2019-1</t>
    <phoneticPr fontId="5" type="noConversion"/>
  </si>
  <si>
    <t>级别开发程度</t>
    <phoneticPr fontId="5" type="noConversion"/>
  </si>
  <si>
    <t>2018A-027</t>
    <phoneticPr fontId="137" type="noConversion"/>
  </si>
  <si>
    <t>2019-2</t>
    <phoneticPr fontId="5" type="noConversion"/>
  </si>
  <si>
    <t>2019-3</t>
    <phoneticPr fontId="144" type="noConversion"/>
  </si>
  <si>
    <t>2018-4</t>
    <phoneticPr fontId="5" type="noConversion"/>
  </si>
  <si>
    <t>郑燚</t>
  </si>
  <si>
    <t>王鹏</t>
  </si>
  <si>
    <t>北京林海滩商贸有限公司</t>
    <phoneticPr fontId="8" type="noConversion"/>
  </si>
  <si>
    <t>招商银行</t>
    <phoneticPr fontId="8" type="noConversion"/>
  </si>
  <si>
    <t>抵押</t>
  </si>
  <si>
    <t>房地产抵押价值</t>
  </si>
  <si>
    <t>北京市</t>
  </si>
  <si>
    <r>
      <rPr>
        <sz val="12"/>
        <color theme="9" tint="-0.249977111117893"/>
        <rFont val="宋体"/>
        <family val="3"/>
        <charset val="134"/>
      </rPr>
      <t>通州区永乐南一街</t>
    </r>
    <r>
      <rPr>
        <sz val="12"/>
        <color theme="9" tint="-0.249977111117893"/>
        <rFont val="Arial"/>
        <family val="2"/>
      </rPr>
      <t>9</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号楼等</t>
    </r>
    <r>
      <rPr>
        <sz val="12"/>
        <color theme="9" tint="-0.249977111117893"/>
        <rFont val="Arial"/>
        <family val="2"/>
      </rPr>
      <t>7</t>
    </r>
    <r>
      <rPr>
        <sz val="12"/>
        <color theme="9" tint="-0.249977111117893"/>
        <rFont val="宋体"/>
        <family val="3"/>
        <charset val="134"/>
      </rPr>
      <t>幢楼</t>
    </r>
    <phoneticPr fontId="8" type="noConversion"/>
  </si>
  <si>
    <t>企业</t>
  </si>
  <si>
    <t>北京林海滩商贸有限公司</t>
    <phoneticPr fontId="8" type="noConversion"/>
  </si>
  <si>
    <t>出让</t>
  </si>
  <si>
    <t>工业厂房</t>
    <phoneticPr fontId="8" type="noConversion"/>
  </si>
  <si>
    <r>
      <rPr>
        <sz val="12"/>
        <color theme="9" tint="-0.249977111117893"/>
        <rFont val="宋体"/>
        <family val="3"/>
        <charset val="134"/>
      </rPr>
      <t>工业</t>
    </r>
    <r>
      <rPr>
        <sz val="12"/>
        <color theme="9" tint="-0.249977111117893"/>
        <rFont val="Arial"/>
        <family val="2"/>
      </rPr>
      <t>28.36</t>
    </r>
    <r>
      <rPr>
        <sz val="12"/>
        <color theme="9" tint="-0.249977111117893"/>
        <rFont val="宋体"/>
        <family val="3"/>
        <charset val="134"/>
      </rPr>
      <t>年</t>
    </r>
    <phoneticPr fontId="8" type="noConversion"/>
  </si>
  <si>
    <t>是</t>
  </si>
  <si>
    <t>否</t>
  </si>
  <si>
    <t>Ⅹ-通1</t>
  </si>
  <si>
    <t>地上</t>
  </si>
  <si>
    <t>标准厂房</t>
  </si>
  <si>
    <t>厂房</t>
  </si>
  <si>
    <t>厂房</t>
    <phoneticPr fontId="5" type="noConversion"/>
  </si>
  <si>
    <t>厂房</t>
    <phoneticPr fontId="9" type="noConversion"/>
  </si>
  <si>
    <t>成新度</t>
  </si>
  <si>
    <t>钢</t>
  </si>
  <si>
    <t>非生产用房</t>
  </si>
  <si>
    <t>收益法</t>
  </si>
  <si>
    <t>现房</t>
  </si>
  <si>
    <t>成本法</t>
  </si>
  <si>
    <t>按租金收入计税</t>
  </si>
  <si>
    <t>工业用地</t>
  </si>
  <si>
    <t>与级别开发程度一致</t>
  </si>
  <si>
    <t>通路</t>
  </si>
  <si>
    <t>通电</t>
  </si>
  <si>
    <t>通讯</t>
  </si>
  <si>
    <t>通上水</t>
  </si>
  <si>
    <t>通下水</t>
  </si>
  <si>
    <t>平整</t>
  </si>
  <si>
    <t>按公示增长率计算</t>
  </si>
  <si>
    <t>容积率修正</t>
  </si>
  <si>
    <t>较好</t>
  </si>
  <si>
    <t>一般</t>
  </si>
  <si>
    <t>未包含在土地购买价格中</t>
  </si>
  <si>
    <t>全部缴纳</t>
  </si>
  <si>
    <t>不动产单元号</t>
  </si>
  <si>
    <t>产证编号</t>
  </si>
  <si>
    <t>土地面积</t>
  </si>
  <si>
    <t>建筑面积</t>
  </si>
  <si>
    <t>领证时间</t>
  </si>
  <si>
    <t>备注</t>
  </si>
  <si>
    <t>1号楼等7幢楼</t>
  </si>
  <si>
    <t>京（2017）通不动产权第0013640号</t>
  </si>
  <si>
    <t>新</t>
  </si>
  <si>
    <t>9号及9号院</t>
  </si>
  <si>
    <t>京（2016）通州区不动产权第0000114号</t>
  </si>
  <si>
    <t>1号楼</t>
  </si>
  <si>
    <t>京（2016）通州区不动产权第0029382号</t>
  </si>
  <si>
    <t>旧</t>
  </si>
  <si>
    <t>2号楼</t>
  </si>
  <si>
    <t>京（2016）通州区不动产权第0029378号</t>
  </si>
  <si>
    <t>4号楼</t>
  </si>
  <si>
    <t>京（2016）通州区不动产权第0029375号</t>
  </si>
  <si>
    <t>5号楼</t>
  </si>
  <si>
    <t>X京房权证通字第1514423号</t>
  </si>
  <si>
    <t>6号楼</t>
  </si>
  <si>
    <t>京（2016）通州区不动产权第0029374号</t>
  </si>
  <si>
    <t>7号楼</t>
  </si>
  <si>
    <t>京（2016）通州区不动产权第0029372号</t>
  </si>
  <si>
    <t>8号楼</t>
  </si>
  <si>
    <t>京（2016）通州区不动产权第0029373号</t>
  </si>
  <si>
    <t>租赁情况核对表</t>
    <phoneticPr fontId="258" type="noConversion"/>
  </si>
  <si>
    <t>编制单位：北京林海滩商贸有限公司</t>
    <phoneticPr fontId="258" type="noConversion"/>
  </si>
  <si>
    <t>位 置</t>
    <phoneticPr fontId="258" type="noConversion"/>
  </si>
  <si>
    <t>可出租面积（㎡）</t>
    <phoneticPr fontId="258" type="noConversion"/>
  </si>
  <si>
    <t>已出租面积（㎡）</t>
    <phoneticPr fontId="258" type="noConversion"/>
  </si>
  <si>
    <t>单体出租率</t>
    <phoneticPr fontId="258" type="noConversion"/>
  </si>
  <si>
    <t>综合出租率</t>
    <phoneticPr fontId="258" type="noConversion"/>
  </si>
  <si>
    <t>承租客户</t>
    <phoneticPr fontId="258" type="noConversion"/>
  </si>
  <si>
    <t>租赁合同期间</t>
    <phoneticPr fontId="258" type="noConversion"/>
  </si>
  <si>
    <t>备  注</t>
    <phoneticPr fontId="258" type="noConversion"/>
  </si>
  <si>
    <t>不含直线法 租金单价 （元/㎡/日）</t>
  </si>
  <si>
    <t>综合服务费 单价      （元/㎡/日）</t>
  </si>
  <si>
    <t>综合单价  （元/㎡/日）</t>
  </si>
  <si>
    <t>仓库</t>
    <phoneticPr fontId="258" type="noConversion"/>
  </si>
  <si>
    <t>办公室</t>
    <phoneticPr fontId="258" type="noConversion"/>
  </si>
  <si>
    <t>雨 棚</t>
    <phoneticPr fontId="258" type="noConversion"/>
  </si>
  <si>
    <t>高架平台</t>
    <phoneticPr fontId="258" type="noConversion"/>
  </si>
  <si>
    <t>其 他</t>
    <phoneticPr fontId="258" type="noConversion"/>
  </si>
  <si>
    <t>合 计</t>
    <phoneticPr fontId="258" type="noConversion"/>
  </si>
  <si>
    <t>W1-1-A</t>
  </si>
  <si>
    <t>天津大田运输服务有限公司北京分公司</t>
    <phoneticPr fontId="258" type="noConversion"/>
  </si>
  <si>
    <t>2019.05.01-2022.04.30</t>
    <phoneticPr fontId="258" type="noConversion"/>
  </si>
  <si>
    <t>W1-1-B</t>
  </si>
  <si>
    <t/>
  </si>
  <si>
    <t>W1-1-C</t>
  </si>
  <si>
    <t>北京唯品运输有限公司</t>
    <phoneticPr fontId="258" type="noConversion"/>
  </si>
  <si>
    <t>2019.05.01-2021.04.30</t>
    <phoneticPr fontId="258" type="noConversion"/>
  </si>
  <si>
    <t>W1-2-A</t>
  </si>
  <si>
    <t>北京讯捷物流服务有限责任公司</t>
  </si>
  <si>
    <t>2014.08.01-2024.04.30</t>
  </si>
  <si>
    <t>W1-2-B</t>
  </si>
  <si>
    <t>W1-2-C</t>
  </si>
  <si>
    <t>W2-1-A</t>
  </si>
  <si>
    <t>上海增虹仓储服务有限公司</t>
  </si>
  <si>
    <t>2019.04.01-2022.03.31</t>
    <phoneticPr fontId="258" type="noConversion"/>
  </si>
  <si>
    <t>W2-1-B</t>
  </si>
  <si>
    <t>W2-1-C</t>
  </si>
  <si>
    <t>W2-2-A</t>
  </si>
  <si>
    <t>2014.08.15-2024.04.30</t>
  </si>
  <si>
    <t>W2-2-B</t>
  </si>
  <si>
    <t>乔达国际货运（中国）有限公司北京分公司</t>
    <phoneticPr fontId="258" type="noConversion"/>
  </si>
  <si>
    <t>2017.09.01-2022.08.31</t>
    <phoneticPr fontId="258" type="noConversion"/>
  </si>
  <si>
    <t>W2-2-C</t>
  </si>
  <si>
    <t>W3-1-A</t>
  </si>
  <si>
    <t>北京顺丰速运有限公司</t>
    <phoneticPr fontId="258" type="noConversion"/>
  </si>
  <si>
    <t>2018.11.16-2021.12.31</t>
    <phoneticPr fontId="258" type="noConversion"/>
  </si>
  <si>
    <t>W3-1-B</t>
  </si>
  <si>
    <t>W3-1-C</t>
  </si>
  <si>
    <t>W3-2-A</t>
  </si>
  <si>
    <t>W3-2-B</t>
  </si>
  <si>
    <t>W3-2-C</t>
  </si>
  <si>
    <t>W4-1-A</t>
  </si>
  <si>
    <t>宇培供应链管理集团有限公司</t>
    <phoneticPr fontId="258" type="noConversion"/>
  </si>
  <si>
    <t>2017.06.16-2019.12.31</t>
    <phoneticPr fontId="258" type="noConversion"/>
  </si>
  <si>
    <t>W4-1-B</t>
  </si>
  <si>
    <t>W4-1-C</t>
  </si>
  <si>
    <t>其中物业办公占用327.34㎡</t>
    <phoneticPr fontId="258" type="noConversion"/>
  </si>
  <si>
    <t>W4-2-A</t>
  </si>
  <si>
    <t>北京优之行科技有限公司</t>
  </si>
  <si>
    <t>2014.12.01-2019.11.30</t>
  </si>
  <si>
    <t>W4-2-B</t>
  </si>
  <si>
    <t>W4-2-C</t>
  </si>
  <si>
    <t>屋顶</t>
    <phoneticPr fontId="258" type="noConversion"/>
  </si>
  <si>
    <t>北京盛申新能源技术有限公司</t>
  </si>
  <si>
    <t>2017.12.01-2036.11.30</t>
    <phoneticPr fontId="258" type="noConversion"/>
  </si>
  <si>
    <t>成本比率</t>
  </si>
  <si>
    <t>建筑物价值</t>
  </si>
  <si>
    <t>转让取得</t>
  </si>
  <si>
    <t>非个人房产</t>
  </si>
  <si>
    <t>2016年5月1日前购买</t>
  </si>
  <si>
    <t>仅含出让金</t>
  </si>
  <si>
    <t>情况4</t>
  </si>
  <si>
    <t>拿地成本</t>
    <phoneticPr fontId="144" type="noConversion"/>
  </si>
  <si>
    <t>《北京林海滩商贸有限公司100%股权的转让协议》及补充协议</t>
    <phoneticPr fontId="144" type="noConversion"/>
  </si>
  <si>
    <t>建造成本</t>
    <phoneticPr fontId="144" type="noConversion"/>
  </si>
  <si>
    <t>建设工程施工总承包合同</t>
    <phoneticPr fontId="144" type="noConversion"/>
  </si>
  <si>
    <t>改造工程施工承包合同</t>
    <phoneticPr fontId="144" type="noConversion"/>
  </si>
  <si>
    <t>押一</t>
  </si>
  <si>
    <t>宗地容积率</t>
  </si>
  <si>
    <t>土地</t>
    <phoneticPr fontId="81" type="noConversion"/>
  </si>
  <si>
    <t>地面单价</t>
    <phoneticPr fontId="81" type="noConversion"/>
  </si>
  <si>
    <t>总价（万元）</t>
    <phoneticPr fontId="81" type="noConversion"/>
  </si>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</sst>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s>
  <fonts count="264">
    <font>
      <sz val="11"/>
      <color theme="1"/>
      <name val="宋体"/>
      <charset val="134"/>
      <scheme val="minor"/>
    </font>
    <font>
      <sz val="11"/>
      <name val="宋体"/>
      <family val="3"/>
      <charset val="134"/>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name val="微软雅黑"/>
      <family val="2"/>
      <charset val="134"/>
    </font>
    <font>
      <b/>
      <sz val="12"/>
      <name val="微软雅黑"/>
      <family val="2"/>
      <charset val="134"/>
    </font>
    <font>
      <b/>
      <sz val="16"/>
      <color theme="1"/>
      <name val="黑体"/>
      <family val="3"/>
      <charset val="134"/>
    </font>
    <font>
      <sz val="9"/>
      <name val="宋体"/>
      <family val="2"/>
      <charset val="134"/>
      <scheme val="minor"/>
    </font>
    <font>
      <sz val="16"/>
      <color theme="1"/>
      <name val="黑体"/>
      <family val="3"/>
      <charset val="134"/>
    </font>
    <font>
      <sz val="10"/>
      <color theme="1"/>
      <name val="黑体"/>
      <family val="3"/>
      <charset val="134"/>
    </font>
    <font>
      <b/>
      <sz val="10"/>
      <color theme="1"/>
      <name val="黑体"/>
      <family val="3"/>
      <charset val="134"/>
    </font>
    <font>
      <sz val="10"/>
      <name val="黑体"/>
      <family val="3"/>
      <charset val="134"/>
    </font>
    <font>
      <sz val="10"/>
      <color rgb="FFFF0000"/>
      <name val="黑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theme="5" tint="0.79998168889431442"/>
        <bgColor indexed="64"/>
      </patternFill>
    </fill>
  </fills>
  <borders count="1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s>
  <cellStyleXfs count="20">
    <xf numFmtId="0" fontId="0" fillId="0" borderId="0">
      <alignment vertical="center"/>
    </xf>
    <xf numFmtId="0" fontId="100" fillId="0" borderId="0">
      <alignment vertical="center"/>
    </xf>
    <xf numFmtId="0" fontId="100" fillId="0" borderId="0"/>
    <xf numFmtId="0" fontId="100" fillId="0" borderId="0">
      <alignment vertical="center"/>
    </xf>
    <xf numFmtId="0" fontId="39"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4" fillId="0" borderId="0">
      <alignment vertical="center"/>
    </xf>
    <xf numFmtId="0" fontId="100" fillId="0" borderId="0">
      <alignment vertical="center"/>
    </xf>
    <xf numFmtId="0" fontId="3" fillId="0" borderId="0">
      <alignment vertical="center"/>
    </xf>
    <xf numFmtId="0" fontId="171" fillId="0" borderId="0"/>
    <xf numFmtId="0" fontId="3" fillId="0" borderId="0">
      <alignment vertical="center"/>
    </xf>
    <xf numFmtId="9" fontId="39" fillId="0" borderId="0" applyFont="0" applyFill="0" applyBorder="0" applyAlignment="0" applyProtection="0">
      <alignment vertical="center"/>
    </xf>
    <xf numFmtId="0" fontId="100" fillId="0" borderId="0">
      <alignment vertical="center"/>
    </xf>
    <xf numFmtId="0" fontId="3" fillId="0" borderId="0">
      <alignment vertical="center"/>
    </xf>
    <xf numFmtId="0" fontId="39" fillId="0" borderId="0">
      <alignment vertical="center"/>
    </xf>
    <xf numFmtId="0" fontId="2" fillId="0" borderId="0">
      <alignment vertical="center"/>
    </xf>
    <xf numFmtId="43" fontId="2" fillId="0" borderId="0" applyFont="0" applyFill="0" applyBorder="0" applyAlignment="0" applyProtection="0">
      <alignment vertical="center"/>
    </xf>
  </cellStyleXfs>
  <cellXfs count="3381">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1" fillId="6" borderId="5" xfId="0" applyFont="1" applyFill="1" applyBorder="1" applyAlignment="1" applyProtection="1">
      <alignment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vertical="center" wrapText="1"/>
      <protection locked="0"/>
    </xf>
    <xf numFmtId="0" fontId="52" fillId="6" borderId="1" xfId="0" applyFont="1" applyFill="1" applyBorder="1" applyAlignment="1" applyProtection="1">
      <alignment horizontal="center" vertical="center" wrapText="1"/>
    </xf>
    <xf numFmtId="0" fontId="52" fillId="0" borderId="0" xfId="0" applyFont="1" applyAlignment="1" applyProtection="1">
      <alignment horizontal="center" vertical="center" wrapText="1"/>
      <protection locked="0"/>
    </xf>
    <xf numFmtId="179" fontId="52"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2" fillId="6" borderId="5" xfId="0" applyFont="1" applyFill="1" applyBorder="1" applyAlignment="1" applyProtection="1">
      <alignment horizontal="left" vertical="center"/>
    </xf>
    <xf numFmtId="176" fontId="52" fillId="6" borderId="1" xfId="0" applyNumberFormat="1"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176" fontId="52" fillId="6" borderId="9" xfId="0" applyNumberFormat="1" applyFont="1" applyFill="1" applyBorder="1" applyAlignment="1" applyProtection="1">
      <alignment horizontal="center" vertical="center" wrapText="1"/>
    </xf>
    <xf numFmtId="176" fontId="52" fillId="6" borderId="10" xfId="0" applyNumberFormat="1" applyFont="1" applyFill="1" applyBorder="1" applyAlignment="1" applyProtection="1">
      <alignment horizontal="center" vertical="center" wrapText="1"/>
    </xf>
    <xf numFmtId="176" fontId="52" fillId="6" borderId="13" xfId="0" applyNumberFormat="1" applyFont="1" applyFill="1" applyBorder="1" applyAlignment="1" applyProtection="1">
      <alignment horizontal="center" vertical="center" wrapText="1"/>
    </xf>
    <xf numFmtId="176" fontId="52" fillId="6" borderId="23" xfId="0" applyNumberFormat="1" applyFont="1" applyFill="1" applyBorder="1" applyAlignment="1" applyProtection="1">
      <alignment horizontal="center" vertical="center" wrapText="1"/>
    </xf>
    <xf numFmtId="176" fontId="52" fillId="6" borderId="24" xfId="0" applyNumberFormat="1"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8" xfId="0" applyFont="1" applyFill="1" applyBorder="1" applyAlignment="1" applyProtection="1">
      <alignment horizontal="center" vertical="center"/>
    </xf>
    <xf numFmtId="0" fontId="52" fillId="0" borderId="0" xfId="0" applyFont="1" applyAlignment="1" applyProtection="1">
      <alignment horizontal="center" vertical="center"/>
      <protection locked="0"/>
    </xf>
    <xf numFmtId="0" fontId="52" fillId="6" borderId="3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2"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176" fontId="52" fillId="0" borderId="2" xfId="0" applyNumberFormat="1" applyFont="1" applyFill="1" applyBorder="1" applyAlignment="1" applyProtection="1">
      <alignment horizontal="center" vertical="center" wrapText="1"/>
      <protection locked="0"/>
    </xf>
    <xf numFmtId="176" fontId="52" fillId="6" borderId="2" xfId="0" applyNumberFormat="1" applyFont="1" applyFill="1" applyBorder="1" applyAlignment="1" applyProtection="1">
      <alignment horizontal="center" vertical="center" wrapText="1"/>
    </xf>
    <xf numFmtId="0" fontId="49" fillId="0" borderId="2" xfId="0" applyFont="1" applyBorder="1" applyAlignment="1" applyProtection="1">
      <alignment horizontal="center" vertical="center" wrapText="1"/>
      <protection locked="0"/>
    </xf>
    <xf numFmtId="176" fontId="49" fillId="6" borderId="1" xfId="0" applyNumberFormat="1"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6" borderId="3" xfId="0"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76" fontId="49" fillId="0" borderId="1"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0" fontId="51" fillId="6" borderId="13" xfId="0" applyFont="1" applyFill="1" applyBorder="1" applyAlignment="1" applyProtection="1">
      <alignment vertical="center"/>
    </xf>
    <xf numFmtId="0" fontId="49" fillId="6" borderId="11" xfId="0" applyFont="1" applyFill="1" applyBorder="1" applyAlignment="1" applyProtection="1">
      <alignment vertical="center"/>
    </xf>
    <xf numFmtId="0" fontId="49" fillId="6" borderId="1" xfId="0" applyFont="1" applyFill="1" applyBorder="1" applyAlignment="1" applyProtection="1">
      <alignment vertical="center"/>
    </xf>
    <xf numFmtId="176" fontId="49" fillId="6" borderId="24" xfId="0" applyNumberFormat="1" applyFont="1" applyFill="1" applyBorder="1" applyAlignment="1" applyProtection="1">
      <alignment vertical="center"/>
    </xf>
    <xf numFmtId="0" fontId="49" fillId="6" borderId="13" xfId="0" applyFont="1" applyFill="1" applyBorder="1" applyAlignment="1" applyProtection="1">
      <alignment vertical="center"/>
    </xf>
    <xf numFmtId="0" fontId="49" fillId="6" borderId="24" xfId="0" applyFont="1" applyFill="1" applyBorder="1" applyAlignment="1" applyProtection="1">
      <alignment vertical="center"/>
    </xf>
    <xf numFmtId="0" fontId="49" fillId="0" borderId="24" xfId="0" applyFont="1" applyFill="1" applyBorder="1" applyAlignment="1" applyProtection="1">
      <alignment vertical="center"/>
      <protection locked="0"/>
    </xf>
    <xf numFmtId="0" fontId="49" fillId="6" borderId="61" xfId="0" applyFont="1" applyFill="1" applyBorder="1" applyAlignment="1" applyProtection="1">
      <alignment vertical="center"/>
    </xf>
    <xf numFmtId="179"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176" fontId="49" fillId="6" borderId="1" xfId="0" applyNumberFormat="1" applyFont="1" applyFill="1" applyBorder="1" applyAlignment="1" applyProtection="1">
      <alignment vertical="center"/>
    </xf>
    <xf numFmtId="0" fontId="52" fillId="3" borderId="3" xfId="0" applyFont="1" applyFill="1" applyBorder="1" applyProtection="1">
      <alignment vertical="center"/>
      <protection locked="0"/>
    </xf>
    <xf numFmtId="0" fontId="52" fillId="3" borderId="24" xfId="0" applyFont="1" applyFill="1" applyBorder="1" applyProtection="1">
      <alignment vertical="center"/>
      <protection locked="0"/>
    </xf>
    <xf numFmtId="0" fontId="52" fillId="0" borderId="1" xfId="0" applyFont="1" applyBorder="1" applyAlignment="1" applyProtection="1">
      <alignment horizontal="center" vertical="center"/>
      <protection locked="0"/>
    </xf>
    <xf numFmtId="177" fontId="49" fillId="0" borderId="1" xfId="1" applyNumberFormat="1" applyFont="1" applyFill="1" applyBorder="1" applyAlignment="1" applyProtection="1">
      <alignment vertical="center"/>
      <protection locked="0"/>
    </xf>
    <xf numFmtId="0" fontId="49" fillId="3" borderId="22" xfId="0" applyFont="1" applyFill="1" applyBorder="1" applyProtection="1">
      <alignment vertical="center"/>
      <protection locked="0"/>
    </xf>
    <xf numFmtId="0" fontId="49" fillId="3" borderId="61" xfId="0" applyFont="1" applyFill="1" applyBorder="1" applyProtection="1">
      <alignment vertical="center"/>
      <protection locked="0"/>
    </xf>
    <xf numFmtId="177" fontId="49" fillId="0" borderId="3" xfId="1" applyNumberFormat="1" applyFont="1" applyFill="1" applyBorder="1" applyAlignment="1" applyProtection="1">
      <alignment vertical="center"/>
      <protection locked="0"/>
    </xf>
    <xf numFmtId="0" fontId="49" fillId="6" borderId="3" xfId="0" applyFont="1" applyFill="1" applyBorder="1" applyProtection="1">
      <alignment vertical="center"/>
    </xf>
    <xf numFmtId="0" fontId="49" fillId="6" borderId="48" xfId="0" applyFont="1" applyFill="1" applyBorder="1" applyProtection="1">
      <alignment vertical="center"/>
    </xf>
    <xf numFmtId="0" fontId="49" fillId="6" borderId="22" xfId="0" applyFont="1" applyFill="1" applyBorder="1" applyProtection="1">
      <alignment vertical="center"/>
    </xf>
    <xf numFmtId="0" fontId="49" fillId="6" borderId="61" xfId="0" applyFont="1" applyFill="1" applyBorder="1" applyProtection="1">
      <alignment vertical="center"/>
    </xf>
    <xf numFmtId="0" fontId="51" fillId="6" borderId="27" xfId="0" applyFont="1" applyFill="1" applyBorder="1" applyAlignment="1" applyProtection="1">
      <alignment vertical="center" wrapText="1"/>
    </xf>
    <xf numFmtId="0" fontId="49" fillId="6" borderId="29" xfId="0" applyFont="1" applyFill="1" applyBorder="1" applyAlignment="1" applyProtection="1">
      <alignment horizontal="center" vertical="center" wrapText="1"/>
    </xf>
    <xf numFmtId="0" fontId="49" fillId="6" borderId="10" xfId="0" applyFont="1" applyFill="1" applyBorder="1" applyAlignment="1" applyProtection="1">
      <alignment horizontal="center" vertical="center" wrapText="1"/>
    </xf>
    <xf numFmtId="0" fontId="49" fillId="6" borderId="28" xfId="0" applyFont="1" applyFill="1" applyBorder="1" applyAlignment="1" applyProtection="1">
      <alignment horizontal="center" vertical="center" wrapText="1"/>
    </xf>
    <xf numFmtId="179" fontId="56" fillId="6" borderId="1" xfId="1" applyNumberFormat="1" applyFont="1" applyFill="1" applyBorder="1" applyAlignment="1" applyProtection="1">
      <alignment horizontal="center" vertical="center"/>
    </xf>
    <xf numFmtId="180" fontId="56" fillId="6" borderId="1" xfId="1" applyNumberFormat="1" applyFont="1" applyFill="1" applyBorder="1" applyAlignment="1" applyProtection="1">
      <alignment horizontal="center" vertical="center"/>
    </xf>
    <xf numFmtId="181" fontId="49" fillId="0" borderId="1" xfId="0" applyNumberFormat="1" applyFont="1" applyFill="1" applyBorder="1" applyAlignment="1" applyProtection="1">
      <alignment horizontal="center" vertical="center"/>
      <protection locked="0"/>
    </xf>
    <xf numFmtId="0" fontId="49" fillId="6" borderId="1" xfId="1"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xf>
    <xf numFmtId="179" fontId="49" fillId="6" borderId="23" xfId="1" applyNumberFormat="1" applyFont="1" applyFill="1" applyBorder="1" applyAlignment="1" applyProtection="1">
      <alignment horizontal="center" vertical="center"/>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3" xfId="0" applyFont="1" applyBorder="1" applyAlignment="1" applyProtection="1">
      <alignment vertical="center"/>
      <protection locked="0"/>
    </xf>
    <xf numFmtId="181" fontId="49" fillId="0" borderId="5"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49" fillId="0" borderId="24" xfId="0" applyFont="1" applyBorder="1" applyAlignment="1" applyProtection="1">
      <alignment horizontal="center" vertical="center"/>
      <protection locked="0"/>
    </xf>
    <xf numFmtId="0" fontId="49" fillId="5" borderId="3" xfId="0" applyFont="1" applyFill="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10" fontId="49" fillId="0" borderId="1" xfId="1" applyNumberFormat="1" applyFont="1" applyFill="1" applyBorder="1" applyAlignment="1" applyProtection="1">
      <alignment horizontal="center" vertical="center"/>
      <protection locked="0"/>
    </xf>
    <xf numFmtId="0" fontId="49" fillId="0" borderId="3" xfId="0" applyFont="1" applyBorder="1" applyAlignment="1" applyProtection="1">
      <alignment horizontal="center" vertical="center"/>
      <protection locked="0"/>
    </xf>
    <xf numFmtId="10" fontId="49" fillId="0" borderId="1" xfId="0" applyNumberFormat="1" applyFont="1" applyFill="1" applyBorder="1" applyAlignment="1" applyProtection="1">
      <alignment horizontal="center" vertical="center"/>
      <protection locked="0"/>
    </xf>
    <xf numFmtId="183" fontId="49" fillId="0" borderId="1" xfId="0"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0" fontId="51" fillId="6" borderId="32" xfId="1" applyFont="1" applyFill="1" applyBorder="1" applyAlignment="1" applyProtection="1">
      <alignment vertical="center"/>
    </xf>
    <xf numFmtId="0" fontId="51" fillId="6" borderId="32" xfId="1" applyFont="1" applyFill="1" applyBorder="1" applyAlignment="1" applyProtection="1">
      <alignment horizontal="center" vertical="center"/>
    </xf>
    <xf numFmtId="181" fontId="51" fillId="6" borderId="32" xfId="1" applyNumberFormat="1" applyFont="1" applyFill="1" applyBorder="1" applyAlignment="1" applyProtection="1">
      <alignment vertical="center"/>
    </xf>
    <xf numFmtId="0" fontId="51" fillId="6" borderId="49" xfId="1" applyFont="1" applyFill="1" applyBorder="1" applyAlignment="1" applyProtection="1">
      <alignment vertical="center"/>
    </xf>
    <xf numFmtId="176" fontId="49" fillId="6" borderId="25" xfId="0" applyNumberFormat="1" applyFont="1" applyFill="1" applyBorder="1" applyAlignment="1" applyProtection="1">
      <alignment horizontal="center" vertical="center"/>
    </xf>
    <xf numFmtId="0" fontId="49" fillId="6" borderId="32" xfId="1" applyNumberFormat="1" applyFont="1" applyFill="1" applyBorder="1" applyAlignment="1" applyProtection="1">
      <alignment horizontal="center" vertical="center"/>
    </xf>
    <xf numFmtId="10" fontId="49" fillId="6" borderId="32" xfId="1" applyNumberFormat="1" applyFont="1" applyFill="1" applyBorder="1" applyAlignment="1" applyProtection="1">
      <alignment horizontal="center" vertical="center"/>
    </xf>
    <xf numFmtId="9" fontId="49" fillId="6" borderId="33" xfId="0" applyNumberFormat="1" applyFont="1" applyFill="1" applyBorder="1" applyAlignment="1" applyProtection="1">
      <alignment horizontal="center" vertical="center"/>
    </xf>
    <xf numFmtId="179" fontId="49" fillId="6" borderId="66" xfId="1" applyNumberFormat="1" applyFont="1" applyFill="1" applyBorder="1" applyAlignment="1" applyProtection="1">
      <alignment horizontal="center" vertical="center"/>
    </xf>
    <xf numFmtId="0" fontId="49" fillId="6" borderId="68" xfId="1" applyNumberFormat="1" applyFont="1" applyFill="1" applyBorder="1" applyAlignment="1" applyProtection="1">
      <alignment horizontal="center" vertical="center"/>
    </xf>
    <xf numFmtId="0" fontId="49" fillId="6" borderId="25" xfId="0" applyFont="1" applyFill="1" applyBorder="1" applyAlignment="1" applyProtection="1">
      <alignment vertical="center"/>
    </xf>
    <xf numFmtId="0" fontId="49" fillId="6" borderId="32" xfId="0" applyFont="1" applyFill="1" applyBorder="1" applyAlignment="1" applyProtection="1">
      <alignment vertical="center"/>
    </xf>
    <xf numFmtId="0" fontId="49" fillId="6" borderId="49" xfId="0" applyFont="1" applyFill="1" applyBorder="1" applyAlignment="1" applyProtection="1">
      <alignment vertical="center"/>
    </xf>
    <xf numFmtId="0" fontId="49" fillId="6" borderId="66" xfId="0" applyFont="1" applyFill="1" applyBorder="1" applyAlignment="1" applyProtection="1">
      <alignment vertical="center"/>
    </xf>
    <xf numFmtId="0" fontId="49" fillId="6" borderId="33" xfId="0" applyFont="1" applyFill="1" applyBorder="1" applyAlignment="1" applyProtection="1">
      <alignment vertical="center"/>
    </xf>
    <xf numFmtId="176" fontId="56" fillId="0" borderId="10" xfId="1" applyNumberFormat="1" applyFont="1" applyFill="1" applyBorder="1" applyAlignment="1" applyProtection="1">
      <alignment horizontal="center" vertical="center"/>
      <protection locked="0"/>
    </xf>
    <xf numFmtId="176" fontId="49" fillId="0" borderId="24" xfId="1" applyNumberFormat="1" applyFont="1" applyFill="1" applyBorder="1" applyAlignment="1" applyProtection="1">
      <alignment horizontal="center" vertical="center"/>
      <protection locked="0"/>
    </xf>
    <xf numFmtId="176" fontId="56" fillId="6" borderId="24" xfId="1" applyNumberFormat="1" applyFont="1" applyFill="1" applyBorder="1" applyAlignment="1" applyProtection="1">
      <alignment horizontal="center" vertical="center"/>
    </xf>
    <xf numFmtId="176" fontId="56" fillId="6" borderId="49" xfId="1" applyNumberFormat="1" applyFont="1" applyFill="1" applyBorder="1" applyAlignment="1" applyProtection="1">
      <alignment horizontal="center" vertical="center"/>
    </xf>
    <xf numFmtId="0" fontId="58" fillId="0" borderId="10" xfId="1" applyNumberFormat="1"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8" fillId="0" borderId="24" xfId="1" applyNumberFormat="1" applyFont="1" applyFill="1" applyBorder="1" applyAlignment="1" applyProtection="1">
      <alignment horizontal="center" vertical="center"/>
      <protection locked="0"/>
    </xf>
    <xf numFmtId="0" fontId="56" fillId="6" borderId="24" xfId="1" applyNumberFormat="1" applyFont="1" applyFill="1" applyBorder="1" applyAlignment="1" applyProtection="1">
      <alignment horizontal="center" vertical="center"/>
    </xf>
    <xf numFmtId="181" fontId="52" fillId="0" borderId="24" xfId="0" applyNumberFormat="1" applyFont="1" applyFill="1" applyBorder="1" applyAlignment="1" applyProtection="1">
      <alignment horizontal="center" vertical="center"/>
      <protection locked="0"/>
    </xf>
    <xf numFmtId="181" fontId="52" fillId="0" borderId="49" xfId="0" applyNumberFormat="1" applyFont="1" applyFill="1" applyBorder="1" applyAlignment="1" applyProtection="1">
      <alignment horizontal="center" vertical="center"/>
      <protection locked="0"/>
    </xf>
    <xf numFmtId="181" fontId="52" fillId="0" borderId="8" xfId="0" applyNumberFormat="1" applyFont="1" applyFill="1" applyBorder="1" applyAlignment="1" applyProtection="1">
      <alignment horizontal="center" vertical="center"/>
      <protection locked="0"/>
    </xf>
    <xf numFmtId="10" fontId="49" fillId="6" borderId="10" xfId="0" applyNumberFormat="1" applyFont="1" applyFill="1" applyBorder="1" applyAlignment="1" applyProtection="1">
      <alignment horizontal="center" vertical="center"/>
    </xf>
    <xf numFmtId="10" fontId="49" fillId="0" borderId="61" xfId="0" applyNumberFormat="1" applyFont="1" applyFill="1" applyBorder="1" applyAlignment="1" applyProtection="1">
      <alignment horizontal="center" vertical="center"/>
      <protection locked="0"/>
    </xf>
    <xf numFmtId="183" fontId="49" fillId="6" borderId="61" xfId="0" applyNumberFormat="1" applyFont="1" applyFill="1" applyBorder="1" applyAlignment="1" applyProtection="1">
      <alignment horizontal="center" vertical="center"/>
    </xf>
    <xf numFmtId="10" fontId="49" fillId="2" borderId="61" xfId="0" applyNumberFormat="1" applyFont="1" applyFill="1" applyBorder="1" applyAlignment="1" applyProtection="1">
      <alignment horizontal="center" vertical="center"/>
      <protection locked="0"/>
    </xf>
    <xf numFmtId="10" fontId="49" fillId="0" borderId="49" xfId="0" applyNumberFormat="1" applyFont="1" applyFill="1" applyBorder="1" applyAlignment="1" applyProtection="1">
      <alignment horizontal="center" vertical="center"/>
      <protection locked="0"/>
    </xf>
    <xf numFmtId="10" fontId="49" fillId="0" borderId="53" xfId="0" applyNumberFormat="1" applyFont="1" applyFill="1" applyBorder="1" applyAlignment="1" applyProtection="1">
      <alignment horizontal="center" vertical="center"/>
      <protection locked="0"/>
    </xf>
    <xf numFmtId="10" fontId="49" fillId="6" borderId="62" xfId="0" applyNumberFormat="1" applyFont="1" applyFill="1" applyBorder="1" applyAlignment="1" applyProtection="1">
      <alignment horizontal="center" vertical="center"/>
    </xf>
    <xf numFmtId="10" fontId="49" fillId="6" borderId="49" xfId="0" applyNumberFormat="1" applyFont="1" applyFill="1" applyBorder="1" applyAlignment="1" applyProtection="1">
      <alignment horizontal="center" vertical="center"/>
    </xf>
    <xf numFmtId="178" fontId="49" fillId="6" borderId="62" xfId="0" applyNumberFormat="1" applyFont="1" applyFill="1" applyBorder="1" applyAlignment="1" applyProtection="1">
      <alignment horizontal="center" vertical="center"/>
    </xf>
    <xf numFmtId="0" fontId="49" fillId="0" borderId="49" xfId="0" applyFont="1" applyBorder="1" applyAlignment="1" applyProtection="1">
      <alignment vertical="center"/>
      <protection locked="0"/>
    </xf>
    <xf numFmtId="0" fontId="49" fillId="6" borderId="10"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49" xfId="0" applyNumberFormat="1" applyFont="1" applyFill="1" applyBorder="1" applyAlignment="1" applyProtection="1">
      <alignment horizontal="center" vertical="center" wrapText="1"/>
    </xf>
    <xf numFmtId="0" fontId="52" fillId="6" borderId="0" xfId="0" applyFont="1" applyFill="1" applyProtection="1">
      <alignment vertical="center"/>
      <protection locked="0"/>
    </xf>
    <xf numFmtId="0" fontId="52" fillId="0" borderId="0" xfId="0" applyFont="1" applyProtection="1">
      <alignment vertical="center"/>
      <protection locked="0"/>
    </xf>
    <xf numFmtId="0" fontId="52" fillId="6" borderId="5" xfId="0" applyFont="1" applyFill="1" applyBorder="1" applyAlignment="1" applyProtection="1">
      <alignment vertical="center"/>
    </xf>
    <xf numFmtId="0" fontId="49" fillId="6" borderId="2" xfId="0" applyFont="1" applyFill="1" applyBorder="1" applyAlignment="1" applyProtection="1">
      <alignment horizontal="center" vertical="center"/>
    </xf>
    <xf numFmtId="179" fontId="49"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9" fillId="6" borderId="29" xfId="0" applyFont="1" applyFill="1" applyBorder="1" applyAlignment="1" applyProtection="1">
      <alignment horizontal="center" vertical="center"/>
    </xf>
    <xf numFmtId="0" fontId="51" fillId="0" borderId="10" xfId="0" applyFont="1" applyFill="1" applyBorder="1" applyAlignment="1" applyProtection="1">
      <alignment horizontal="center" vertical="center"/>
      <protection locked="0"/>
    </xf>
    <xf numFmtId="0" fontId="52" fillId="6" borderId="1" xfId="0" applyFont="1" applyFill="1" applyBorder="1" applyProtection="1">
      <alignment vertical="center"/>
    </xf>
    <xf numFmtId="0" fontId="51" fillId="0" borderId="24" xfId="0" applyFont="1" applyFill="1" applyBorder="1" applyAlignment="1" applyProtection="1">
      <alignment horizontal="center" vertical="center"/>
      <protection locked="0"/>
    </xf>
    <xf numFmtId="0" fontId="51" fillId="6" borderId="4" xfId="0" applyFont="1" applyFill="1" applyBorder="1" applyAlignment="1" applyProtection="1">
      <alignment horizontal="center" vertical="center"/>
    </xf>
    <xf numFmtId="0" fontId="52" fillId="0" borderId="23" xfId="0" applyFont="1" applyBorder="1" applyProtection="1">
      <alignment vertical="center"/>
      <protection locked="0"/>
    </xf>
    <xf numFmtId="0" fontId="52" fillId="0" borderId="1" xfId="0" applyFont="1" applyBorder="1" applyProtection="1">
      <alignment vertical="center"/>
      <protection locked="0"/>
    </xf>
    <xf numFmtId="0" fontId="52" fillId="0" borderId="24" xfId="0" applyFont="1" applyFill="1" applyBorder="1" applyAlignment="1" applyProtection="1">
      <alignment horizontal="center" vertical="center"/>
      <protection locked="0"/>
    </xf>
    <xf numFmtId="0" fontId="52" fillId="0" borderId="25" xfId="0" applyFont="1" applyBorder="1" applyProtection="1">
      <alignment vertical="center"/>
      <protection locked="0"/>
    </xf>
    <xf numFmtId="0" fontId="52" fillId="0" borderId="32" xfId="0" applyFont="1" applyBorder="1" applyProtection="1">
      <alignment vertical="center"/>
      <protection locked="0"/>
    </xf>
    <xf numFmtId="0" fontId="52" fillId="0" borderId="49" xfId="0" applyFont="1" applyBorder="1" applyProtection="1">
      <alignment vertical="center"/>
      <protection locked="0"/>
    </xf>
    <xf numFmtId="0" fontId="52" fillId="6" borderId="13" xfId="0" applyFont="1" applyFill="1" applyBorder="1" applyAlignment="1" applyProtection="1">
      <alignment vertical="center"/>
    </xf>
    <xf numFmtId="0" fontId="52" fillId="6" borderId="36" xfId="0" applyFont="1" applyFill="1" applyBorder="1" applyAlignment="1" applyProtection="1">
      <alignment horizontal="right" vertical="center"/>
    </xf>
    <xf numFmtId="9" fontId="52" fillId="5" borderId="36" xfId="0" applyNumberFormat="1" applyFont="1" applyFill="1" applyBorder="1" applyAlignment="1" applyProtection="1">
      <alignment horizontal="center" vertical="center"/>
      <protection locked="0"/>
    </xf>
    <xf numFmtId="0" fontId="52" fillId="6" borderId="22" xfId="0" applyFont="1" applyFill="1" applyBorder="1" applyProtection="1">
      <alignment vertical="center"/>
    </xf>
    <xf numFmtId="0" fontId="52" fillId="6" borderId="0" xfId="0" applyFont="1" applyFill="1" applyAlignment="1" applyProtection="1">
      <alignment horizontal="center" vertical="center"/>
      <protection locked="0"/>
    </xf>
    <xf numFmtId="0" fontId="57" fillId="6" borderId="18" xfId="0" applyFont="1" applyFill="1" applyBorder="1" applyAlignment="1" applyProtection="1">
      <alignment horizontal="left" vertical="center" wrapText="1"/>
    </xf>
    <xf numFmtId="0" fontId="57" fillId="6" borderId="60" xfId="0" applyFont="1" applyFill="1" applyBorder="1" applyAlignment="1" applyProtection="1">
      <alignment horizontal="left" vertical="center" wrapText="1"/>
    </xf>
    <xf numFmtId="0" fontId="57" fillId="6" borderId="7" xfId="0" applyFont="1" applyFill="1" applyBorder="1" applyAlignment="1" applyProtection="1">
      <alignment horizontal="left" vertical="center" wrapText="1"/>
    </xf>
    <xf numFmtId="0" fontId="52" fillId="6" borderId="4" xfId="0" applyFont="1" applyFill="1" applyBorder="1" applyAlignment="1" applyProtection="1">
      <alignment horizontal="center" vertical="center"/>
    </xf>
    <xf numFmtId="0" fontId="57" fillId="6" borderId="1" xfId="0" applyFont="1" applyFill="1" applyBorder="1" applyAlignment="1" applyProtection="1">
      <alignment horizontal="left" vertical="center" wrapText="1"/>
    </xf>
    <xf numFmtId="9" fontId="52" fillId="6" borderId="24" xfId="0" applyNumberFormat="1" applyFont="1" applyFill="1" applyBorder="1" applyAlignment="1" applyProtection="1">
      <alignment horizontal="center" vertical="center"/>
    </xf>
    <xf numFmtId="10" fontId="52" fillId="6" borderId="2" xfId="0" applyNumberFormat="1" applyFont="1" applyFill="1" applyBorder="1" applyAlignment="1" applyProtection="1">
      <alignment horizontal="center" vertical="center"/>
    </xf>
    <xf numFmtId="0" fontId="52" fillId="6" borderId="11" xfId="0" applyFont="1" applyFill="1" applyBorder="1" applyAlignment="1" applyProtection="1">
      <alignment horizontal="right" vertical="center" wrapText="1"/>
    </xf>
    <xf numFmtId="0" fontId="52" fillId="6" borderId="46" xfId="0" applyFont="1" applyFill="1" applyBorder="1" applyAlignment="1" applyProtection="1">
      <alignment vertical="center"/>
    </xf>
    <xf numFmtId="0" fontId="52" fillId="6" borderId="14" xfId="0" applyFont="1" applyFill="1" applyBorder="1" applyAlignment="1" applyProtection="1">
      <alignment horizontal="right" vertical="center" wrapText="1"/>
    </xf>
    <xf numFmtId="0" fontId="52" fillId="6" borderId="58" xfId="0" applyFont="1" applyFill="1" applyBorder="1" applyAlignment="1" applyProtection="1">
      <alignment vertical="center"/>
    </xf>
    <xf numFmtId="0" fontId="52" fillId="6" borderId="35" xfId="0" applyFont="1" applyFill="1" applyBorder="1" applyProtection="1">
      <alignment vertical="center"/>
    </xf>
    <xf numFmtId="0" fontId="52" fillId="6" borderId="41" xfId="0" applyFont="1" applyFill="1" applyBorder="1" applyAlignment="1" applyProtection="1">
      <alignment horizontal="right" vertical="center" wrapText="1"/>
    </xf>
    <xf numFmtId="0" fontId="52" fillId="6" borderId="4" xfId="0" applyFont="1" applyFill="1" applyBorder="1" applyAlignment="1" applyProtection="1">
      <alignment vertical="center"/>
    </xf>
    <xf numFmtId="0" fontId="52" fillId="6" borderId="23" xfId="0" applyFont="1" applyFill="1" applyBorder="1" applyAlignment="1" applyProtection="1">
      <alignment horizontal="right" vertical="center" wrapText="1"/>
    </xf>
    <xf numFmtId="1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10" fontId="52" fillId="6" borderId="5" xfId="0" applyNumberFormat="1" applyFont="1" applyFill="1" applyBorder="1" applyAlignment="1" applyProtection="1">
      <alignment horizontal="center" vertical="center"/>
    </xf>
    <xf numFmtId="0" fontId="52" fillId="6" borderId="46" xfId="0" applyFont="1" applyFill="1" applyBorder="1" applyAlignment="1" applyProtection="1">
      <alignment horizontal="right" vertical="center"/>
    </xf>
    <xf numFmtId="0" fontId="52" fillId="6" borderId="33" xfId="0" applyFont="1" applyFill="1" applyBorder="1" applyAlignment="1" applyProtection="1">
      <alignment horizontal="right" vertical="center"/>
    </xf>
    <xf numFmtId="0" fontId="52" fillId="6" borderId="32" xfId="0" applyFont="1" applyFill="1" applyBorder="1" applyAlignment="1" applyProtection="1">
      <alignment horizontal="center" vertical="center" wrapText="1"/>
    </xf>
    <xf numFmtId="10" fontId="52" fillId="6" borderId="32" xfId="0" applyNumberFormat="1" applyFont="1" applyFill="1" applyBorder="1" applyAlignment="1" applyProtection="1">
      <alignment horizontal="center" vertical="center"/>
    </xf>
    <xf numFmtId="9" fontId="52" fillId="6" borderId="5" xfId="0" applyNumberFormat="1" applyFont="1" applyFill="1" applyBorder="1" applyAlignment="1" applyProtection="1">
      <alignment horizontal="center" vertical="center" wrapText="1"/>
    </xf>
    <xf numFmtId="0" fontId="52" fillId="6" borderId="10" xfId="0" applyFont="1" applyFill="1" applyBorder="1" applyAlignment="1" applyProtection="1">
      <alignment horizontal="left" vertical="center" wrapText="1"/>
    </xf>
    <xf numFmtId="0" fontId="59" fillId="6" borderId="2" xfId="0" applyFont="1" applyFill="1" applyBorder="1" applyAlignment="1" applyProtection="1">
      <alignment horizontal="left" vertical="center" wrapText="1"/>
    </xf>
    <xf numFmtId="177" fontId="59" fillId="6" borderId="2" xfId="0" applyNumberFormat="1" applyFont="1" applyFill="1" applyBorder="1" applyAlignment="1" applyProtection="1">
      <alignment horizontal="center" vertical="center" wrapText="1"/>
    </xf>
    <xf numFmtId="0" fontId="59" fillId="6" borderId="2" xfId="0" applyFont="1" applyFill="1" applyBorder="1" applyAlignment="1" applyProtection="1">
      <alignment horizontal="center" vertical="center" wrapText="1"/>
    </xf>
    <xf numFmtId="0" fontId="52" fillId="6" borderId="8"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177" fontId="58" fillId="6" borderId="1" xfId="0" applyNumberFormat="1" applyFont="1" applyFill="1" applyBorder="1" applyAlignment="1" applyProtection="1">
      <alignment horizontal="center" vertical="center" wrapText="1"/>
    </xf>
    <xf numFmtId="0" fontId="58" fillId="6" borderId="1" xfId="0" applyFont="1" applyFill="1" applyBorder="1" applyAlignment="1" applyProtection="1">
      <alignment horizontal="center" vertical="center" wrapText="1"/>
    </xf>
    <xf numFmtId="0" fontId="52" fillId="6" borderId="24" xfId="0" applyFont="1" applyFill="1" applyBorder="1" applyAlignment="1" applyProtection="1">
      <alignment horizontal="left" vertical="center" wrapText="1"/>
    </xf>
    <xf numFmtId="177" fontId="58" fillId="0" borderId="1" xfId="0" applyNumberFormat="1" applyFont="1" applyFill="1" applyBorder="1" applyAlignment="1" applyProtection="1">
      <alignment horizontal="center" vertical="center" wrapText="1"/>
      <protection locked="0"/>
    </xf>
    <xf numFmtId="49" fontId="57" fillId="6" borderId="23" xfId="0" applyNumberFormat="1" applyFont="1" applyFill="1" applyBorder="1" applyAlignment="1" applyProtection="1">
      <alignment horizontal="left" vertical="center" wrapText="1"/>
    </xf>
    <xf numFmtId="0" fontId="59" fillId="6" borderId="1" xfId="0" applyFont="1" applyFill="1" applyBorder="1" applyAlignment="1" applyProtection="1">
      <alignment horizontal="left" vertical="center" wrapText="1"/>
    </xf>
    <xf numFmtId="0" fontId="59" fillId="0" borderId="1" xfId="0" applyFont="1" applyFill="1" applyBorder="1" applyAlignment="1" applyProtection="1">
      <alignment horizontal="center" vertical="center" wrapText="1"/>
      <protection locked="0"/>
    </xf>
    <xf numFmtId="0" fontId="59" fillId="6" borderId="1" xfId="0" applyFont="1" applyFill="1" applyBorder="1" applyAlignment="1" applyProtection="1">
      <alignment horizontal="center" vertical="center" wrapText="1"/>
    </xf>
    <xf numFmtId="177" fontId="59" fillId="6" borderId="1" xfId="0" applyNumberFormat="1" applyFont="1" applyFill="1" applyBorder="1" applyAlignment="1" applyProtection="1">
      <alignment horizontal="center" vertical="center" wrapText="1"/>
    </xf>
    <xf numFmtId="49" fontId="57" fillId="6" borderId="25" xfId="0" applyNumberFormat="1" applyFont="1" applyFill="1" applyBorder="1" applyAlignment="1" applyProtection="1">
      <alignment horizontal="left" vertical="center" wrapText="1"/>
    </xf>
    <xf numFmtId="0" fontId="59" fillId="6" borderId="32" xfId="0" applyFont="1" applyFill="1" applyBorder="1" applyAlignment="1" applyProtection="1">
      <alignment horizontal="left" vertical="center" wrapText="1"/>
    </xf>
    <xf numFmtId="177" fontId="59" fillId="6" borderId="32" xfId="0" applyNumberFormat="1" applyFont="1" applyFill="1" applyBorder="1" applyAlignment="1" applyProtection="1">
      <alignment horizontal="center" vertical="center" wrapText="1"/>
    </xf>
    <xf numFmtId="10" fontId="58" fillId="6" borderId="32" xfId="0" applyNumberFormat="1" applyFont="1" applyFill="1" applyBorder="1" applyAlignment="1" applyProtection="1">
      <alignment horizontal="center" vertical="center" wrapText="1"/>
    </xf>
    <xf numFmtId="0" fontId="52" fillId="6" borderId="49" xfId="0" applyFont="1" applyFill="1" applyBorder="1" applyAlignment="1" applyProtection="1">
      <alignment horizontal="left" vertical="center"/>
    </xf>
    <xf numFmtId="0" fontId="52" fillId="6" borderId="28" xfId="0" applyFont="1" applyFill="1" applyBorder="1" applyAlignment="1" applyProtection="1">
      <alignment horizontal="left" vertical="center" wrapText="1"/>
    </xf>
    <xf numFmtId="0" fontId="52" fillId="6" borderId="20" xfId="0"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49" fontId="52" fillId="6" borderId="23" xfId="0" applyNumberFormat="1" applyFont="1" applyFill="1" applyBorder="1" applyAlignment="1" applyProtection="1">
      <alignment vertical="center" wrapText="1"/>
    </xf>
    <xf numFmtId="0" fontId="58" fillId="0" borderId="1" xfId="0" applyFont="1" applyFill="1" applyBorder="1" applyAlignment="1" applyProtection="1">
      <alignment horizontal="center" vertical="center" wrapText="1"/>
      <protection locked="0"/>
    </xf>
    <xf numFmtId="0" fontId="49" fillId="6" borderId="1" xfId="2" applyFont="1" applyFill="1" applyBorder="1" applyAlignment="1" applyProtection="1">
      <alignment horizontal="left" vertical="center" wrapText="1"/>
    </xf>
    <xf numFmtId="177" fontId="58" fillId="0" borderId="24" xfId="0" applyNumberFormat="1" applyFont="1" applyFill="1" applyBorder="1" applyAlignment="1" applyProtection="1">
      <alignment horizontal="center" vertical="center" wrapText="1"/>
      <protection locked="0"/>
    </xf>
    <xf numFmtId="0" fontId="58" fillId="6" borderId="2" xfId="0" applyFont="1" applyFill="1" applyBorder="1" applyAlignment="1" applyProtection="1">
      <alignment horizontal="left" vertical="center" wrapText="1"/>
    </xf>
    <xf numFmtId="9" fontId="49" fillId="6" borderId="0" xfId="0" applyNumberFormat="1" applyFont="1" applyFill="1" applyBorder="1" applyAlignment="1" applyProtection="1">
      <alignment horizontal="center" vertical="center"/>
    </xf>
    <xf numFmtId="10" fontId="58" fillId="6" borderId="1" xfId="0" applyNumberFormat="1" applyFont="1" applyFill="1" applyBorder="1" applyAlignment="1" applyProtection="1">
      <alignment horizontal="center" vertical="center" wrapText="1"/>
    </xf>
    <xf numFmtId="0" fontId="49" fillId="6" borderId="54" xfId="0" applyFont="1" applyFill="1" applyBorder="1" applyAlignment="1" applyProtection="1">
      <alignment horizontal="left" vertical="center"/>
    </xf>
    <xf numFmtId="191" fontId="58" fillId="6" borderId="1" xfId="0" applyNumberFormat="1" applyFont="1" applyFill="1" applyBorder="1" applyAlignment="1" applyProtection="1">
      <alignment horizontal="center" vertical="center" wrapText="1"/>
    </xf>
    <xf numFmtId="10" fontId="57" fillId="6" borderId="5" xfId="0" applyNumberFormat="1" applyFont="1" applyFill="1" applyBorder="1" applyAlignment="1" applyProtection="1">
      <alignment horizontal="center" vertical="center" wrapText="1"/>
    </xf>
    <xf numFmtId="181" fontId="59" fillId="6" borderId="1" xfId="0" applyNumberFormat="1"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52" fillId="6" borderId="33" xfId="0" applyFont="1" applyFill="1" applyBorder="1" applyAlignment="1" applyProtection="1">
      <alignment horizontal="left" vertical="center"/>
    </xf>
    <xf numFmtId="0" fontId="52" fillId="6" borderId="52" xfId="0" applyFont="1" applyFill="1" applyBorder="1" applyAlignment="1" applyProtection="1">
      <alignment horizontal="left" vertical="center" wrapText="1"/>
    </xf>
    <xf numFmtId="0" fontId="49" fillId="6" borderId="68" xfId="2" applyFont="1" applyFill="1" applyBorder="1" applyAlignment="1" applyProtection="1">
      <alignment horizontal="left" vertical="center" wrapText="1"/>
    </xf>
    <xf numFmtId="0" fontId="52" fillId="6" borderId="21" xfId="2" applyFont="1" applyFill="1" applyBorder="1" applyAlignment="1" applyProtection="1">
      <alignment horizontal="left" vertical="center" wrapText="1"/>
    </xf>
    <xf numFmtId="0" fontId="52" fillId="6" borderId="48" xfId="2" applyFont="1" applyFill="1" applyBorder="1" applyAlignment="1" applyProtection="1">
      <alignment horizontal="left" vertical="center" wrapText="1"/>
    </xf>
    <xf numFmtId="0" fontId="58" fillId="6" borderId="5" xfId="0" applyFont="1" applyFill="1" applyBorder="1" applyAlignment="1" applyProtection="1">
      <alignment horizontal="center" vertical="center" wrapText="1"/>
    </xf>
    <xf numFmtId="191" fontId="58" fillId="0" borderId="1" xfId="0" applyNumberFormat="1" applyFont="1" applyFill="1" applyBorder="1" applyAlignment="1" applyProtection="1">
      <alignment horizontal="center" vertical="center" wrapText="1"/>
      <protection locked="0"/>
    </xf>
    <xf numFmtId="10" fontId="52" fillId="6" borderId="5" xfId="0" applyNumberFormat="1" applyFont="1" applyFill="1" applyBorder="1" applyAlignment="1" applyProtection="1">
      <alignment horizontal="left" vertical="center"/>
    </xf>
    <xf numFmtId="0" fontId="60" fillId="6" borderId="0" xfId="0" applyFont="1" applyFill="1" applyBorder="1" applyAlignment="1" applyProtection="1">
      <alignment horizontal="left" vertical="center"/>
    </xf>
    <xf numFmtId="0" fontId="52"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2" fillId="6" borderId="20" xfId="1" applyFont="1" applyFill="1" applyBorder="1" applyAlignment="1" applyProtection="1">
      <alignment vertical="center"/>
    </xf>
    <xf numFmtId="0" fontId="62" fillId="6" borderId="19" xfId="1" applyFont="1" applyFill="1" applyBorder="1" applyAlignment="1" applyProtection="1">
      <alignment vertical="center"/>
    </xf>
    <xf numFmtId="0" fontId="62" fillId="6" borderId="0" xfId="1" applyFont="1" applyFill="1" applyBorder="1" applyAlignment="1" applyProtection="1">
      <alignment vertical="center"/>
    </xf>
    <xf numFmtId="0" fontId="63" fillId="3" borderId="0" xfId="0" applyFont="1" applyFill="1" applyAlignment="1" applyProtection="1">
      <alignment vertical="center"/>
      <protection locked="0"/>
    </xf>
    <xf numFmtId="0" fontId="62" fillId="6" borderId="1" xfId="1" applyFont="1" applyFill="1" applyBorder="1" applyAlignment="1" applyProtection="1">
      <alignment vertical="center"/>
    </xf>
    <xf numFmtId="177" fontId="62" fillId="6" borderId="1" xfId="1" applyNumberFormat="1" applyFont="1" applyFill="1" applyBorder="1" applyAlignment="1" applyProtection="1">
      <alignment horizontal="right" vertical="center"/>
    </xf>
    <xf numFmtId="0" fontId="62" fillId="6" borderId="13" xfId="1" applyFont="1" applyFill="1" applyBorder="1" applyAlignment="1" applyProtection="1">
      <alignment vertical="center"/>
    </xf>
    <xf numFmtId="0" fontId="62" fillId="6" borderId="13" xfId="1" applyFont="1" applyFill="1" applyBorder="1" applyAlignment="1" applyProtection="1">
      <alignment horizontal="right" vertical="center"/>
    </xf>
    <xf numFmtId="49" fontId="62" fillId="6" borderId="51" xfId="1" applyNumberFormat="1" applyFont="1" applyFill="1" applyBorder="1" applyAlignment="1" applyProtection="1"/>
    <xf numFmtId="49" fontId="62" fillId="6" borderId="20" xfId="1" applyNumberFormat="1" applyFont="1" applyFill="1" applyBorder="1" applyAlignment="1" applyProtection="1"/>
    <xf numFmtId="49" fontId="62" fillId="6" borderId="21" xfId="1" applyNumberFormat="1" applyFont="1" applyFill="1" applyBorder="1" applyAlignment="1" applyProtection="1"/>
    <xf numFmtId="0" fontId="62" fillId="3" borderId="0" xfId="0" applyFont="1" applyFill="1" applyAlignment="1" applyProtection="1">
      <alignment vertical="center"/>
      <protection locked="0"/>
    </xf>
    <xf numFmtId="0" fontId="59" fillId="6" borderId="23" xfId="1" applyFont="1" applyFill="1" applyBorder="1" applyAlignment="1" applyProtection="1">
      <alignment horizontal="left"/>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9" fillId="6" borderId="1" xfId="1" applyFont="1" applyFill="1" applyBorder="1" applyAlignment="1" applyProtection="1">
      <alignment horizontal="center"/>
    </xf>
    <xf numFmtId="0" fontId="59" fillId="6" borderId="24" xfId="1" applyFont="1" applyFill="1" applyBorder="1" applyAlignment="1" applyProtection="1">
      <alignment horizontal="left"/>
    </xf>
    <xf numFmtId="0" fontId="59" fillId="3" borderId="0" xfId="0" applyFont="1" applyFill="1" applyAlignment="1" applyProtection="1">
      <alignment vertical="center"/>
      <protection locked="0"/>
    </xf>
    <xf numFmtId="0" fontId="58" fillId="6" borderId="5" xfId="1" applyFont="1" applyFill="1" applyBorder="1" applyAlignment="1" applyProtection="1"/>
    <xf numFmtId="177" fontId="58" fillId="0" borderId="1" xfId="1" applyNumberFormat="1" applyFont="1" applyFill="1" applyBorder="1" applyAlignment="1" applyProtection="1">
      <alignment horizontal="center"/>
      <protection locked="0"/>
    </xf>
    <xf numFmtId="179"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177" fontId="58" fillId="6" borderId="1" xfId="1" applyNumberFormat="1" applyFont="1" applyFill="1" applyBorder="1" applyAlignment="1" applyProtection="1">
      <alignment horizontal="center"/>
    </xf>
    <xf numFmtId="10" fontId="58" fillId="6" borderId="1" xfId="1" applyNumberFormat="1" applyFont="1" applyFill="1" applyBorder="1" applyAlignment="1" applyProtection="1">
      <alignment horizontal="center"/>
    </xf>
    <xf numFmtId="177" fontId="58" fillId="6" borderId="1" xfId="1" applyNumberFormat="1" applyFont="1" applyFill="1" applyBorder="1" applyAlignment="1" applyProtection="1"/>
    <xf numFmtId="0" fontId="59" fillId="0" borderId="0" xfId="0" applyFont="1" applyFill="1" applyAlignment="1" applyProtection="1">
      <alignment vertical="center"/>
      <protection locked="0"/>
    </xf>
    <xf numFmtId="0" fontId="64" fillId="6" borderId="5" xfId="1" applyFont="1" applyFill="1" applyBorder="1" applyAlignment="1" applyProtection="1"/>
    <xf numFmtId="177" fontId="64" fillId="6" borderId="1" xfId="1" applyNumberFormat="1" applyFont="1" applyFill="1" applyBorder="1" applyAlignment="1" applyProtection="1">
      <alignment horizontal="center"/>
    </xf>
    <xf numFmtId="0" fontId="58" fillId="6" borderId="24" xfId="1" applyFont="1" applyFill="1" applyBorder="1" applyAlignment="1" applyProtection="1">
      <alignment vertical="center" wrapText="1"/>
    </xf>
    <xf numFmtId="0" fontId="58" fillId="6" borderId="23" xfId="1" applyFont="1" applyFill="1" applyBorder="1" applyAlignment="1" applyProtection="1">
      <alignment horizontal="left"/>
    </xf>
    <xf numFmtId="0" fontId="58" fillId="6" borderId="0" xfId="1" applyFont="1" applyFill="1" applyBorder="1" applyAlignment="1" applyProtection="1">
      <alignment horizontal="center"/>
    </xf>
    <xf numFmtId="0" fontId="58" fillId="6" borderId="1" xfId="0" applyFont="1" applyFill="1" applyBorder="1" applyProtection="1">
      <alignment vertical="center"/>
    </xf>
    <xf numFmtId="179" fontId="59" fillId="6" borderId="1" xfId="1" applyNumberFormat="1" applyFont="1" applyFill="1" applyBorder="1" applyAlignment="1" applyProtection="1">
      <alignment horizontal="center"/>
    </xf>
    <xf numFmtId="9" fontId="59" fillId="6" borderId="5" xfId="1" applyNumberFormat="1" applyFont="1" applyFill="1" applyBorder="1" applyAlignment="1" applyProtection="1">
      <alignment horizontal="center"/>
    </xf>
    <xf numFmtId="0" fontId="59" fillId="6" borderId="1" xfId="0" applyFont="1" applyFill="1" applyBorder="1" applyAlignment="1" applyProtection="1">
      <alignment horizontal="center" vertical="center"/>
    </xf>
    <xf numFmtId="10" fontId="59" fillId="6" borderId="5" xfId="1" applyNumberFormat="1" applyFont="1" applyFill="1" applyBorder="1" applyAlignment="1" applyProtection="1">
      <alignment horizontal="center"/>
    </xf>
    <xf numFmtId="0" fontId="59" fillId="6" borderId="24" xfId="0" applyFont="1" applyFill="1" applyBorder="1" applyAlignment="1" applyProtection="1">
      <alignment vertical="center"/>
    </xf>
    <xf numFmtId="0" fontId="59" fillId="6" borderId="1" xfId="0" applyFont="1" applyFill="1" applyBorder="1" applyAlignment="1" applyProtection="1">
      <alignment horizontal="right" vertical="center"/>
    </xf>
    <xf numFmtId="0" fontId="59" fillId="6" borderId="1" xfId="0" applyFont="1" applyFill="1" applyBorder="1" applyAlignment="1" applyProtection="1">
      <alignment horizontal="left" vertical="center"/>
    </xf>
    <xf numFmtId="10" fontId="59" fillId="6" borderId="5" xfId="1" applyNumberFormat="1"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17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xf>
    <xf numFmtId="0" fontId="59" fillId="6" borderId="1" xfId="0" applyFont="1" applyFill="1" applyBorder="1" applyAlignment="1" applyProtection="1">
      <alignment vertical="center"/>
    </xf>
    <xf numFmtId="0" fontId="58" fillId="6" borderId="61" xfId="0" applyFont="1" applyFill="1" applyBorder="1" applyAlignment="1" applyProtection="1">
      <alignment vertical="center" wrapText="1"/>
    </xf>
    <xf numFmtId="0" fontId="58" fillId="6" borderId="8" xfId="0" applyFont="1" applyFill="1" applyBorder="1" applyAlignment="1" applyProtection="1">
      <alignment vertical="center"/>
    </xf>
    <xf numFmtId="0" fontId="59" fillId="6" borderId="5" xfId="1" applyFont="1" applyFill="1" applyBorder="1" applyAlignment="1" applyProtection="1">
      <alignment vertical="center"/>
    </xf>
    <xf numFmtId="177" fontId="59" fillId="6" borderId="1" xfId="1" applyNumberFormat="1" applyFont="1" applyFill="1" applyBorder="1" applyAlignment="1" applyProtection="1">
      <alignment horizontal="center" vertical="center"/>
    </xf>
    <xf numFmtId="9" fontId="59" fillId="6" borderId="5" xfId="1" applyNumberFormat="1" applyFont="1" applyFill="1" applyBorder="1" applyAlignment="1" applyProtection="1">
      <alignment horizontal="center" vertical="center"/>
    </xf>
    <xf numFmtId="0" fontId="59" fillId="6" borderId="24" xfId="0" applyFont="1" applyFill="1" applyBorder="1" applyAlignment="1" applyProtection="1">
      <alignment vertical="center" wrapText="1"/>
    </xf>
    <xf numFmtId="0" fontId="58" fillId="6" borderId="5" xfId="1" applyFont="1" applyFill="1" applyBorder="1" applyAlignment="1" applyProtection="1">
      <alignment horizontal="left"/>
    </xf>
    <xf numFmtId="177" fontId="58" fillId="6" borderId="1" xfId="1" applyNumberFormat="1" applyFont="1" applyFill="1" applyBorder="1" applyAlignment="1" applyProtection="1">
      <alignment horizontal="center" vertical="center"/>
    </xf>
    <xf numFmtId="9" fontId="59" fillId="6" borderId="1" xfId="1" applyNumberFormat="1" applyFont="1" applyFill="1" applyBorder="1" applyAlignment="1" applyProtection="1">
      <alignment horizontal="center"/>
    </xf>
    <xf numFmtId="0" fontId="58" fillId="3" borderId="0" xfId="0" applyFont="1" applyFill="1" applyAlignment="1" applyProtection="1">
      <alignment vertical="center"/>
      <protection locked="0"/>
    </xf>
    <xf numFmtId="49" fontId="62" fillId="6" borderId="37" xfId="1" applyNumberFormat="1" applyFont="1" applyFill="1" applyBorder="1" applyAlignment="1" applyProtection="1"/>
    <xf numFmtId="49" fontId="62" fillId="6" borderId="54" xfId="1" applyNumberFormat="1" applyFont="1" applyFill="1" applyBorder="1" applyAlignment="1" applyProtection="1"/>
    <xf numFmtId="49" fontId="62" fillId="6" borderId="48" xfId="1" applyNumberFormat="1" applyFont="1" applyFill="1" applyBorder="1" applyAlignment="1" applyProtection="1"/>
    <xf numFmtId="49" fontId="59" fillId="6" borderId="23" xfId="1" applyNumberFormat="1" applyFont="1" applyFill="1" applyBorder="1" applyAlignment="1" applyProtection="1">
      <alignment horizontal="left"/>
    </xf>
    <xf numFmtId="177" fontId="59" fillId="6" borderId="1" xfId="0" applyNumberFormat="1" applyFont="1" applyFill="1" applyBorder="1" applyAlignment="1" applyProtection="1">
      <alignment horizontal="center" vertical="center"/>
    </xf>
    <xf numFmtId="181" fontId="59" fillId="6" borderId="5" xfId="1" applyNumberFormat="1" applyFont="1" applyFill="1" applyBorder="1" applyAlignment="1" applyProtection="1">
      <alignment horizontal="center"/>
    </xf>
    <xf numFmtId="0" fontId="58" fillId="0" borderId="0" xfId="0" applyFont="1" applyFill="1" applyAlignment="1" applyProtection="1">
      <alignment vertical="center"/>
      <protection locked="0"/>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wrapText="1"/>
    </xf>
    <xf numFmtId="0" fontId="58" fillId="6" borderId="24" xfId="1" applyFont="1" applyFill="1" applyBorder="1" applyAlignment="1" applyProtection="1">
      <alignment horizontal="left" vertical="center"/>
    </xf>
    <xf numFmtId="10" fontId="59" fillId="6" borderId="1" xfId="0" applyNumberFormat="1" applyFont="1" applyFill="1" applyBorder="1" applyAlignment="1" applyProtection="1">
      <alignment horizontal="right" vertical="center"/>
    </xf>
    <xf numFmtId="185" fontId="59" fillId="6" borderId="1" xfId="0" applyNumberFormat="1" applyFont="1" applyFill="1" applyBorder="1" applyAlignment="1" applyProtection="1">
      <alignment horizontal="right" vertical="center"/>
    </xf>
    <xf numFmtId="10" fontId="59" fillId="6" borderId="1" xfId="1" applyNumberFormat="1" applyFont="1" applyFill="1" applyBorder="1" applyAlignment="1" applyProtection="1">
      <alignment horizontal="center" vertical="center"/>
    </xf>
    <xf numFmtId="49" fontId="62" fillId="6" borderId="38" xfId="1" applyNumberFormat="1" applyFont="1" applyFill="1" applyBorder="1" applyAlignment="1" applyProtection="1"/>
    <xf numFmtId="49" fontId="62" fillId="6" borderId="52" xfId="1" applyNumberFormat="1" applyFont="1" applyFill="1" applyBorder="1" applyAlignment="1" applyProtection="1"/>
    <xf numFmtId="177" fontId="59" fillId="6" borderId="32" xfId="0" applyNumberFormat="1" applyFont="1" applyFill="1" applyBorder="1" applyAlignment="1" applyProtection="1">
      <alignment horizontal="center" vertical="center"/>
    </xf>
    <xf numFmtId="49" fontId="62" fillId="6" borderId="68" xfId="1" applyNumberFormat="1" applyFont="1" applyFill="1" applyBorder="1" applyAlignment="1" applyProtection="1"/>
    <xf numFmtId="0" fontId="58" fillId="3" borderId="0" xfId="0" applyFont="1" applyFill="1" applyAlignment="1" applyProtection="1">
      <alignment horizontal="left" vertical="center"/>
      <protection locked="0"/>
    </xf>
    <xf numFmtId="0" fontId="65" fillId="6" borderId="1" xfId="0" applyFont="1" applyFill="1" applyBorder="1" applyAlignment="1" applyProtection="1">
      <alignment horizontal="left"/>
    </xf>
    <xf numFmtId="0" fontId="63" fillId="6" borderId="1" xfId="0" applyFont="1" applyFill="1" applyBorder="1" applyAlignment="1" applyProtection="1">
      <alignment horizontal="center" vertical="center"/>
    </xf>
    <xf numFmtId="0" fontId="58" fillId="3" borderId="0" xfId="0" applyFont="1" applyFill="1" applyAlignment="1" applyProtection="1">
      <alignment horizontal="center" vertical="center"/>
      <protection locked="0"/>
    </xf>
    <xf numFmtId="0" fontId="52" fillId="6" borderId="1" xfId="0" applyFont="1" applyFill="1" applyBorder="1" applyAlignment="1" applyProtection="1"/>
    <xf numFmtId="181" fontId="58" fillId="6" borderId="1" xfId="0" applyNumberFormat="1" applyFont="1" applyFill="1" applyBorder="1" applyAlignment="1" applyProtection="1">
      <alignment horizontal="center"/>
    </xf>
    <xf numFmtId="181" fontId="52" fillId="6" borderId="1" xfId="0" applyNumberFormat="1" applyFont="1" applyFill="1" applyBorder="1" applyAlignment="1" applyProtection="1">
      <alignment horizontal="center"/>
    </xf>
    <xf numFmtId="0" fontId="50"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2"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right" vertical="center"/>
    </xf>
    <xf numFmtId="177" fontId="51" fillId="6" borderId="1" xfId="1" applyNumberFormat="1" applyFont="1" applyFill="1" applyBorder="1" applyAlignment="1" applyProtection="1">
      <alignment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87" fontId="52" fillId="6" borderId="1" xfId="0" applyNumberFormat="1" applyFont="1" applyFill="1" applyBorder="1" applyAlignment="1" applyProtection="1">
      <alignment horizontal="center" vertical="center"/>
    </xf>
    <xf numFmtId="177"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77" fontId="51" fillId="6" borderId="3" xfId="0" applyNumberFormat="1" applyFont="1" applyFill="1" applyBorder="1" applyAlignment="1" applyProtection="1">
      <alignment horizontal="center" vertical="center" wrapText="1"/>
    </xf>
    <xf numFmtId="10" fontId="51" fillId="6" borderId="1" xfId="0" applyNumberFormat="1" applyFont="1" applyFill="1" applyBorder="1" applyAlignment="1" applyProtection="1">
      <alignment horizontal="center" vertical="center" wrapText="1"/>
    </xf>
    <xf numFmtId="0" fontId="54" fillId="3" borderId="0" xfId="0" applyFont="1" applyFill="1" applyAlignment="1" applyProtection="1">
      <alignment vertical="center" wrapText="1"/>
      <protection locked="0"/>
    </xf>
    <xf numFmtId="10" fontId="52"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77" fontId="52" fillId="6" borderId="1" xfId="0" applyNumberFormat="1" applyFont="1" applyFill="1" applyBorder="1" applyAlignment="1" applyProtection="1">
      <alignment horizontal="center" vertical="center" wrapText="1"/>
    </xf>
    <xf numFmtId="0" fontId="68" fillId="0" borderId="0" xfId="0" applyFont="1" applyFill="1" applyAlignment="1" applyProtection="1">
      <alignment vertical="center"/>
      <protection locked="0"/>
    </xf>
    <xf numFmtId="0" fontId="50" fillId="6" borderId="1" xfId="0" applyFont="1" applyFill="1" applyBorder="1" applyAlignment="1" applyProtection="1">
      <alignment horizontal="center" vertical="center"/>
    </xf>
    <xf numFmtId="49" fontId="67" fillId="6" borderId="0" xfId="0" applyNumberFormat="1" applyFont="1" applyFill="1" applyBorder="1" applyAlignment="1" applyProtection="1">
      <alignment horizontal="center"/>
    </xf>
    <xf numFmtId="49" fontId="52" fillId="6" borderId="6"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28" xfId="0" applyFont="1" applyFill="1" applyBorder="1" applyAlignment="1" applyProtection="1">
      <alignment horizontal="right" vertical="center"/>
    </xf>
    <xf numFmtId="0" fontId="52" fillId="6" borderId="21" xfId="0" applyFont="1" applyFill="1" applyBorder="1" applyAlignment="1" applyProtection="1">
      <alignment horizontal="center" vertical="center"/>
    </xf>
    <xf numFmtId="49" fontId="57" fillId="6" borderId="11" xfId="0" applyNumberFormat="1" applyFont="1" applyFill="1" applyBorder="1" applyAlignment="1" applyProtection="1">
      <alignment vertical="center"/>
    </xf>
    <xf numFmtId="0" fontId="57" fillId="6" borderId="13" xfId="0" applyFont="1" applyFill="1" applyBorder="1" applyAlignment="1" applyProtection="1">
      <alignment vertical="center" wrapText="1"/>
    </xf>
    <xf numFmtId="0" fontId="57" fillId="6" borderId="13" xfId="0" applyFont="1" applyFill="1" applyBorder="1" applyAlignment="1" applyProtection="1">
      <alignment horizontal="center" vertical="center"/>
    </xf>
    <xf numFmtId="0" fontId="52" fillId="6" borderId="1" xfId="0" applyFont="1" applyFill="1" applyBorder="1" applyAlignment="1" applyProtection="1">
      <alignment horizontal="left" vertical="center"/>
    </xf>
    <xf numFmtId="0" fontId="57" fillId="6" borderId="24" xfId="0" applyFont="1" applyFill="1" applyBorder="1" applyAlignment="1" applyProtection="1">
      <alignment horizontal="center" vertical="center"/>
    </xf>
    <xf numFmtId="49" fontId="57" fillId="6" borderId="14" xfId="0" applyNumberFormat="1" applyFont="1" applyFill="1" applyBorder="1" applyAlignment="1" applyProtection="1">
      <alignment vertical="center"/>
    </xf>
    <xf numFmtId="0" fontId="57" fillId="6" borderId="15" xfId="0" applyFont="1" applyFill="1" applyBorder="1" applyAlignment="1" applyProtection="1">
      <alignment vertical="center" wrapText="1"/>
    </xf>
    <xf numFmtId="0" fontId="57" fillId="6" borderId="15" xfId="0" applyFont="1" applyFill="1" applyBorder="1" applyAlignment="1" applyProtection="1">
      <alignment horizontal="center" vertical="center"/>
    </xf>
    <xf numFmtId="0" fontId="52" fillId="6" borderId="15" xfId="0" applyFont="1" applyFill="1" applyBorder="1" applyAlignment="1" applyProtection="1">
      <alignment vertical="center"/>
    </xf>
    <xf numFmtId="49" fontId="57" fillId="6" borderId="41" xfId="0" applyNumberFormat="1" applyFont="1" applyFill="1" applyBorder="1" applyAlignment="1" applyProtection="1">
      <alignment vertical="center"/>
    </xf>
    <xf numFmtId="0" fontId="57" fillId="6" borderId="2" xfId="0" applyFont="1" applyFill="1" applyBorder="1" applyAlignment="1" applyProtection="1">
      <alignment vertical="center" wrapText="1"/>
    </xf>
    <xf numFmtId="0" fontId="57" fillId="6" borderId="2" xfId="0" applyFont="1" applyFill="1" applyBorder="1" applyAlignment="1" applyProtection="1">
      <alignment horizontal="center" vertical="center"/>
    </xf>
    <xf numFmtId="0" fontId="52" fillId="6" borderId="2" xfId="0" applyFont="1" applyFill="1" applyBorder="1" applyAlignment="1" applyProtection="1">
      <alignment vertical="center"/>
    </xf>
    <xf numFmtId="181" fontId="57" fillId="6" borderId="24" xfId="0" applyNumberFormat="1" applyFont="1" applyFill="1" applyBorder="1" applyAlignment="1" applyProtection="1">
      <alignment horizontal="center" vertical="center"/>
    </xf>
    <xf numFmtId="0" fontId="52" fillId="6" borderId="13" xfId="0" applyFont="1" applyFill="1" applyBorder="1" applyAlignment="1" applyProtection="1">
      <alignment horizontal="left" vertical="center"/>
    </xf>
    <xf numFmtId="181" fontId="57" fillId="6" borderId="61" xfId="0" applyNumberFormat="1" applyFont="1" applyFill="1" applyBorder="1" applyAlignment="1" applyProtection="1">
      <alignment horizontal="center" vertical="center"/>
    </xf>
    <xf numFmtId="49" fontId="57" fillId="6" borderId="23" xfId="0" applyNumberFormat="1" applyFont="1" applyFill="1" applyBorder="1" applyAlignment="1" applyProtection="1">
      <alignment horizontal="left" vertical="center"/>
    </xf>
    <xf numFmtId="0" fontId="57" fillId="6" borderId="1" xfId="0" applyFont="1" applyFill="1" applyBorder="1" applyAlignment="1" applyProtection="1">
      <alignment horizontal="center" vertical="center"/>
    </xf>
    <xf numFmtId="181" fontId="52"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7" fillId="6" borderId="48"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xf>
    <xf numFmtId="181" fontId="52" fillId="6" borderId="8" xfId="0" applyNumberFormat="1" applyFont="1" applyFill="1" applyBorder="1" applyAlignment="1" applyProtection="1">
      <alignment horizontal="center" vertical="center"/>
    </xf>
    <xf numFmtId="181" fontId="52" fillId="6" borderId="24" xfId="0" applyNumberFormat="1" applyFont="1" applyFill="1" applyBorder="1" applyAlignment="1" applyProtection="1">
      <alignment horizontal="center" vertical="center"/>
    </xf>
    <xf numFmtId="181" fontId="52" fillId="6" borderId="48" xfId="0" applyNumberFormat="1" applyFont="1" applyFill="1" applyBorder="1" applyAlignment="1" applyProtection="1">
      <alignment horizontal="center" vertical="center" wrapText="1"/>
    </xf>
    <xf numFmtId="0" fontId="52" fillId="6" borderId="1" xfId="0" applyFont="1" applyFill="1" applyBorder="1" applyAlignment="1" applyProtection="1">
      <alignment vertical="center" wrapText="1"/>
    </xf>
    <xf numFmtId="0" fontId="52" fillId="6" borderId="13" xfId="0" applyFont="1" applyFill="1" applyBorder="1" applyAlignment="1" applyProtection="1">
      <alignment horizontal="left" vertical="center" wrapText="1"/>
    </xf>
    <xf numFmtId="0" fontId="52" fillId="6" borderId="24" xfId="0" applyFont="1" applyFill="1" applyBorder="1" applyAlignment="1" applyProtection="1">
      <alignment horizontal="center"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horizontal="left" vertical="center" wrapText="1"/>
    </xf>
    <xf numFmtId="10" fontId="57" fillId="6" borderId="24" xfId="0" applyNumberFormat="1" applyFont="1" applyFill="1" applyBorder="1" applyAlignment="1" applyProtection="1">
      <alignment horizontal="center" vertical="center"/>
    </xf>
    <xf numFmtId="0" fontId="52" fillId="6" borderId="1" xfId="0" applyFont="1" applyFill="1" applyBorder="1" applyAlignment="1" applyProtection="1">
      <alignment vertical="center"/>
    </xf>
    <xf numFmtId="183" fontId="57" fillId="6" borderId="24" xfId="0" applyNumberFormat="1" applyFont="1" applyFill="1" applyBorder="1" applyAlignment="1" applyProtection="1">
      <alignment horizontal="center" vertical="center"/>
    </xf>
    <xf numFmtId="10" fontId="52" fillId="6" borderId="24" xfId="0" applyNumberFormat="1" applyFont="1" applyFill="1" applyBorder="1" applyAlignment="1" applyProtection="1">
      <alignment horizontal="center" vertical="center"/>
    </xf>
    <xf numFmtId="0" fontId="52" fillId="6" borderId="15" xfId="0" applyFont="1" applyFill="1" applyBorder="1" applyAlignment="1" applyProtection="1">
      <alignment horizontal="left" vertical="center" wrapText="1"/>
    </xf>
    <xf numFmtId="179" fontId="57" fillId="6" borderId="24"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7" fillId="6" borderId="32" xfId="0" applyFont="1" applyFill="1" applyBorder="1" applyAlignment="1" applyProtection="1">
      <alignment horizontal="left" vertical="center"/>
    </xf>
    <xf numFmtId="0" fontId="57" fillId="6" borderId="32" xfId="0" applyFont="1" applyFill="1" applyBorder="1" applyAlignment="1" applyProtection="1">
      <alignment horizontal="center" vertical="center"/>
    </xf>
    <xf numFmtId="0" fontId="52" fillId="6" borderId="32" xfId="0" applyFont="1" applyFill="1" applyBorder="1" applyAlignment="1" applyProtection="1">
      <alignment vertical="center"/>
    </xf>
    <xf numFmtId="0" fontId="52" fillId="6" borderId="32" xfId="0" applyFont="1" applyFill="1" applyBorder="1" applyAlignment="1" applyProtection="1">
      <alignment horizontal="left" vertical="center"/>
    </xf>
    <xf numFmtId="179" fontId="57" fillId="6" borderId="49" xfId="0" applyNumberFormat="1" applyFont="1" applyFill="1" applyBorder="1" applyAlignment="1" applyProtection="1">
      <alignment horizontal="center" vertical="center"/>
    </xf>
    <xf numFmtId="0" fontId="58" fillId="6" borderId="1" xfId="0" applyFont="1" applyFill="1" applyBorder="1" applyAlignment="1" applyProtection="1">
      <alignment horizontal="left"/>
    </xf>
    <xf numFmtId="186" fontId="58" fillId="6" borderId="1" xfId="0" applyNumberFormat="1" applyFont="1" applyFill="1" applyBorder="1" applyAlignment="1" applyProtection="1">
      <alignment horizontal="center"/>
    </xf>
    <xf numFmtId="0" fontId="58" fillId="6" borderId="1" xfId="0" applyFont="1" applyFill="1" applyBorder="1" applyAlignment="1" applyProtection="1">
      <alignment vertical="center" wrapText="1"/>
    </xf>
    <xf numFmtId="181" fontId="57"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5" fillId="6" borderId="1" xfId="0" applyFont="1" applyFill="1" applyBorder="1" applyAlignment="1" applyProtection="1">
      <alignment horizontal="center"/>
    </xf>
    <xf numFmtId="0" fontId="63"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7" fillId="6" borderId="36" xfId="0" applyFont="1" applyFill="1" applyBorder="1" applyAlignment="1" applyProtection="1">
      <alignment horizontal="right" vertical="center"/>
    </xf>
    <xf numFmtId="0" fontId="67" fillId="6" borderId="0" xfId="0" applyFont="1" applyFill="1" applyAlignment="1" applyProtection="1">
      <alignment horizontal="center" vertical="center"/>
    </xf>
    <xf numFmtId="0" fontId="68" fillId="0" borderId="0" xfId="0"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2" fillId="6" borderId="13" xfId="0" applyFont="1" applyFill="1" applyBorder="1" applyAlignment="1" applyProtection="1">
      <alignment horizontal="right" vertical="center"/>
    </xf>
    <xf numFmtId="0" fontId="62" fillId="6" borderId="13" xfId="0" applyFont="1" applyFill="1" applyBorder="1" applyAlignment="1" applyProtection="1">
      <alignment horizontal="center" vertical="center"/>
    </xf>
    <xf numFmtId="0" fontId="55" fillId="6" borderId="16" xfId="0" applyFont="1" applyFill="1" applyBorder="1" applyAlignment="1" applyProtection="1">
      <alignment vertical="center" wrapText="1"/>
    </xf>
    <xf numFmtId="0" fontId="55" fillId="6" borderId="19" xfId="0" applyFont="1" applyFill="1" applyBorder="1" applyAlignment="1" applyProtection="1">
      <alignment vertical="center" wrapText="1"/>
    </xf>
    <xf numFmtId="0" fontId="56" fillId="0" borderId="0" xfId="0" applyFont="1" applyFill="1" applyAlignment="1" applyProtection="1">
      <alignment horizontal="center" vertical="center"/>
      <protection locked="0"/>
    </xf>
    <xf numFmtId="0" fontId="55" fillId="6" borderId="1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5" fillId="6" borderId="42"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1" fillId="6" borderId="63" xfId="0" applyFont="1" applyFill="1" applyBorder="1" applyAlignment="1" applyProtection="1">
      <alignment vertical="center" wrapText="1"/>
    </xf>
    <xf numFmtId="0" fontId="51" fillId="6" borderId="64" xfId="0" applyFont="1" applyFill="1" applyBorder="1" applyAlignment="1" applyProtection="1">
      <alignment vertical="center" wrapText="1"/>
    </xf>
    <xf numFmtId="184" fontId="49" fillId="6" borderId="26" xfId="0" applyNumberFormat="1" applyFont="1" applyFill="1" applyBorder="1" applyAlignment="1" applyProtection="1">
      <alignment horizontal="center" vertical="center" wrapText="1"/>
    </xf>
    <xf numFmtId="0" fontId="49" fillId="6" borderId="67" xfId="0" applyNumberFormat="1" applyFont="1" applyFill="1" applyBorder="1" applyAlignment="1" applyProtection="1">
      <alignment horizontal="center" vertical="center" wrapText="1"/>
    </xf>
    <xf numFmtId="184" fontId="49" fillId="0" borderId="70" xfId="0" applyNumberFormat="1" applyFont="1" applyFill="1" applyBorder="1" applyAlignment="1" applyProtection="1">
      <alignment horizontal="center" vertical="center" wrapText="1"/>
      <protection locked="0"/>
    </xf>
    <xf numFmtId="0" fontId="49" fillId="6" borderId="34" xfId="0" applyNumberFormat="1" applyFont="1" applyFill="1" applyBorder="1" applyAlignment="1" applyProtection="1">
      <alignment horizontal="center" vertical="center" wrapText="1"/>
    </xf>
    <xf numFmtId="49" fontId="49" fillId="2" borderId="26"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0" fontId="49" fillId="0" borderId="51" xfId="0" applyNumberFormat="1" applyFont="1" applyFill="1" applyBorder="1" applyAlignment="1" applyProtection="1">
      <alignment horizontal="center" vertical="center" wrapText="1"/>
      <protection locked="0"/>
    </xf>
    <xf numFmtId="49" fontId="49" fillId="2" borderId="30" xfId="0" applyNumberFormat="1" applyFont="1" applyFill="1" applyBorder="1" applyAlignment="1" applyProtection="1">
      <alignment horizontal="center" vertical="center" wrapText="1"/>
      <protection locked="0"/>
    </xf>
    <xf numFmtId="0" fontId="49" fillId="6" borderId="28" xfId="0" applyNumberFormat="1" applyFont="1" applyFill="1" applyBorder="1" applyAlignment="1" applyProtection="1">
      <alignment horizontal="center" vertical="center" wrapText="1"/>
    </xf>
    <xf numFmtId="49" fontId="49" fillId="2" borderId="6" xfId="0" applyNumberFormat="1"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protection locked="0"/>
    </xf>
    <xf numFmtId="0" fontId="71" fillId="6" borderId="14" xfId="0" applyFont="1" applyFill="1" applyBorder="1" applyAlignment="1" applyProtection="1">
      <alignment vertical="center" wrapText="1"/>
    </xf>
    <xf numFmtId="0" fontId="49" fillId="6" borderId="5" xfId="0" applyFont="1" applyFill="1" applyBorder="1" applyAlignment="1" applyProtection="1">
      <alignment horizontal="center" vertical="center" wrapText="1"/>
    </xf>
    <xf numFmtId="49" fontId="49" fillId="2" borderId="23" xfId="0" applyNumberFormat="1" applyFont="1" applyFill="1" applyBorder="1" applyAlignment="1" applyProtection="1">
      <alignment horizontal="center" vertical="center" wrapText="1"/>
      <protection locked="0"/>
    </xf>
    <xf numFmtId="49" fontId="49" fillId="2" borderId="3"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wrapText="1"/>
    </xf>
    <xf numFmtId="0" fontId="49" fillId="0" borderId="23" xfId="0" applyNumberFormat="1" applyFont="1" applyFill="1" applyBorder="1" applyAlignment="1" applyProtection="1">
      <alignment horizontal="center" vertical="center" wrapText="1"/>
      <protection locked="0"/>
    </xf>
    <xf numFmtId="0" fontId="49" fillId="0" borderId="3" xfId="0" applyNumberFormat="1"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wrapText="1"/>
    </xf>
    <xf numFmtId="0" fontId="49" fillId="0" borderId="41" xfId="0" applyNumberFormat="1" applyFont="1" applyFill="1" applyBorder="1" applyAlignment="1" applyProtection="1">
      <alignment horizontal="center" vertical="center" wrapText="1"/>
      <protection locked="0"/>
    </xf>
    <xf numFmtId="0" fontId="49" fillId="6" borderId="71" xfId="0" applyNumberFormat="1" applyFont="1" applyFill="1" applyBorder="1" applyAlignment="1" applyProtection="1">
      <alignment horizontal="center" vertical="center" wrapText="1"/>
    </xf>
    <xf numFmtId="0" fontId="56" fillId="0" borderId="37" xfId="0" applyNumberFormat="1" applyFont="1" applyFill="1" applyBorder="1" applyAlignment="1" applyProtection="1">
      <alignment horizontal="center" vertical="center" wrapText="1"/>
      <protection locked="0"/>
    </xf>
    <xf numFmtId="0" fontId="56" fillId="6" borderId="24" xfId="0" applyNumberFormat="1" applyFont="1" applyFill="1" applyBorder="1" applyAlignment="1" applyProtection="1">
      <alignment horizontal="center" vertical="center" wrapText="1"/>
    </xf>
    <xf numFmtId="0" fontId="55" fillId="6" borderId="12" xfId="0" applyFont="1" applyFill="1" applyBorder="1" applyAlignment="1" applyProtection="1">
      <alignment vertical="center" wrapText="1"/>
    </xf>
    <xf numFmtId="0" fontId="56" fillId="0" borderId="38" xfId="0" applyNumberFormat="1" applyFont="1" applyFill="1" applyBorder="1" applyAlignment="1" applyProtection="1">
      <alignment horizontal="center" vertical="center" wrapText="1"/>
      <protection locked="0"/>
    </xf>
    <xf numFmtId="0" fontId="56" fillId="6" borderId="49" xfId="0" applyNumberFormat="1" applyFont="1" applyFill="1" applyBorder="1" applyAlignment="1" applyProtection="1">
      <alignment horizontal="center" vertical="center" wrapText="1"/>
    </xf>
    <xf numFmtId="0" fontId="56" fillId="6" borderId="33" xfId="0" applyNumberFormat="1" applyFont="1" applyFill="1" applyBorder="1" applyAlignment="1" applyProtection="1">
      <alignment horizontal="center" vertical="center" wrapText="1"/>
    </xf>
    <xf numFmtId="0" fontId="55" fillId="6" borderId="40" xfId="0" applyFont="1" applyFill="1" applyBorder="1" applyAlignment="1" applyProtection="1">
      <alignment vertical="center" wrapText="1"/>
    </xf>
    <xf numFmtId="0" fontId="56" fillId="6" borderId="62" xfId="0" applyNumberFormat="1" applyFont="1" applyFill="1" applyBorder="1" applyAlignment="1" applyProtection="1">
      <alignment horizontal="center" vertical="center" wrapText="1"/>
    </xf>
    <xf numFmtId="49" fontId="56" fillId="0" borderId="39" xfId="0" applyNumberFormat="1" applyFont="1" applyFill="1" applyBorder="1" applyAlignment="1" applyProtection="1">
      <alignment horizontal="center" vertical="center" wrapText="1"/>
      <protection locked="0"/>
    </xf>
    <xf numFmtId="0" fontId="56" fillId="6" borderId="29" xfId="0" applyNumberFormat="1" applyFont="1" applyFill="1" applyBorder="1" applyAlignment="1" applyProtection="1">
      <alignment horizontal="center" vertical="center" wrapText="1"/>
    </xf>
    <xf numFmtId="49" fontId="56" fillId="0" borderId="40" xfId="0" applyNumberFormat="1" applyFont="1" applyFill="1" applyBorder="1" applyAlignment="1" applyProtection="1">
      <alignment horizontal="center" vertical="center" wrapText="1"/>
      <protection locked="0"/>
    </xf>
    <xf numFmtId="0" fontId="63" fillId="0" borderId="72" xfId="0" applyNumberFormat="1" applyFont="1" applyFill="1" applyBorder="1" applyAlignment="1" applyProtection="1">
      <alignment horizontal="center" vertical="center" wrapText="1"/>
      <protection locked="0"/>
    </xf>
    <xf numFmtId="0" fontId="56" fillId="6" borderId="0" xfId="0" applyFont="1" applyFill="1" applyBorder="1" applyAlignment="1" applyProtection="1">
      <alignment horizontal="center" vertical="center"/>
    </xf>
    <xf numFmtId="0" fontId="56" fillId="2" borderId="41" xfId="0" applyNumberFormat="1" applyFont="1" applyFill="1" applyBorder="1" applyAlignment="1" applyProtection="1">
      <alignment horizontal="center" vertical="center" wrapText="1"/>
      <protection locked="0"/>
    </xf>
    <xf numFmtId="0" fontId="56" fillId="6" borderId="8"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3" xfId="0" applyNumberFormat="1"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49" fontId="56" fillId="0" borderId="35" xfId="0" applyNumberFormat="1" applyFont="1" applyFill="1" applyBorder="1" applyAlignment="1" applyProtection="1">
      <alignment horizontal="center" vertical="center" wrapText="1"/>
      <protection locked="0"/>
    </xf>
    <xf numFmtId="0" fontId="56" fillId="6" borderId="58" xfId="0" applyNumberFormat="1" applyFont="1" applyFill="1" applyBorder="1" applyAlignment="1" applyProtection="1">
      <alignment horizontal="center" vertical="center" wrapText="1"/>
    </xf>
    <xf numFmtId="49" fontId="56" fillId="0" borderId="14" xfId="0" applyNumberFormat="1" applyFont="1" applyFill="1" applyBorder="1" applyAlignment="1" applyProtection="1">
      <alignment horizontal="center" vertical="center" wrapText="1"/>
      <protection locked="0"/>
    </xf>
    <xf numFmtId="0" fontId="56" fillId="6" borderId="61" xfId="0" applyNumberFormat="1" applyFont="1" applyFill="1" applyBorder="1" applyAlignment="1" applyProtection="1">
      <alignment horizontal="center" vertical="center" wrapText="1"/>
    </xf>
    <xf numFmtId="0" fontId="49" fillId="6" borderId="4" xfId="0" applyFont="1" applyFill="1" applyBorder="1" applyAlignment="1" applyProtection="1">
      <alignment horizontal="center" vertical="center" wrapText="1"/>
    </xf>
    <xf numFmtId="49" fontId="56" fillId="0" borderId="22" xfId="0" applyNumberFormat="1" applyFont="1" applyFill="1" applyBorder="1" applyAlignment="1" applyProtection="1">
      <alignment horizontal="center" vertical="center" wrapText="1"/>
      <protection locked="0"/>
    </xf>
    <xf numFmtId="0" fontId="56" fillId="6" borderId="46" xfId="0" applyNumberFormat="1" applyFont="1" applyFill="1" applyBorder="1" applyAlignment="1" applyProtection="1">
      <alignment horizontal="center" vertical="center" wrapText="1"/>
    </xf>
    <xf numFmtId="49" fontId="56" fillId="0" borderId="11" xfId="0" applyNumberFormat="1" applyFont="1" applyFill="1" applyBorder="1" applyAlignment="1" applyProtection="1">
      <alignment horizontal="center" vertical="center" wrapText="1"/>
      <protection locked="0"/>
    </xf>
    <xf numFmtId="0" fontId="56" fillId="2" borderId="23" xfId="0" applyNumberFormat="1" applyFont="1" applyFill="1" applyBorder="1" applyAlignment="1" applyProtection="1">
      <alignment horizontal="center" vertical="center" wrapText="1"/>
      <protection locked="0"/>
    </xf>
    <xf numFmtId="0" fontId="56" fillId="6" borderId="5" xfId="0" applyNumberFormat="1" applyFont="1" applyFill="1" applyBorder="1" applyAlignment="1" applyProtection="1">
      <alignment horizontal="center" vertical="center" wrapText="1"/>
    </xf>
    <xf numFmtId="0" fontId="49" fillId="6" borderId="8" xfId="0" applyNumberFormat="1" applyFont="1" applyFill="1" applyBorder="1" applyAlignment="1" applyProtection="1">
      <alignment horizontal="center" vertical="center" wrapText="1"/>
    </xf>
    <xf numFmtId="49" fontId="49" fillId="0" borderId="7" xfId="0" applyNumberFormat="1" applyFont="1" applyFill="1" applyBorder="1" applyAlignment="1" applyProtection="1">
      <alignment horizontal="center" vertical="center" wrapText="1"/>
      <protection locked="0"/>
    </xf>
    <xf numFmtId="0" fontId="49" fillId="6" borderId="4" xfId="0" applyNumberFormat="1" applyFont="1" applyFill="1" applyBorder="1" applyAlignment="1" applyProtection="1">
      <alignment horizontal="center" vertical="center" wrapText="1"/>
    </xf>
    <xf numFmtId="49" fontId="49" fillId="0" borderId="41" xfId="0" applyNumberFormat="1" applyFont="1" applyFill="1" applyBorder="1" applyAlignment="1" applyProtection="1">
      <alignment horizontal="center" vertical="center" wrapText="1"/>
      <protection locked="0"/>
    </xf>
    <xf numFmtId="0" fontId="55" fillId="6" borderId="40" xfId="0" applyFont="1" applyFill="1" applyBorder="1" applyAlignment="1" applyProtection="1">
      <alignment vertical="center" textRotation="255" wrapText="1"/>
    </xf>
    <xf numFmtId="0" fontId="56" fillId="6" borderId="10" xfId="0" applyNumberFormat="1" applyFont="1" applyFill="1" applyBorder="1" applyAlignment="1" applyProtection="1">
      <alignment horizontal="center" vertical="center" wrapText="1"/>
    </xf>
    <xf numFmtId="0" fontId="74" fillId="6" borderId="14" xfId="0"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textRotation="255" wrapText="1"/>
    </xf>
    <xf numFmtId="0" fontId="51" fillId="6" borderId="14" xfId="0" applyFont="1" applyFill="1" applyBorder="1" applyAlignment="1" applyProtection="1">
      <alignment vertical="center" textRotation="255" wrapText="1"/>
    </xf>
    <xf numFmtId="9" fontId="49" fillId="0" borderId="37" xfId="0" applyNumberFormat="1" applyFont="1" applyFill="1" applyBorder="1" applyAlignment="1" applyProtection="1">
      <alignment horizontal="center" vertical="center" wrapText="1"/>
      <protection locked="0"/>
    </xf>
    <xf numFmtId="9" fontId="49" fillId="0" borderId="3" xfId="0" applyNumberFormat="1" applyFont="1" applyFill="1" applyBorder="1" applyAlignment="1" applyProtection="1">
      <alignment horizontal="center" vertical="center" wrapText="1"/>
      <protection locked="0"/>
    </xf>
    <xf numFmtId="9" fontId="49" fillId="0" borderId="23"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55" fillId="6" borderId="12" xfId="0" applyFont="1" applyFill="1" applyBorder="1" applyAlignment="1" applyProtection="1">
      <alignment vertical="center" textRotation="255" wrapText="1"/>
    </xf>
    <xf numFmtId="49" fontId="55" fillId="6" borderId="51" xfId="0" applyNumberFormat="1" applyFont="1" applyFill="1" applyBorder="1" applyAlignment="1" applyProtection="1">
      <alignment vertical="center"/>
    </xf>
    <xf numFmtId="49" fontId="55" fillId="6" borderId="20" xfId="0" applyNumberFormat="1" applyFont="1" applyFill="1" applyBorder="1" applyAlignment="1" applyProtection="1">
      <alignment vertical="center"/>
    </xf>
    <xf numFmtId="0" fontId="55" fillId="6" borderId="21" xfId="0" applyFont="1" applyFill="1" applyBorder="1" applyAlignment="1" applyProtection="1">
      <alignment vertical="center" wrapText="1"/>
    </xf>
    <xf numFmtId="0" fontId="75" fillId="3" borderId="20" xfId="0" applyFont="1" applyFill="1" applyBorder="1" applyAlignment="1" applyProtection="1">
      <alignment vertical="center" wrapText="1"/>
      <protection locked="0"/>
    </xf>
    <xf numFmtId="0" fontId="75" fillId="6" borderId="20" xfId="0" applyFont="1" applyFill="1" applyBorder="1" applyAlignment="1" applyProtection="1">
      <alignment vertical="center" wrapText="1"/>
    </xf>
    <xf numFmtId="0" fontId="75" fillId="3" borderId="51" xfId="0" applyFont="1" applyFill="1" applyBorder="1" applyAlignment="1" applyProtection="1">
      <alignment vertical="center" wrapText="1"/>
      <protection locked="0"/>
    </xf>
    <xf numFmtId="0" fontId="75" fillId="6" borderId="21" xfId="0" applyFont="1" applyFill="1" applyBorder="1" applyAlignment="1" applyProtection="1">
      <alignment vertical="center" wrapText="1"/>
    </xf>
    <xf numFmtId="49" fontId="55" fillId="6" borderId="38" xfId="0" applyNumberFormat="1" applyFont="1" applyFill="1" applyBorder="1" applyAlignment="1" applyProtection="1">
      <alignment vertical="center"/>
    </xf>
    <xf numFmtId="49" fontId="55" fillId="6" borderId="52" xfId="0" applyNumberFormat="1" applyFont="1" applyFill="1" applyBorder="1" applyAlignment="1" applyProtection="1">
      <alignment vertical="center"/>
    </xf>
    <xf numFmtId="186" fontId="55" fillId="6" borderId="38" xfId="0" applyNumberFormat="1" applyFont="1" applyFill="1" applyBorder="1" applyAlignment="1" applyProtection="1">
      <alignment vertical="center" wrapText="1"/>
    </xf>
    <xf numFmtId="0" fontId="55" fillId="6" borderId="68" xfId="0" applyFont="1" applyFill="1" applyBorder="1" applyAlignment="1" applyProtection="1">
      <alignment vertical="center" wrapText="1"/>
    </xf>
    <xf numFmtId="186" fontId="55" fillId="6" borderId="52" xfId="0" applyNumberFormat="1" applyFont="1" applyFill="1" applyBorder="1" applyAlignment="1" applyProtection="1">
      <alignment vertical="center" wrapText="1"/>
    </xf>
    <xf numFmtId="0" fontId="55" fillId="6" borderId="52" xfId="0" applyFont="1" applyFill="1" applyBorder="1" applyAlignment="1" applyProtection="1">
      <alignment vertical="center" wrapText="1"/>
    </xf>
    <xf numFmtId="49" fontId="55" fillId="0" borderId="42" xfId="0" applyNumberFormat="1" applyFont="1" applyFill="1" applyBorder="1" applyAlignment="1" applyProtection="1">
      <alignment vertical="center"/>
      <protection locked="0"/>
    </xf>
    <xf numFmtId="49" fontId="55" fillId="0" borderId="43" xfId="0" applyNumberFormat="1" applyFont="1" applyFill="1" applyBorder="1" applyAlignment="1" applyProtection="1">
      <alignment vertical="center"/>
      <protection locked="0"/>
    </xf>
    <xf numFmtId="186" fontId="55" fillId="6" borderId="47" xfId="0" applyNumberFormat="1" applyFont="1" applyFill="1" applyBorder="1" applyAlignment="1" applyProtection="1">
      <alignment vertical="center" wrapText="1"/>
    </xf>
    <xf numFmtId="189" fontId="56" fillId="0" borderId="0" xfId="0" applyNumberFormat="1" applyFont="1" applyFill="1" applyAlignment="1" applyProtection="1">
      <alignment horizontal="center" vertical="center"/>
      <protection locked="0"/>
    </xf>
    <xf numFmtId="181" fontId="56" fillId="0" borderId="0" xfId="0" applyNumberFormat="1" applyFont="1" applyFill="1" applyAlignment="1" applyProtection="1">
      <alignment horizontal="center" vertical="center"/>
      <protection locked="0"/>
    </xf>
    <xf numFmtId="0" fontId="55" fillId="6" borderId="1"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181" fontId="56" fillId="6" borderId="5" xfId="0" applyNumberFormat="1" applyFont="1" applyFill="1" applyBorder="1" applyAlignment="1" applyProtection="1">
      <alignment horizontal="center" vertical="center"/>
    </xf>
    <xf numFmtId="181" fontId="56" fillId="6" borderId="3" xfId="0" applyNumberFormat="1" applyFont="1" applyFill="1" applyBorder="1" applyAlignment="1" applyProtection="1">
      <alignment vertical="center"/>
    </xf>
    <xf numFmtId="0" fontId="55" fillId="6" borderId="3" xfId="0"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56" fillId="0" borderId="0" xfId="0" applyFont="1" applyBorder="1" applyAlignment="1" applyProtection="1">
      <protection locked="0"/>
    </xf>
    <xf numFmtId="9" fontId="49" fillId="0" borderId="0" xfId="0" applyNumberFormat="1" applyFont="1" applyFill="1" applyBorder="1" applyAlignment="1" applyProtection="1">
      <alignment horizontal="center" vertical="center" wrapText="1"/>
      <protection locked="0"/>
    </xf>
    <xf numFmtId="0" fontId="51" fillId="6" borderId="16" xfId="0" applyNumberFormat="1" applyFont="1" applyFill="1" applyBorder="1" applyAlignment="1" applyProtection="1">
      <alignment vertical="center" wrapText="1"/>
    </xf>
    <xf numFmtId="0" fontId="51" fillId="6" borderId="39" xfId="0" applyNumberFormat="1" applyFont="1" applyFill="1" applyBorder="1" applyAlignment="1" applyProtection="1">
      <alignment vertical="center" wrapText="1"/>
    </xf>
    <xf numFmtId="49" fontId="49" fillId="0" borderId="0" xfId="0" applyNumberFormat="1" applyFont="1" applyFill="1" applyBorder="1" applyAlignment="1" applyProtection="1">
      <alignment horizontal="center" vertical="center"/>
      <protection locked="0"/>
    </xf>
    <xf numFmtId="49" fontId="49"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35" xfId="0" applyNumberFormat="1" applyFont="1" applyFill="1" applyBorder="1" applyAlignment="1" applyProtection="1">
      <alignment vertical="center" wrapText="1"/>
    </xf>
    <xf numFmtId="0" fontId="49" fillId="0" borderId="22"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49" fillId="0" borderId="46" xfId="0" applyNumberFormat="1" applyFont="1" applyFill="1" applyBorder="1" applyAlignment="1" applyProtection="1">
      <alignment horizontal="center" vertical="center" wrapText="1"/>
      <protection locked="0"/>
    </xf>
    <xf numFmtId="0" fontId="49" fillId="0" borderId="61" xfId="0" applyNumberFormat="1" applyFont="1" applyFill="1" applyBorder="1" applyAlignment="1" applyProtection="1">
      <alignment horizontal="center" vertical="center" wrapText="1"/>
      <protection locked="0"/>
    </xf>
    <xf numFmtId="0" fontId="51" fillId="6" borderId="42" xfId="0" applyNumberFormat="1" applyFont="1" applyFill="1" applyBorder="1" applyAlignment="1" applyProtection="1">
      <alignment vertical="center"/>
    </xf>
    <xf numFmtId="0" fontId="51" fillId="6" borderId="73" xfId="0" applyNumberFormat="1" applyFont="1" applyFill="1" applyBorder="1" applyAlignment="1" applyProtection="1">
      <alignment vertical="center" wrapText="1"/>
    </xf>
    <xf numFmtId="0" fontId="49" fillId="0" borderId="73"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49" fillId="0" borderId="75" xfId="0" applyNumberFormat="1" applyFont="1" applyFill="1" applyBorder="1" applyAlignment="1" applyProtection="1">
      <alignment horizontal="center" vertical="center" wrapText="1"/>
      <protection locked="0"/>
    </xf>
    <xf numFmtId="0" fontId="49" fillId="0" borderId="76"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vertical="center" wrapText="1"/>
    </xf>
    <xf numFmtId="0" fontId="49" fillId="6" borderId="7" xfId="0" applyNumberFormat="1" applyFont="1" applyFill="1" applyBorder="1" applyAlignment="1" applyProtection="1">
      <alignment horizontal="center" vertical="center" wrapText="1"/>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5" fillId="6" borderId="40" xfId="0" applyNumberFormat="1" applyFont="1" applyFill="1" applyBorder="1" applyAlignment="1" applyProtection="1">
      <alignment vertical="center" wrapText="1"/>
    </xf>
    <xf numFmtId="0" fontId="49" fillId="6" borderId="17"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wrapText="1"/>
    </xf>
    <xf numFmtId="0" fontId="54" fillId="6" borderId="77" xfId="0" applyNumberFormat="1" applyFont="1" applyFill="1" applyBorder="1" applyAlignment="1" applyProtection="1">
      <alignment horizontal="center" vertical="center" wrapText="1"/>
    </xf>
    <xf numFmtId="0" fontId="56" fillId="0" borderId="78" xfId="0" applyNumberFormat="1" applyFont="1" applyFill="1" applyBorder="1" applyAlignment="1" applyProtection="1">
      <alignment horizontal="center" vertical="center" wrapText="1"/>
      <protection locked="0"/>
    </xf>
    <xf numFmtId="0" fontId="56" fillId="0" borderId="79" xfId="0" applyNumberFormat="1" applyFont="1" applyFill="1" applyBorder="1" applyAlignment="1" applyProtection="1">
      <alignment horizontal="center" vertical="center" wrapText="1"/>
      <protection locked="0"/>
    </xf>
    <xf numFmtId="0" fontId="49" fillId="6" borderId="57" xfId="0" applyNumberFormat="1" applyFont="1" applyFill="1" applyBorder="1" applyAlignment="1" applyProtection="1">
      <alignment horizontal="center" vertical="center" wrapText="1"/>
    </xf>
    <xf numFmtId="0" fontId="56"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49" fillId="6" borderId="77" xfId="0" applyNumberFormat="1" applyFont="1" applyFill="1" applyBorder="1" applyAlignment="1" applyProtection="1">
      <alignment horizontal="center" vertical="center" wrapText="1"/>
    </xf>
    <xf numFmtId="0" fontId="56" fillId="6" borderId="78" xfId="0" applyNumberFormat="1" applyFont="1" applyFill="1" applyBorder="1" applyAlignment="1" applyProtection="1">
      <alignment horizontal="center" vertical="center" wrapText="1"/>
    </xf>
    <xf numFmtId="0" fontId="56" fillId="6" borderId="79"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6" fillId="6" borderId="2"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protection locked="0"/>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left" vertical="center" wrapText="1"/>
      <protection locked="0"/>
    </xf>
    <xf numFmtId="0" fontId="54" fillId="0" borderId="8"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vertical="center" wrapText="1"/>
      <protection locked="0"/>
    </xf>
    <xf numFmtId="0" fontId="74" fillId="6" borderId="12" xfId="0" applyNumberFormat="1" applyFont="1" applyFill="1" applyBorder="1" applyAlignment="1" applyProtection="1">
      <alignment vertical="center" wrapText="1"/>
    </xf>
    <xf numFmtId="0" fontId="49" fillId="6" borderId="74" xfId="0" applyNumberFormat="1" applyFont="1" applyFill="1" applyBorder="1" applyAlignment="1" applyProtection="1">
      <alignment horizontal="center" vertical="center" wrapText="1"/>
    </xf>
    <xf numFmtId="0" fontId="49" fillId="0" borderId="32"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9"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left" vertical="center" wrapText="1"/>
    </xf>
    <xf numFmtId="0" fontId="73" fillId="6" borderId="10" xfId="0" applyNumberFormat="1" applyFont="1" applyFill="1" applyBorder="1" applyAlignment="1" applyProtection="1">
      <alignment horizontal="center" vertical="center" wrapText="1"/>
    </xf>
    <xf numFmtId="0" fontId="49" fillId="0" borderId="0" xfId="0" applyFont="1" applyFill="1" applyBorder="1" applyAlignment="1" applyProtection="1">
      <alignment vertical="center" wrapText="1"/>
      <protection locked="0"/>
    </xf>
    <xf numFmtId="0" fontId="49" fillId="6" borderId="44"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6" borderId="78" xfId="0" applyNumberFormat="1" applyFont="1" applyFill="1" applyBorder="1" applyAlignment="1" applyProtection="1">
      <alignment horizontal="center" vertical="center" wrapText="1"/>
    </xf>
    <xf numFmtId="0" fontId="56"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56"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49"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textRotation="255" wrapText="1"/>
    </xf>
    <xf numFmtId="0" fontId="54" fillId="6" borderId="44"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left" vertical="center" wrapText="1"/>
    </xf>
    <xf numFmtId="0" fontId="54" fillId="6" borderId="4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186" fontId="62" fillId="6" borderId="13" xfId="0" applyNumberFormat="1" applyFont="1" applyFill="1" applyBorder="1" applyAlignment="1" applyProtection="1">
      <alignment horizontal="right" vertical="center"/>
    </xf>
    <xf numFmtId="189" fontId="49" fillId="6" borderId="3"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6" borderId="41" xfId="0" applyNumberFormat="1" applyFont="1" applyFill="1" applyBorder="1" applyAlignment="1" applyProtection="1">
      <alignment horizontal="center" vertical="center" wrapText="1"/>
    </xf>
    <xf numFmtId="0" fontId="56" fillId="2" borderId="37" xfId="0" applyNumberFormat="1" applyFont="1" applyFill="1" applyBorder="1" applyAlignment="1" applyProtection="1">
      <alignment horizontal="center" vertical="center" wrapText="1"/>
      <protection locked="0"/>
    </xf>
    <xf numFmtId="17" fontId="54" fillId="0" borderId="37" xfId="0" applyNumberFormat="1" applyFont="1" applyFill="1" applyBorder="1" applyAlignment="1" applyProtection="1">
      <alignment horizontal="center" vertical="center" wrapText="1"/>
      <protection locked="0"/>
    </xf>
    <xf numFmtId="0" fontId="54" fillId="0" borderId="37" xfId="0" applyNumberFormat="1" applyFont="1" applyFill="1" applyBorder="1" applyAlignment="1" applyProtection="1">
      <alignment horizontal="center" vertical="center" wrapText="1"/>
      <protection locked="0"/>
    </xf>
    <xf numFmtId="189" fontId="56" fillId="3" borderId="3" xfId="0" applyNumberFormat="1" applyFont="1" applyFill="1" applyBorder="1" applyAlignment="1" applyProtection="1">
      <alignment horizontal="center" vertical="center"/>
      <protection locked="0"/>
    </xf>
    <xf numFmtId="189" fontId="56" fillId="3" borderId="3" xfId="0" applyNumberFormat="1" applyFont="1" applyFill="1" applyBorder="1" applyAlignment="1" applyProtection="1">
      <alignment horizontal="center" vertical="center" wrapText="1"/>
      <protection locked="0"/>
    </xf>
    <xf numFmtId="189" fontId="56" fillId="3" borderId="1" xfId="0" applyNumberFormat="1" applyFont="1" applyFill="1" applyBorder="1" applyAlignment="1" applyProtection="1">
      <alignment horizontal="center" vertical="center" wrapText="1"/>
      <protection locked="0"/>
    </xf>
    <xf numFmtId="0" fontId="49" fillId="6" borderId="45" xfId="0" applyNumberFormat="1" applyFont="1" applyFill="1" applyBorder="1" applyAlignment="1" applyProtection="1">
      <alignment horizontal="center" vertical="center" wrapText="1"/>
    </xf>
    <xf numFmtId="0" fontId="56"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left" vertical="center" wrapText="1"/>
      <protection locked="0"/>
    </xf>
    <xf numFmtId="0" fontId="73"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9" fillId="0" borderId="12" xfId="0" applyNumberFormat="1" applyFont="1" applyFill="1" applyBorder="1" applyAlignment="1" applyProtection="1">
      <alignment horizontal="center" vertical="center" wrapText="1"/>
      <protection locked="0"/>
    </xf>
    <xf numFmtId="0" fontId="49" fillId="6" borderId="6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xf>
    <xf numFmtId="0" fontId="49" fillId="6" borderId="61" xfId="0" applyFont="1" applyFill="1" applyBorder="1" applyAlignment="1" applyProtection="1">
      <alignment horizontal="center" vertical="center" wrapText="1"/>
    </xf>
    <xf numFmtId="0" fontId="49" fillId="6" borderId="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56" fillId="2" borderId="54" xfId="0" applyNumberFormat="1"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56" fillId="6" borderId="57" xfId="0" applyNumberFormat="1"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49" fillId="6" borderId="22" xfId="0" applyNumberFormat="1" applyFont="1" applyFill="1" applyBorder="1" applyAlignment="1" applyProtection="1">
      <alignment horizontal="center" vertical="center" wrapText="1"/>
    </xf>
    <xf numFmtId="0" fontId="49" fillId="6" borderId="20" xfId="0" applyFont="1" applyFill="1" applyBorder="1" applyAlignment="1" applyProtection="1">
      <alignment horizontal="center" vertical="center" wrapText="1"/>
    </xf>
    <xf numFmtId="0" fontId="71" fillId="6" borderId="80" xfId="0" applyFont="1" applyFill="1" applyBorder="1" applyAlignment="1" applyProtection="1">
      <alignment vertical="center" wrapText="1"/>
    </xf>
    <xf numFmtId="0" fontId="49" fillId="6" borderId="54" xfId="0" applyFont="1" applyFill="1" applyBorder="1" applyAlignment="1" applyProtection="1">
      <alignment horizontal="center" vertical="center" wrapText="1"/>
    </xf>
    <xf numFmtId="0" fontId="55" fillId="6" borderId="80" xfId="0" applyFont="1" applyFill="1" applyBorder="1" applyAlignment="1" applyProtection="1">
      <alignment vertical="center" wrapText="1"/>
    </xf>
    <xf numFmtId="0" fontId="49" fillId="0" borderId="36" xfId="0" applyFont="1" applyFill="1" applyBorder="1" applyAlignment="1" applyProtection="1">
      <alignment horizontal="center" vertical="center" wrapText="1"/>
      <protection locked="0"/>
    </xf>
    <xf numFmtId="0" fontId="51" fillId="6" borderId="80" xfId="0"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6" fillId="6" borderId="53" xfId="0" applyFont="1" applyFill="1" applyBorder="1" applyAlignment="1" applyProtection="1">
      <alignment horizontal="center" vertical="center"/>
    </xf>
    <xf numFmtId="0" fontId="49" fillId="0" borderId="61" xfId="0"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wrapText="1"/>
    </xf>
    <xf numFmtId="0" fontId="49" fillId="6" borderId="76" xfId="0" applyNumberFormat="1" applyFont="1" applyFill="1" applyBorder="1" applyAlignment="1" applyProtection="1">
      <alignment horizontal="center" vertical="center" wrapText="1"/>
    </xf>
    <xf numFmtId="0" fontId="49" fillId="6" borderId="75" xfId="0" applyNumberFormat="1" applyFont="1" applyFill="1" applyBorder="1" applyAlignment="1" applyProtection="1">
      <alignment horizontal="center" vertical="center" wrapText="1"/>
    </xf>
    <xf numFmtId="0" fontId="55" fillId="6" borderId="16" xfId="0" applyFont="1" applyFill="1" applyBorder="1" applyAlignment="1" applyProtection="1">
      <alignment vertical="center" textRotation="255" wrapText="1"/>
    </xf>
    <xf numFmtId="0" fontId="74" fillId="6" borderId="18" xfId="0" applyFont="1" applyFill="1" applyBorder="1" applyAlignment="1" applyProtection="1">
      <alignment vertical="center" textRotation="255" wrapText="1"/>
    </xf>
    <xf numFmtId="0" fontId="49" fillId="6" borderId="24" xfId="0" applyFont="1" applyFill="1" applyBorder="1" applyAlignment="1" applyProtection="1">
      <alignment horizontal="center" vertical="center" wrapText="1"/>
    </xf>
    <xf numFmtId="49" fontId="49" fillId="0" borderId="37"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vertical="center" textRotation="255" wrapText="1"/>
    </xf>
    <xf numFmtId="0" fontId="49" fillId="2"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55" fillId="6" borderId="42" xfId="0" applyFont="1" applyFill="1" applyBorder="1" applyAlignment="1" applyProtection="1">
      <alignment vertical="center" textRotation="255" wrapText="1"/>
    </xf>
    <xf numFmtId="0" fontId="56" fillId="6" borderId="15" xfId="0" applyNumberFormat="1" applyFont="1" applyFill="1" applyBorder="1" applyAlignment="1" applyProtection="1">
      <alignment horizontal="center" vertical="center" wrapText="1"/>
    </xf>
    <xf numFmtId="49" fontId="56"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left" vertical="center" wrapText="1"/>
      <protection locked="0"/>
    </xf>
    <xf numFmtId="49" fontId="73" fillId="0" borderId="10" xfId="0" applyNumberFormat="1" applyFont="1" applyFill="1" applyBorder="1" applyAlignment="1" applyProtection="1">
      <alignment horizontal="center" vertical="center" wrapText="1"/>
      <protection locked="0"/>
    </xf>
    <xf numFmtId="0" fontId="49" fillId="6" borderId="53"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56" fillId="6" borderId="28"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left" vertical="center" wrapText="1"/>
    </xf>
    <xf numFmtId="0" fontId="73" fillId="6" borderId="53" xfId="0" applyNumberFormat="1" applyFont="1" applyFill="1" applyBorder="1" applyAlignment="1" applyProtection="1">
      <alignment horizontal="center" vertical="center" wrapText="1"/>
    </xf>
    <xf numFmtId="177" fontId="62" fillId="6" borderId="1" xfId="0" applyNumberFormat="1" applyFont="1" applyFill="1" applyBorder="1" applyAlignment="1" applyProtection="1">
      <alignment horizontal="right" vertical="center"/>
    </xf>
    <xf numFmtId="0" fontId="66" fillId="6" borderId="3" xfId="0" applyNumberFormat="1"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56" fillId="0" borderId="23" xfId="0" applyNumberFormat="1" applyFont="1" applyFill="1" applyBorder="1" applyAlignment="1" applyProtection="1">
      <alignment horizontal="center" vertical="center" wrapText="1"/>
      <protection locked="0"/>
    </xf>
    <xf numFmtId="0" fontId="56" fillId="6" borderId="18" xfId="0" applyFont="1" applyFill="1" applyBorder="1" applyAlignment="1" applyProtection="1">
      <alignment horizontal="center" vertical="center"/>
    </xf>
    <xf numFmtId="0" fontId="74" fillId="6" borderId="42" xfId="0" applyFont="1" applyFill="1" applyBorder="1" applyAlignment="1" applyProtection="1">
      <alignment vertical="center" textRotation="255" wrapText="1"/>
    </xf>
    <xf numFmtId="0" fontId="56" fillId="0" borderId="13" xfId="0" applyNumberFormat="1" applyFont="1" applyFill="1" applyBorder="1" applyAlignment="1" applyProtection="1">
      <alignment horizontal="center" vertical="center" wrapText="1"/>
      <protection locked="0"/>
    </xf>
    <xf numFmtId="0" fontId="56" fillId="0" borderId="25"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76" fillId="6" borderId="3"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right" vertical="center" wrapText="1"/>
    </xf>
    <xf numFmtId="49" fontId="55" fillId="6" borderId="68" xfId="0" applyNumberFormat="1" applyFont="1" applyFill="1" applyBorder="1" applyAlignment="1" applyProtection="1">
      <alignment vertical="center"/>
    </xf>
    <xf numFmtId="14" fontId="56" fillId="6" borderId="6" xfId="0" applyNumberFormat="1" applyFont="1" applyFill="1" applyBorder="1" applyAlignment="1" applyProtection="1">
      <alignment horizontal="left" vertical="center"/>
    </xf>
    <xf numFmtId="176" fontId="56" fillId="6" borderId="9"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56" fillId="6" borderId="10" xfId="0" applyFont="1" applyFill="1" applyBorder="1" applyAlignment="1" applyProtection="1">
      <alignment horizontal="center" vertical="center"/>
    </xf>
    <xf numFmtId="0" fontId="58" fillId="6" borderId="23" xfId="0" applyFont="1" applyFill="1" applyBorder="1" applyAlignment="1" applyProtection="1"/>
    <xf numFmtId="186" fontId="58" fillId="6" borderId="1" xfId="1" applyNumberFormat="1" applyFont="1" applyFill="1" applyBorder="1" applyAlignment="1" applyProtection="1">
      <alignment horizontal="center"/>
    </xf>
    <xf numFmtId="0" fontId="58" fillId="6" borderId="1" xfId="0" applyFont="1" applyFill="1" applyBorder="1" applyAlignment="1" applyProtection="1">
      <alignment horizontal="center"/>
    </xf>
    <xf numFmtId="177" fontId="58" fillId="6" borderId="24" xfId="1" applyNumberFormat="1" applyFont="1" applyFill="1" applyBorder="1" applyAlignment="1" applyProtection="1">
      <alignment horizontal="center"/>
    </xf>
    <xf numFmtId="0" fontId="77" fillId="0" borderId="0" xfId="0" applyFont="1" applyFill="1" applyAlignment="1" applyProtection="1">
      <alignment horizontal="center" vertical="center"/>
      <protection locked="0"/>
    </xf>
    <xf numFmtId="0" fontId="58" fillId="6" borderId="23" xfId="1" applyFont="1" applyFill="1" applyBorder="1" applyAlignment="1" applyProtection="1"/>
    <xf numFmtId="179" fontId="58" fillId="0" borderId="1" xfId="1" applyNumberFormat="1" applyFont="1" applyFill="1" applyBorder="1" applyAlignment="1" applyProtection="1">
      <alignment horizontal="center"/>
      <protection locked="0"/>
    </xf>
    <xf numFmtId="0" fontId="59" fillId="6" borderId="25" xfId="1" applyFont="1" applyFill="1" applyBorder="1" applyAlignment="1" applyProtection="1"/>
    <xf numFmtId="0" fontId="58" fillId="6" borderId="32" xfId="0" applyFont="1" applyFill="1" applyBorder="1" applyAlignment="1" applyProtection="1">
      <alignment horizontal="center"/>
    </xf>
    <xf numFmtId="177" fontId="59" fillId="6" borderId="49" xfId="0" applyNumberFormat="1" applyFont="1" applyFill="1" applyBorder="1" applyAlignment="1" applyProtection="1">
      <alignment horizontal="center"/>
    </xf>
    <xf numFmtId="0" fontId="49" fillId="6" borderId="44" xfId="0" applyNumberFormat="1" applyFont="1" applyFill="1" applyBorder="1" applyAlignment="1" applyProtection="1">
      <alignment horizontal="left" vertical="center" wrapText="1"/>
    </xf>
    <xf numFmtId="0" fontId="56" fillId="0" borderId="61" xfId="0" applyNumberFormat="1" applyFont="1" applyFill="1" applyBorder="1" applyAlignment="1" applyProtection="1">
      <alignment horizontal="center" vertical="center" wrapText="1"/>
      <protection locked="0"/>
    </xf>
    <xf numFmtId="0" fontId="54" fillId="6" borderId="74" xfId="0" applyNumberFormat="1" applyFont="1" applyFill="1" applyBorder="1" applyAlignment="1" applyProtection="1">
      <alignment horizontal="center" vertical="center" wrapText="1"/>
    </xf>
    <xf numFmtId="0" fontId="56" fillId="0" borderId="66" xfId="0" applyNumberFormat="1" applyFont="1" applyFill="1" applyBorder="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6" borderId="16"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6" borderId="31" xfId="0" applyNumberFormat="1" applyFont="1" applyFill="1" applyBorder="1" applyAlignment="1" applyProtection="1">
      <alignment horizontal="center" vertical="center" wrapText="1"/>
    </xf>
    <xf numFmtId="0" fontId="58" fillId="0" borderId="0" xfId="0" applyFont="1" applyFill="1" applyAlignment="1" applyProtection="1">
      <alignment horizontal="center" vertical="center"/>
      <protection locked="0"/>
    </xf>
    <xf numFmtId="0" fontId="52" fillId="6" borderId="18" xfId="0" applyNumberFormat="1" applyFont="1" applyFill="1" applyBorder="1" applyAlignment="1" applyProtection="1">
      <alignment horizontal="center" vertical="center"/>
    </xf>
    <xf numFmtId="0" fontId="52" fillId="0" borderId="23"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3" fillId="6" borderId="59"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52" fillId="0" borderId="56" xfId="0" applyNumberFormat="1" applyFont="1" applyFill="1" applyBorder="1" applyAlignment="1" applyProtection="1">
      <alignment horizontal="center" vertical="center" wrapText="1"/>
      <protection locked="0"/>
    </xf>
    <xf numFmtId="0" fontId="58" fillId="6" borderId="25" xfId="0" applyNumberFormat="1" applyFont="1" applyFill="1" applyBorder="1" applyAlignment="1" applyProtection="1">
      <alignment horizontal="center" vertical="center" wrapText="1"/>
    </xf>
    <xf numFmtId="0" fontId="50" fillId="6" borderId="1" xfId="0" applyFont="1" applyFill="1" applyBorder="1" applyProtection="1">
      <alignment vertical="center"/>
    </xf>
    <xf numFmtId="0" fontId="52" fillId="6"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protection locked="0"/>
    </xf>
    <xf numFmtId="0" fontId="65" fillId="6"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protection locked="0"/>
    </xf>
    <xf numFmtId="0" fontId="65" fillId="0" borderId="1" xfId="0" applyNumberFormat="1" applyFont="1" applyBorder="1" applyAlignment="1" applyProtection="1">
      <alignment horizontal="center" vertical="center"/>
      <protection locked="0"/>
    </xf>
    <xf numFmtId="0" fontId="65" fillId="0" borderId="0" xfId="0" applyFont="1" applyProtection="1">
      <alignment vertical="center"/>
      <protection locked="0"/>
    </xf>
    <xf numFmtId="0" fontId="49" fillId="6" borderId="23" xfId="0" applyFont="1" applyFill="1" applyBorder="1" applyAlignment="1" applyProtection="1">
      <alignment vertical="center"/>
    </xf>
    <xf numFmtId="0" fontId="58" fillId="0" borderId="8" xfId="1" applyNumberFormat="1" applyFont="1" applyFill="1" applyBorder="1" applyAlignment="1" applyProtection="1">
      <alignment horizontal="center" vertical="center"/>
      <protection locked="0"/>
    </xf>
    <xf numFmtId="0" fontId="58" fillId="0" borderId="61" xfId="1" applyNumberFormat="1" applyFont="1" applyFill="1" applyBorder="1" applyAlignment="1" applyProtection="1">
      <alignment horizontal="center" vertical="center"/>
      <protection locked="0"/>
    </xf>
    <xf numFmtId="181" fontId="52" fillId="0" borderId="10" xfId="0" applyNumberFormat="1" applyFont="1" applyFill="1" applyBorder="1" applyAlignment="1" applyProtection="1">
      <alignment horizontal="center" vertical="center"/>
      <protection locked="0"/>
    </xf>
    <xf numFmtId="0" fontId="51"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1" fillId="6" borderId="66" xfId="0" applyNumberFormat="1" applyFont="1" applyFill="1" applyBorder="1" applyAlignment="1" applyProtection="1">
      <alignment vertical="center"/>
    </xf>
    <xf numFmtId="179" fontId="51" fillId="6" borderId="32" xfId="0" applyNumberFormat="1" applyFont="1" applyFill="1" applyBorder="1" applyAlignment="1" applyProtection="1">
      <alignment vertical="center"/>
    </xf>
    <xf numFmtId="179" fontId="51" fillId="6" borderId="49" xfId="0" applyNumberFormat="1" applyFont="1" applyFill="1" applyBorder="1" applyAlignment="1" applyProtection="1">
      <alignment vertical="center"/>
    </xf>
    <xf numFmtId="0" fontId="52"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2"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65" fillId="6" borderId="0" xfId="0" applyFont="1" applyFill="1" applyBorder="1" applyAlignment="1" applyProtection="1">
      <alignment horizontal="center" vertical="center"/>
    </xf>
    <xf numFmtId="0" fontId="52" fillId="6" borderId="0" xfId="0" applyFont="1" applyFill="1" applyBorder="1" applyAlignment="1" applyProtection="1">
      <alignment vertical="center"/>
    </xf>
    <xf numFmtId="0" fontId="58" fillId="6" borderId="0" xfId="0" applyFont="1" applyFill="1" applyBorder="1" applyAlignment="1" applyProtection="1">
      <alignment horizontal="left" vertical="center"/>
    </xf>
    <xf numFmtId="179" fontId="65" fillId="6" borderId="0" xfId="0" applyNumberFormat="1" applyFont="1" applyFill="1" applyBorder="1" applyAlignment="1" applyProtection="1">
      <alignment horizontal="center" vertical="center"/>
    </xf>
    <xf numFmtId="0" fontId="52" fillId="6" borderId="0" xfId="0" applyFont="1" applyFill="1" applyAlignment="1" applyProtection="1">
      <alignment horizontal="left" vertical="center"/>
    </xf>
    <xf numFmtId="0" fontId="68" fillId="6" borderId="0" xfId="0" applyFont="1" applyFill="1" applyAlignment="1" applyProtection="1">
      <alignment vertical="center"/>
    </xf>
    <xf numFmtId="49" fontId="67" fillId="6" borderId="0" xfId="0" applyNumberFormat="1" applyFont="1" applyFill="1" applyBorder="1" applyAlignment="1" applyProtection="1">
      <alignment horizontal="left"/>
    </xf>
    <xf numFmtId="0" fontId="70" fillId="6" borderId="36" xfId="0" applyFont="1" applyFill="1" applyBorder="1" applyAlignment="1" applyProtection="1">
      <alignment vertical="center"/>
    </xf>
    <xf numFmtId="0" fontId="67" fillId="6" borderId="36" xfId="0" applyFont="1" applyFill="1" applyBorder="1" applyAlignment="1" applyProtection="1">
      <alignment vertical="center"/>
    </xf>
    <xf numFmtId="189" fontId="67" fillId="6" borderId="36" xfId="0" applyNumberFormat="1" applyFont="1" applyFill="1" applyBorder="1" applyAlignment="1" applyProtection="1">
      <alignment horizontal="center" vertical="center"/>
    </xf>
    <xf numFmtId="181" fontId="67" fillId="6" borderId="36" xfId="0" applyNumberFormat="1" applyFont="1" applyFill="1" applyBorder="1" applyAlignment="1" applyProtection="1">
      <alignment vertical="center"/>
    </xf>
    <xf numFmtId="0" fontId="67" fillId="6" borderId="36" xfId="0" applyFont="1" applyFill="1" applyBorder="1" applyAlignment="1" applyProtection="1">
      <alignment horizontal="center" vertical="center"/>
    </xf>
    <xf numFmtId="0" fontId="56" fillId="6" borderId="0" xfId="0" applyFont="1" applyFill="1" applyAlignment="1" applyProtection="1">
      <alignment horizontal="center" vertical="center"/>
    </xf>
    <xf numFmtId="0" fontId="73" fillId="6" borderId="0" xfId="0" applyFont="1" applyFill="1" applyAlignment="1" applyProtection="1">
      <alignment horizontal="center" vertical="center"/>
    </xf>
    <xf numFmtId="14" fontId="56" fillId="6" borderId="0" xfId="0" applyNumberFormat="1" applyFont="1" applyFill="1" applyAlignment="1" applyProtection="1">
      <alignment horizontal="center" vertical="center"/>
    </xf>
    <xf numFmtId="176" fontId="56" fillId="6" borderId="0" xfId="0" applyNumberFormat="1" applyFont="1" applyFill="1" applyAlignment="1" applyProtection="1">
      <alignment horizontal="center" vertical="center"/>
    </xf>
    <xf numFmtId="0" fontId="61" fillId="6" borderId="0" xfId="0" applyFont="1" applyFill="1" applyBorder="1" applyAlignment="1" applyProtection="1"/>
    <xf numFmtId="0" fontId="56" fillId="6" borderId="0" xfId="0" applyFont="1" applyFill="1" applyBorder="1" applyAlignment="1" applyProtection="1"/>
    <xf numFmtId="0" fontId="56" fillId="6" borderId="0" xfId="0" applyFont="1" applyFill="1" applyBorder="1" applyAlignment="1" applyProtection="1">
      <alignment horizontal="center"/>
    </xf>
    <xf numFmtId="189" fontId="56" fillId="6" borderId="0" xfId="0" applyNumberFormat="1" applyFont="1" applyFill="1" applyBorder="1" applyAlignment="1" applyProtection="1">
      <alignment horizontal="center"/>
    </xf>
    <xf numFmtId="181" fontId="56" fillId="6" borderId="0" xfId="0" applyNumberFormat="1" applyFont="1" applyFill="1" applyBorder="1" applyAlignment="1" applyProtection="1"/>
    <xf numFmtId="0" fontId="67" fillId="6" borderId="0" xfId="0" applyFont="1" applyFill="1" applyBorder="1" applyAlignment="1" applyProtection="1">
      <alignment horizontal="center" vertical="center"/>
    </xf>
    <xf numFmtId="0" fontId="68" fillId="6" borderId="0" xfId="0" applyFont="1" applyFill="1" applyBorder="1" applyAlignment="1" applyProtection="1">
      <alignment horizontal="center" vertical="center"/>
    </xf>
    <xf numFmtId="188"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188" fontId="56" fillId="6" borderId="5" xfId="0" applyNumberFormat="1" applyFont="1" applyFill="1" applyBorder="1" applyAlignment="1" applyProtection="1">
      <alignment horizontal="center" vertical="center"/>
    </xf>
    <xf numFmtId="49" fontId="56" fillId="6" borderId="3"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2" xfId="0" applyFont="1" applyFill="1" applyBorder="1" applyAlignment="1" applyProtection="1">
      <alignment vertical="center" textRotation="255" wrapText="1"/>
    </xf>
    <xf numFmtId="0" fontId="68" fillId="6" borderId="0" xfId="0" applyFont="1" applyFill="1" applyAlignment="1" applyProtection="1">
      <alignment horizontal="center" vertical="center"/>
    </xf>
    <xf numFmtId="189" fontId="56" fillId="6" borderId="3" xfId="0" applyNumberFormat="1" applyFont="1" applyFill="1" applyBorder="1" applyAlignment="1" applyProtection="1">
      <alignment horizontal="center" vertical="center"/>
    </xf>
    <xf numFmtId="189" fontId="56" fillId="6" borderId="3" xfId="0" applyNumberFormat="1" applyFont="1" applyFill="1" applyBorder="1" applyAlignment="1" applyProtection="1">
      <alignment horizontal="center" vertical="center" wrapText="1"/>
    </xf>
    <xf numFmtId="189" fontId="56" fillId="6" borderId="1" xfId="0" applyNumberFormat="1" applyFont="1" applyFill="1" applyBorder="1" applyAlignment="1" applyProtection="1">
      <alignment horizontal="center" vertical="center" wrapText="1"/>
    </xf>
    <xf numFmtId="0" fontId="67" fillId="6" borderId="60" xfId="0" applyFont="1" applyFill="1" applyBorder="1" applyAlignment="1" applyProtection="1">
      <alignment horizontal="center" vertical="center"/>
    </xf>
    <xf numFmtId="0" fontId="58" fillId="6" borderId="0" xfId="0" applyFont="1" applyFill="1" applyAlignment="1" applyProtection="1"/>
    <xf numFmtId="0" fontId="52" fillId="6" borderId="0" xfId="0" applyNumberFormat="1" applyFont="1" applyFill="1" applyAlignment="1" applyProtection="1">
      <alignment horizontal="center" vertical="center"/>
      <protection locked="0"/>
    </xf>
    <xf numFmtId="0" fontId="49" fillId="6" borderId="32" xfId="0" applyFont="1" applyFill="1" applyBorder="1" applyAlignment="1" applyProtection="1">
      <alignment horizontal="center" vertical="center"/>
    </xf>
    <xf numFmtId="0" fontId="49"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8" fillId="7" borderId="0" xfId="0" applyNumberFormat="1" applyFont="1" applyFill="1" applyBorder="1" applyAlignment="1" applyProtection="1">
      <alignment horizontal="center" vertical="center"/>
      <protection locked="0"/>
    </xf>
    <xf numFmtId="49" fontId="59" fillId="7" borderId="0" xfId="0" applyNumberFormat="1" applyFont="1" applyFill="1" applyBorder="1" applyAlignment="1" applyProtection="1">
      <alignment horizontal="left" vertical="center"/>
      <protection locked="0"/>
    </xf>
    <xf numFmtId="0" fontId="68" fillId="7" borderId="0" xfId="0" applyFont="1" applyFill="1" applyAlignment="1" applyProtection="1">
      <alignment vertical="center"/>
      <protection locked="0"/>
    </xf>
    <xf numFmtId="0" fontId="52" fillId="7" borderId="0" xfId="0" applyFont="1" applyFill="1" applyProtection="1">
      <alignment vertical="center"/>
      <protection locked="0"/>
    </xf>
    <xf numFmtId="0" fontId="58"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wrapText="1"/>
      <protection locked="0"/>
    </xf>
    <xf numFmtId="0" fontId="65" fillId="7" borderId="0" xfId="0" applyFont="1" applyFill="1" applyProtection="1">
      <alignment vertical="center"/>
      <protection locked="0"/>
    </xf>
    <xf numFmtId="10" fontId="52"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2" fillId="0" borderId="1" xfId="1" applyNumberFormat="1" applyFont="1" applyFill="1" applyBorder="1" applyAlignment="1" applyProtection="1">
      <alignment horizontal="center" vertical="center"/>
      <protection locked="0"/>
    </xf>
    <xf numFmtId="9" fontId="52" fillId="0" borderId="5" xfId="0" applyNumberFormat="1" applyFont="1" applyFill="1" applyBorder="1" applyAlignment="1" applyProtection="1">
      <alignment horizontal="center" vertical="center"/>
      <protection locked="0"/>
    </xf>
    <xf numFmtId="0" fontId="52" fillId="0" borderId="23" xfId="0" applyFont="1" applyBorder="1" applyAlignment="1" applyProtection="1">
      <alignment vertical="center"/>
      <protection locked="0"/>
    </xf>
    <xf numFmtId="181" fontId="52" fillId="0" borderId="1" xfId="0" applyNumberFormat="1" applyFont="1" applyBorder="1" applyAlignment="1" applyProtection="1">
      <alignment vertical="center"/>
      <protection locked="0"/>
    </xf>
    <xf numFmtId="181" fontId="52" fillId="0" borderId="24" xfId="0" applyNumberFormat="1" applyFont="1" applyBorder="1" applyAlignment="1" applyProtection="1">
      <alignment vertical="center"/>
      <protection locked="0"/>
    </xf>
    <xf numFmtId="0" fontId="52" fillId="0" borderId="23" xfId="0" applyFont="1" applyBorder="1" applyAlignment="1" applyProtection="1">
      <alignment horizontal="center" vertical="center"/>
      <protection locked="0"/>
    </xf>
    <xf numFmtId="10" fontId="52" fillId="0" borderId="1" xfId="0" applyNumberFormat="1" applyFont="1" applyBorder="1" applyAlignment="1" applyProtection="1">
      <alignment horizontal="center" vertical="center"/>
      <protection locked="0"/>
    </xf>
    <xf numFmtId="183" fontId="52" fillId="0" borderId="1" xfId="0" applyNumberFormat="1" applyFont="1" applyBorder="1" applyAlignment="1" applyProtection="1">
      <alignment horizontal="center" vertical="center"/>
      <protection locked="0"/>
    </xf>
    <xf numFmtId="181" fontId="52" fillId="0" borderId="24" xfId="0" applyNumberFormat="1" applyFont="1" applyBorder="1" applyAlignment="1" applyProtection="1">
      <alignment horizontal="center" vertical="center"/>
      <protection locked="0"/>
    </xf>
    <xf numFmtId="0" fontId="66"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8"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8" fillId="6" borderId="61" xfId="0" applyNumberFormat="1" applyFont="1" applyFill="1" applyBorder="1" applyAlignment="1" applyProtection="1">
      <alignment horizontal="center" vertical="center" wrapText="1"/>
    </xf>
    <xf numFmtId="10" fontId="58"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vertical="center" wrapText="1"/>
    </xf>
    <xf numFmtId="10" fontId="58" fillId="6" borderId="53"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3" fillId="0" borderId="60" xfId="3" applyNumberFormat="1" applyFont="1" applyBorder="1" applyAlignment="1" applyProtection="1">
      <alignment vertical="center"/>
    </xf>
    <xf numFmtId="0" fontId="83" fillId="0" borderId="60" xfId="3" applyNumberFormat="1" applyFont="1" applyBorder="1" applyAlignment="1" applyProtection="1">
      <alignment vertical="center"/>
    </xf>
    <xf numFmtId="0" fontId="0" fillId="0" borderId="0" xfId="0" applyNumberFormat="1" applyProtection="1">
      <alignment vertical="center"/>
    </xf>
    <xf numFmtId="179"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wrapText="1"/>
    </xf>
    <xf numFmtId="0" fontId="84" fillId="6" borderId="15" xfId="3" applyNumberFormat="1" applyFont="1" applyFill="1" applyBorder="1" applyAlignment="1" applyProtection="1">
      <alignment horizontal="center" vertical="center"/>
    </xf>
    <xf numFmtId="0" fontId="58" fillId="6" borderId="15" xfId="0" applyNumberFormat="1" applyFont="1" applyFill="1" applyBorder="1" applyAlignment="1" applyProtection="1">
      <alignment horizontal="center" vertical="center" wrapText="1"/>
    </xf>
    <xf numFmtId="0" fontId="58"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8" fillId="6" borderId="16" xfId="0" applyNumberFormat="1" applyFont="1" applyFill="1" applyBorder="1" applyAlignment="1" applyProtection="1">
      <alignment vertical="center" wrapText="1"/>
    </xf>
    <xf numFmtId="0" fontId="58"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4"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6" fillId="6" borderId="1" xfId="0" applyNumberFormat="1" applyFont="1" applyFill="1" applyBorder="1" applyAlignment="1" applyProtection="1">
      <alignment horizontal="center" vertical="center" wrapText="1"/>
    </xf>
    <xf numFmtId="0" fontId="55" fillId="6" borderId="36" xfId="0" applyFont="1" applyFill="1" applyBorder="1" applyAlignment="1" applyProtection="1">
      <alignment horizontal="center" vertical="center"/>
    </xf>
    <xf numFmtId="0" fontId="59" fillId="6" borderId="34" xfId="0" applyFont="1" applyFill="1" applyBorder="1" applyAlignment="1" applyProtection="1">
      <alignment horizontal="center" vertical="center"/>
    </xf>
    <xf numFmtId="0" fontId="59" fillId="6" borderId="28"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8" fillId="6" borderId="4" xfId="0" applyFont="1" applyFill="1" applyBorder="1" applyAlignment="1" applyProtection="1">
      <alignment horizontal="center" vertical="center" wrapText="1"/>
    </xf>
    <xf numFmtId="9" fontId="58" fillId="6" borderId="1" xfId="0" applyNumberFormat="1" applyFont="1" applyFill="1" applyBorder="1" applyAlignment="1" applyProtection="1">
      <alignment horizontal="center" vertical="center" wrapText="1"/>
    </xf>
    <xf numFmtId="0" fontId="58" fillId="6" borderId="13" xfId="0" applyFont="1" applyFill="1" applyBorder="1" applyAlignment="1" applyProtection="1">
      <alignment horizontal="center" vertical="center" wrapText="1"/>
    </xf>
    <xf numFmtId="187" fontId="55" fillId="6" borderId="84" xfId="0" applyNumberFormat="1" applyFont="1" applyFill="1" applyBorder="1" applyAlignment="1" applyProtection="1">
      <alignment horizontal="center" vertical="center" wrapText="1"/>
    </xf>
    <xf numFmtId="14" fontId="56" fillId="6" borderId="84" xfId="0" applyNumberFormat="1" applyFont="1" applyFill="1" applyBorder="1" applyAlignment="1" applyProtection="1">
      <alignment horizontal="center" vertical="center" wrapText="1"/>
    </xf>
    <xf numFmtId="14" fontId="56" fillId="6" borderId="64" xfId="0" applyNumberFormat="1" applyFont="1" applyFill="1" applyBorder="1" applyAlignment="1" applyProtection="1">
      <alignment horizontal="center" vertical="center" wrapText="1"/>
    </xf>
    <xf numFmtId="10" fontId="56"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5" fillId="6" borderId="17" xfId="0" applyNumberFormat="1" applyFont="1" applyFill="1" applyBorder="1" applyAlignment="1" applyProtection="1">
      <alignment horizontal="center" vertical="center" wrapText="1"/>
    </xf>
    <xf numFmtId="0" fontId="59" fillId="6" borderId="20" xfId="0" applyFont="1" applyFill="1" applyBorder="1" applyAlignment="1" applyProtection="1">
      <alignment horizontal="center" vertical="center" wrapText="1"/>
    </xf>
    <xf numFmtId="0" fontId="59" fillId="6" borderId="15" xfId="0" applyFont="1" applyFill="1" applyBorder="1" applyAlignment="1" applyProtection="1">
      <alignment horizontal="center" vertical="center" wrapText="1"/>
    </xf>
    <xf numFmtId="0" fontId="59"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8" fillId="6" borderId="29" xfId="0" applyFont="1" applyFill="1" applyBorder="1" applyAlignment="1" applyProtection="1">
      <alignment horizontal="center" vertical="center" wrapText="1"/>
    </xf>
    <xf numFmtId="0" fontId="58" fillId="6" borderId="62"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7"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6" fillId="0" borderId="1" xfId="0" applyNumberFormat="1"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58" fillId="0" borderId="32" xfId="0" applyFont="1" applyFill="1" applyBorder="1" applyAlignment="1" applyProtection="1">
      <alignment horizontal="center" vertical="center" wrapText="1"/>
      <protection locked="0"/>
    </xf>
    <xf numFmtId="0" fontId="58" fillId="0" borderId="49" xfId="0" applyFont="1" applyFill="1" applyBorder="1" applyAlignment="1" applyProtection="1">
      <alignment horizontal="center" vertical="center" wrapText="1"/>
      <protection locked="0"/>
    </xf>
    <xf numFmtId="49" fontId="86" fillId="6" borderId="23" xfId="1" applyNumberFormat="1" applyFont="1" applyFill="1" applyBorder="1" applyAlignment="1" applyProtection="1">
      <alignment horizontal="left"/>
    </xf>
    <xf numFmtId="49" fontId="58" fillId="6" borderId="23" xfId="1" applyNumberFormat="1" applyFont="1" applyFill="1" applyBorder="1" applyAlignment="1" applyProtection="1">
      <alignment horizontal="center"/>
    </xf>
    <xf numFmtId="0" fontId="64" fillId="6" borderId="23" xfId="1" applyFont="1" applyFill="1" applyBorder="1" applyAlignment="1" applyProtection="1">
      <alignment horizontal="right"/>
    </xf>
    <xf numFmtId="0" fontId="58" fillId="6" borderId="23" xfId="0" applyFont="1" applyFill="1" applyBorder="1" applyAlignment="1" applyProtection="1">
      <alignment horizontal="center" vertical="center"/>
    </xf>
    <xf numFmtId="0" fontId="52" fillId="3" borderId="0" xfId="0" applyFont="1" applyFill="1" applyAlignment="1" applyProtection="1">
      <alignment vertical="center"/>
      <protection locked="0"/>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0" fontId="50" fillId="6" borderId="21" xfId="0" applyFont="1" applyFill="1" applyBorder="1" applyAlignment="1" applyProtection="1">
      <alignment vertical="center"/>
    </xf>
    <xf numFmtId="0" fontId="66" fillId="7" borderId="0" xfId="0" applyFont="1" applyFill="1" applyAlignment="1" applyProtection="1">
      <alignment vertical="center"/>
      <protection locked="0"/>
    </xf>
    <xf numFmtId="0" fontId="51" fillId="6" borderId="23" xfId="0" applyFont="1" applyFill="1" applyBorder="1" applyAlignment="1" applyProtection="1">
      <alignment horizontal="center" vertical="center"/>
    </xf>
    <xf numFmtId="0" fontId="51" fillId="6" borderId="46"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49" fontId="52" fillId="6" borderId="23" xfId="0" applyNumberFormat="1" applyFont="1" applyFill="1" applyBorder="1" applyAlignment="1" applyProtection="1">
      <alignment horizontal="center" vertical="center"/>
    </xf>
    <xf numFmtId="186" fontId="52" fillId="0" borderId="1" xfId="0" applyNumberFormat="1" applyFont="1" applyFill="1" applyBorder="1" applyAlignment="1" applyProtection="1">
      <alignment horizontal="center" vertical="center"/>
      <protection locked="0"/>
    </xf>
    <xf numFmtId="186" fontId="52" fillId="0" borderId="24" xfId="0" applyNumberFormat="1" applyFont="1" applyFill="1" applyBorder="1" applyAlignment="1" applyProtection="1">
      <alignment horizontal="center"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186"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49" fillId="7" borderId="0" xfId="0" applyFont="1" applyFill="1" applyAlignment="1" applyProtection="1">
      <alignment vertical="center"/>
      <protection locked="0"/>
    </xf>
    <xf numFmtId="0" fontId="52" fillId="6" borderId="23" xfId="1" applyFont="1" applyFill="1" applyBorder="1" applyAlignment="1" applyProtection="1">
      <alignment horizontal="right" vertical="center"/>
    </xf>
    <xf numFmtId="0" fontId="52" fillId="6" borderId="5" xfId="1" applyFont="1" applyFill="1" applyBorder="1" applyAlignment="1" applyProtection="1">
      <alignment vertical="center"/>
    </xf>
    <xf numFmtId="179" fontId="52" fillId="6" borderId="1" xfId="1" applyNumberFormat="1" applyFont="1" applyFill="1" applyBorder="1" applyAlignment="1" applyProtection="1">
      <alignment horizontal="center" vertical="center"/>
    </xf>
    <xf numFmtId="181" fontId="52" fillId="6" borderId="1" xfId="1" applyNumberFormat="1" applyFont="1" applyFill="1" applyBorder="1" applyAlignment="1" applyProtection="1">
      <alignment horizontal="center" vertical="center"/>
    </xf>
    <xf numFmtId="0" fontId="54" fillId="7" borderId="0" xfId="0" applyFont="1" applyFill="1" applyAlignment="1" applyProtection="1">
      <alignment vertical="center"/>
      <protection locked="0"/>
    </xf>
    <xf numFmtId="9" fontId="52" fillId="6" borderId="1" xfId="1" applyNumberFormat="1" applyFont="1" applyFill="1" applyBorder="1" applyAlignment="1" applyProtection="1">
      <alignment horizontal="center" vertical="center"/>
    </xf>
    <xf numFmtId="0" fontId="54" fillId="0" borderId="0" xfId="0" applyFont="1" applyFill="1" applyAlignment="1" applyProtection="1">
      <alignment vertical="center"/>
      <protection locked="0"/>
    </xf>
    <xf numFmtId="177" fontId="52" fillId="6" borderId="1" xfId="1" applyNumberFormat="1" applyFont="1" applyFill="1" applyBorder="1" applyAlignment="1" applyProtection="1">
      <alignment vertical="center"/>
    </xf>
    <xf numFmtId="0" fontId="52" fillId="6" borderId="54" xfId="0" applyFont="1" applyFill="1" applyBorder="1" applyAlignment="1" applyProtection="1">
      <alignment vertical="center"/>
    </xf>
    <xf numFmtId="0" fontId="52" fillId="6" borderId="48" xfId="0" applyFont="1" applyFill="1" applyBorder="1" applyAlignment="1" applyProtection="1">
      <alignment vertical="center"/>
    </xf>
    <xf numFmtId="0" fontId="52" fillId="6" borderId="54" xfId="0" applyFont="1" applyFill="1" applyBorder="1" applyAlignment="1" applyProtection="1">
      <alignment horizontal="left" vertical="center"/>
    </xf>
    <xf numFmtId="0" fontId="52" fillId="6" borderId="48" xfId="0" applyFont="1" applyFill="1" applyBorder="1" applyAlignment="1" applyProtection="1">
      <alignment horizontal="left" vertical="center"/>
    </xf>
    <xf numFmtId="177" fontId="52" fillId="6" borderId="1" xfId="1" applyNumberFormat="1" applyFont="1" applyFill="1" applyBorder="1" applyAlignment="1" applyProtection="1">
      <alignment horizontal="center" vertical="center"/>
    </xf>
    <xf numFmtId="10" fontId="52" fillId="6" borderId="1" xfId="1" applyNumberFormat="1" applyFont="1" applyFill="1" applyBorder="1" applyAlignment="1" applyProtection="1">
      <alignment horizontal="center" vertical="center"/>
    </xf>
    <xf numFmtId="0" fontId="51" fillId="6" borderId="5" xfId="1" applyFont="1" applyFill="1" applyBorder="1" applyAlignment="1" applyProtection="1">
      <alignmen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vertical="center"/>
    </xf>
    <xf numFmtId="10" fontId="51" fillId="6" borderId="1" xfId="1" applyNumberFormat="1" applyFont="1" applyFill="1" applyBorder="1" applyAlignment="1" applyProtection="1">
      <alignment horizontal="center" vertical="center"/>
    </xf>
    <xf numFmtId="0" fontId="49" fillId="6" borderId="5" xfId="0"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52" fillId="6" borderId="1" xfId="1" applyFont="1" applyFill="1" applyBorder="1" applyAlignment="1" applyProtection="1">
      <alignment horizontal="left" vertical="center"/>
    </xf>
    <xf numFmtId="0" fontId="53" fillId="3" borderId="0" xfId="0" applyFont="1" applyFill="1" applyAlignment="1" applyProtection="1">
      <alignment vertical="center"/>
      <protection locked="0"/>
    </xf>
    <xf numFmtId="0" fontId="52" fillId="6" borderId="5" xfId="1" applyFont="1" applyFill="1" applyBorder="1" applyAlignment="1" applyProtection="1">
      <alignment horizontal="left" vertical="center"/>
    </xf>
    <xf numFmtId="186" fontId="52" fillId="3" borderId="0" xfId="0" applyNumberFormat="1" applyFont="1" applyFill="1" applyAlignment="1" applyProtection="1">
      <alignment horizontal="center" vertical="center"/>
      <protection locked="0"/>
    </xf>
    <xf numFmtId="186" fontId="51"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2" fillId="0" borderId="13" xfId="0" applyNumberFormat="1" applyFont="1" applyFill="1" applyBorder="1" applyAlignment="1" applyProtection="1">
      <alignment horizontal="center" vertical="center"/>
      <protection locked="0"/>
    </xf>
    <xf numFmtId="186" fontId="52" fillId="0" borderId="61" xfId="0" applyNumberFormat="1" applyFont="1" applyFill="1" applyBorder="1" applyAlignment="1" applyProtection="1">
      <alignment horizontal="center" vertical="center"/>
      <protection locked="0"/>
    </xf>
    <xf numFmtId="0" fontId="51" fillId="6" borderId="42" xfId="0" applyFont="1" applyFill="1" applyBorder="1" applyAlignment="1" applyProtection="1">
      <alignment vertical="center"/>
    </xf>
    <xf numFmtId="0" fontId="51" fillId="6" borderId="47" xfId="0" applyFont="1" applyFill="1" applyBorder="1" applyAlignment="1" applyProtection="1">
      <alignment vertical="center"/>
    </xf>
    <xf numFmtId="186" fontId="50" fillId="6" borderId="74" xfId="0" applyNumberFormat="1" applyFont="1" applyFill="1" applyBorder="1" applyAlignment="1" applyProtection="1">
      <alignment horizontal="center" vertical="center"/>
    </xf>
    <xf numFmtId="0" fontId="50" fillId="6" borderId="75" xfId="0" applyFont="1" applyFill="1" applyBorder="1" applyAlignment="1" applyProtection="1">
      <alignment vertical="center"/>
    </xf>
    <xf numFmtId="0" fontId="51" fillId="6" borderId="43" xfId="0" applyFont="1" applyFill="1" applyBorder="1" applyAlignment="1" applyProtection="1">
      <alignment vertical="center"/>
    </xf>
    <xf numFmtId="0" fontId="51" fillId="6" borderId="33" xfId="1" applyFont="1" applyFill="1" applyBorder="1" applyAlignment="1" applyProtection="1">
      <alignment vertical="center"/>
    </xf>
    <xf numFmtId="177" fontId="51" fillId="6" borderId="32" xfId="0" applyNumberFormat="1" applyFont="1" applyFill="1" applyBorder="1" applyAlignment="1" applyProtection="1">
      <alignment horizontal="center" vertical="center"/>
    </xf>
    <xf numFmtId="0" fontId="51" fillId="6" borderId="32" xfId="0" applyFont="1" applyFill="1" applyBorder="1" applyAlignment="1" applyProtection="1">
      <alignment vertical="center"/>
    </xf>
    <xf numFmtId="177" fontId="51" fillId="6" borderId="32" xfId="0" applyNumberFormat="1" applyFont="1" applyFill="1" applyBorder="1" applyAlignment="1" applyProtection="1">
      <alignment vertical="center"/>
    </xf>
    <xf numFmtId="10" fontId="51" fillId="6" borderId="32" xfId="0" applyNumberFormat="1" applyFont="1" applyFill="1" applyBorder="1" applyAlignment="1" applyProtection="1">
      <alignment horizontal="center" vertical="center"/>
    </xf>
    <xf numFmtId="177" fontId="51" fillId="6" borderId="33" xfId="0" applyNumberFormat="1" applyFont="1" applyFill="1" applyBorder="1" applyAlignment="1" applyProtection="1">
      <alignment vertical="center"/>
    </xf>
    <xf numFmtId="177" fontId="51" fillId="6" borderId="52" xfId="0" applyNumberFormat="1" applyFont="1" applyFill="1" applyBorder="1" applyAlignment="1" applyProtection="1">
      <alignment vertical="center"/>
    </xf>
    <xf numFmtId="177" fontId="51" fillId="6" borderId="68" xfId="0" applyNumberFormat="1" applyFont="1" applyFill="1" applyBorder="1" applyAlignment="1" applyProtection="1">
      <alignment vertical="center"/>
    </xf>
    <xf numFmtId="0" fontId="55"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4" fillId="6" borderId="1" xfId="1" applyNumberFormat="1" applyFont="1" applyFill="1" applyBorder="1" applyAlignment="1" applyProtection="1"/>
    <xf numFmtId="0" fontId="52" fillId="6" borderId="1" xfId="1" applyNumberFormat="1" applyFont="1" applyFill="1" applyBorder="1" applyAlignment="1" applyProtection="1">
      <alignment horizontal="center" vertical="center"/>
    </xf>
    <xf numFmtId="0" fontId="58" fillId="6" borderId="1" xfId="1" applyNumberFormat="1" applyFont="1" applyFill="1" applyBorder="1" applyAlignment="1" applyProtection="1">
      <alignment horizontal="center"/>
    </xf>
    <xf numFmtId="0" fontId="58" fillId="6" borderId="1" xfId="0" applyNumberFormat="1" applyFont="1" applyFill="1" applyBorder="1" applyProtection="1">
      <alignment vertical="center"/>
    </xf>
    <xf numFmtId="0" fontId="59" fillId="6" borderId="1" xfId="1" applyNumberFormat="1" applyFont="1" applyFill="1" applyBorder="1" applyAlignment="1" applyProtection="1">
      <alignment horizontal="center"/>
    </xf>
    <xf numFmtId="0" fontId="66" fillId="6" borderId="78" xfId="0" applyFont="1" applyFill="1" applyBorder="1" applyAlignment="1" applyProtection="1">
      <alignment horizontal="right" vertical="center" shrinkToFit="1"/>
    </xf>
    <xf numFmtId="0" fontId="66" fillId="6" borderId="78" xfId="0" applyNumberFormat="1" applyFont="1" applyFill="1" applyBorder="1" applyAlignment="1" applyProtection="1">
      <alignment horizontal="right" vertical="center" shrinkToFit="1"/>
    </xf>
    <xf numFmtId="0" fontId="66" fillId="0" borderId="0" xfId="0" applyFont="1" applyFill="1" applyBorder="1" applyAlignment="1" applyProtection="1">
      <alignment vertical="center"/>
      <protection locked="0"/>
    </xf>
    <xf numFmtId="0" fontId="50" fillId="0" borderId="2" xfId="7" applyFont="1" applyFill="1" applyBorder="1" applyAlignment="1" applyProtection="1">
      <alignment horizontal="center" vertical="center" wrapText="1"/>
    </xf>
    <xf numFmtId="0" fontId="50" fillId="0" borderId="1" xfId="7" applyFont="1" applyFill="1" applyBorder="1" applyAlignment="1" applyProtection="1">
      <alignment horizontal="center" vertical="center" wrapText="1"/>
    </xf>
    <xf numFmtId="0" fontId="66" fillId="0" borderId="1" xfId="7" applyFont="1" applyFill="1" applyBorder="1" applyAlignment="1" applyProtection="1">
      <alignment horizontal="center" vertical="center" wrapText="1"/>
    </xf>
    <xf numFmtId="0" fontId="50" fillId="0" borderId="3" xfId="7"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49" fillId="6" borderId="24" xfId="0" applyFont="1" applyFill="1" applyBorder="1" applyAlignment="1" applyProtection="1">
      <alignment horizontal="center" vertical="center"/>
    </xf>
    <xf numFmtId="184" fontId="52" fillId="0" borderId="1" xfId="0" applyNumberFormat="1" applyFont="1" applyFill="1" applyBorder="1" applyAlignment="1" applyProtection="1">
      <alignment horizontal="center" vertical="center" shrinkToFit="1"/>
      <protection locked="0"/>
    </xf>
    <xf numFmtId="184" fontId="52" fillId="6" borderId="1" xfId="0" applyNumberFormat="1" applyFont="1" applyFill="1" applyBorder="1" applyAlignment="1" applyProtection="1">
      <alignment horizontal="center" vertical="center"/>
    </xf>
    <xf numFmtId="179" fontId="66" fillId="6" borderId="1" xfId="0" applyNumberFormat="1" applyFont="1" applyFill="1" applyBorder="1" applyAlignment="1" applyProtection="1">
      <alignment horizontal="center" vertical="center" wrapText="1"/>
    </xf>
    <xf numFmtId="177" fontId="66" fillId="5" borderId="1" xfId="1" applyNumberFormat="1" applyFont="1" applyFill="1" applyBorder="1" applyAlignment="1" applyProtection="1">
      <alignment horizontal="center" vertical="center"/>
      <protection locked="0"/>
    </xf>
    <xf numFmtId="177" fontId="52" fillId="6" borderId="23" xfId="1" applyNumberFormat="1" applyFont="1" applyFill="1" applyBorder="1" applyAlignment="1" applyProtection="1">
      <alignment horizontal="center" vertical="center"/>
    </xf>
    <xf numFmtId="0" fontId="66" fillId="0" borderId="3" xfId="7" applyFont="1" applyFill="1" applyBorder="1" applyAlignment="1" applyProtection="1">
      <alignment horizontal="center" vertical="center" wrapText="1"/>
    </xf>
    <xf numFmtId="0" fontId="66" fillId="0" borderId="78" xfId="7" applyFont="1" applyFill="1" applyBorder="1" applyAlignment="1" applyProtection="1">
      <alignment horizontal="center" vertical="center" wrapText="1"/>
    </xf>
    <xf numFmtId="0" fontId="66" fillId="6" borderId="1" xfId="0" applyFont="1" applyFill="1" applyBorder="1" applyAlignment="1" applyProtection="1">
      <alignment horizontal="center" vertical="center" wrapText="1"/>
    </xf>
    <xf numFmtId="181" fontId="49" fillId="6" borderId="8" xfId="0" applyNumberFormat="1" applyFont="1" applyFill="1" applyBorder="1" applyProtection="1">
      <alignment vertical="center"/>
    </xf>
    <xf numFmtId="181" fontId="57"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8" fillId="6" borderId="1" xfId="0" applyNumberFormat="1" applyFont="1" applyFill="1" applyBorder="1" applyAlignment="1" applyProtection="1">
      <alignment vertical="center" wrapText="1"/>
    </xf>
    <xf numFmtId="0" fontId="63" fillId="6" borderId="41" xfId="0" applyFont="1" applyFill="1" applyBorder="1" applyAlignment="1" applyProtection="1">
      <alignment horizontal="center" vertical="center"/>
    </xf>
    <xf numFmtId="0" fontId="63" fillId="0" borderId="2" xfId="0" applyFont="1" applyBorder="1" applyAlignment="1" applyProtection="1">
      <alignment horizontal="center" vertical="center"/>
      <protection locked="0"/>
    </xf>
    <xf numFmtId="0" fontId="63" fillId="0" borderId="4" xfId="0" applyFont="1" applyBorder="1" applyAlignment="1" applyProtection="1">
      <alignment horizontal="center" vertical="center"/>
      <protection locked="0"/>
    </xf>
    <xf numFmtId="0" fontId="63" fillId="0" borderId="94" xfId="0" applyFont="1" applyFill="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187" fontId="63" fillId="6" borderId="8" xfId="0" applyNumberFormat="1" applyFont="1" applyFill="1" applyBorder="1" applyAlignment="1" applyProtection="1">
      <alignment horizontal="center" vertical="center"/>
    </xf>
    <xf numFmtId="0" fontId="63" fillId="6" borderId="23" xfId="0" applyFont="1" applyFill="1" applyBorder="1" applyAlignment="1" applyProtection="1">
      <alignment horizontal="center" vertical="center"/>
    </xf>
    <xf numFmtId="0" fontId="63" fillId="0" borderId="1" xfId="0" applyFont="1" applyBorder="1" applyAlignment="1" applyProtection="1">
      <alignment horizontal="center" vertical="center"/>
      <protection locked="0"/>
    </xf>
    <xf numFmtId="0" fontId="63" fillId="0" borderId="5" xfId="0" applyFont="1" applyBorder="1" applyAlignment="1" applyProtection="1">
      <alignment horizontal="center" vertical="center"/>
      <protection locked="0"/>
    </xf>
    <xf numFmtId="0" fontId="63" fillId="0" borderId="93" xfId="0" applyFont="1" applyFill="1" applyBorder="1" applyAlignment="1" applyProtection="1">
      <alignment horizontal="center" vertical="center"/>
      <protection locked="0"/>
    </xf>
    <xf numFmtId="0" fontId="63" fillId="0" borderId="24" xfId="0" applyFont="1" applyBorder="1" applyAlignment="1" applyProtection="1">
      <alignment horizontal="center" vertical="center"/>
      <protection locked="0"/>
    </xf>
    <xf numFmtId="0" fontId="63" fillId="6" borderId="24" xfId="0" applyFont="1" applyFill="1" applyBorder="1" applyAlignment="1" applyProtection="1">
      <alignment horizontal="center" vertical="center"/>
    </xf>
    <xf numFmtId="178" fontId="63" fillId="6" borderId="24" xfId="0" applyNumberFormat="1" applyFont="1" applyFill="1" applyBorder="1" applyAlignment="1" applyProtection="1">
      <alignment horizontal="center" vertical="center"/>
    </xf>
    <xf numFmtId="178" fontId="63"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3" fillId="6" borderId="32" xfId="0" applyFont="1" applyFill="1" applyBorder="1" applyAlignment="1" applyProtection="1">
      <alignment horizontal="center" vertical="center"/>
    </xf>
    <xf numFmtId="0" fontId="63" fillId="6" borderId="47" xfId="0" applyFont="1" applyFill="1" applyBorder="1" applyAlignment="1" applyProtection="1">
      <alignment horizontal="center" vertical="center"/>
    </xf>
    <xf numFmtId="0" fontId="63" fillId="0" borderId="32" xfId="0" applyFont="1" applyBorder="1" applyAlignment="1" applyProtection="1">
      <alignment horizontal="center" vertical="center"/>
      <protection locked="0"/>
    </xf>
    <xf numFmtId="178" fontId="63" fillId="6" borderId="49" xfId="0" applyNumberFormat="1" applyFont="1" applyFill="1" applyBorder="1" applyAlignment="1" applyProtection="1">
      <alignment horizontal="center" vertical="center"/>
    </xf>
    <xf numFmtId="177" fontId="58" fillId="6" borderId="5" xfId="1" applyNumberFormat="1" applyFont="1" applyFill="1" applyBorder="1" applyAlignment="1" applyProtection="1">
      <alignment horizontal="center"/>
    </xf>
    <xf numFmtId="0" fontId="77" fillId="6" borderId="1" xfId="0" applyFont="1" applyFill="1" applyBorder="1" applyAlignment="1" applyProtection="1">
      <alignment horizontal="center" vertical="center"/>
    </xf>
    <xf numFmtId="189" fontId="56" fillId="6" borderId="0" xfId="0" applyNumberFormat="1" applyFont="1" applyFill="1" applyAlignment="1" applyProtection="1">
      <alignment horizontal="center" vertical="center"/>
      <protection locked="0"/>
    </xf>
    <xf numFmtId="181" fontId="56" fillId="6" borderId="0" xfId="0" applyNumberFormat="1" applyFont="1" applyFill="1" applyAlignment="1" applyProtection="1">
      <alignment horizontal="center" vertical="center"/>
      <protection locked="0"/>
    </xf>
    <xf numFmtId="0" fontId="56"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7"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7" fillId="6" borderId="32" xfId="0"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wrapText="1"/>
      <protection locked="0"/>
    </xf>
    <xf numFmtId="0" fontId="52" fillId="6" borderId="98" xfId="0" applyNumberFormat="1" applyFont="1" applyFill="1" applyBorder="1" applyAlignment="1" applyProtection="1">
      <alignment horizontal="center" vertical="center" wrapText="1"/>
    </xf>
    <xf numFmtId="0" fontId="58" fillId="0" borderId="99" xfId="0" applyNumberFormat="1" applyFont="1" applyFill="1" applyBorder="1" applyAlignment="1" applyProtection="1">
      <alignment horizontal="center" vertical="center" wrapText="1"/>
      <protection locked="0"/>
    </xf>
    <xf numFmtId="0" fontId="58" fillId="6" borderId="100" xfId="0" applyNumberFormat="1" applyFont="1" applyFill="1" applyBorder="1" applyAlignment="1" applyProtection="1">
      <alignment horizontal="center" vertical="center" wrapText="1"/>
    </xf>
    <xf numFmtId="0" fontId="58" fillId="6" borderId="99" xfId="0" applyNumberFormat="1" applyFont="1" applyFill="1" applyBorder="1" applyAlignment="1" applyProtection="1">
      <alignment horizontal="center" vertical="center" wrapText="1"/>
    </xf>
    <xf numFmtId="0" fontId="52" fillId="0" borderId="101" xfId="0" applyNumberFormat="1" applyFont="1" applyFill="1" applyBorder="1" applyAlignment="1" applyProtection="1">
      <alignment horizontal="center" vertical="center" wrapText="1"/>
      <protection locked="0"/>
    </xf>
    <xf numFmtId="0" fontId="52" fillId="0" borderId="41" xfId="0" applyNumberFormat="1" applyFont="1" applyFill="1" applyBorder="1" applyAlignment="1" applyProtection="1">
      <alignment horizontal="center" vertical="center" wrapText="1"/>
      <protection locked="0"/>
    </xf>
    <xf numFmtId="0" fontId="52" fillId="6" borderId="101" xfId="0" applyNumberFormat="1" applyFont="1" applyFill="1" applyBorder="1" applyAlignment="1" applyProtection="1">
      <alignment horizontal="center" vertical="center" wrapText="1"/>
    </xf>
    <xf numFmtId="0" fontId="56" fillId="0" borderId="58" xfId="0" applyFont="1" applyFill="1" applyBorder="1" applyAlignment="1" applyProtection="1">
      <alignment horizontal="center" vertical="center"/>
      <protection locked="0"/>
    </xf>
    <xf numFmtId="0" fontId="62"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0" fontId="70" fillId="6" borderId="0" xfId="0" applyFont="1" applyFill="1" applyBorder="1" applyAlignment="1" applyProtection="1">
      <alignment vertical="center"/>
      <protection locked="0"/>
    </xf>
    <xf numFmtId="189" fontId="67" fillId="6" borderId="0" xfId="0" applyNumberFormat="1" applyFont="1" applyFill="1" applyBorder="1" applyAlignment="1" applyProtection="1">
      <alignment horizontal="center" vertical="center"/>
      <protection locked="0"/>
    </xf>
    <xf numFmtId="181" fontId="67" fillId="6" borderId="0" xfId="0" applyNumberFormat="1" applyFont="1" applyFill="1" applyBorder="1" applyAlignment="1" applyProtection="1">
      <alignment vertical="center"/>
      <protection locked="0"/>
    </xf>
    <xf numFmtId="0" fontId="67"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vertical="center" wrapText="1"/>
      <protection locked="0"/>
    </xf>
    <xf numFmtId="0" fontId="56"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72" fillId="6" borderId="0" xfId="0" applyFont="1" applyFill="1" applyBorder="1" applyAlignment="1" applyProtection="1">
      <alignment horizontal="center" vertical="center"/>
      <protection locked="0"/>
    </xf>
    <xf numFmtId="0" fontId="7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horizontal="center" vertical="center" wrapText="1"/>
      <protection locked="0"/>
    </xf>
    <xf numFmtId="0" fontId="56"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protection locked="0"/>
    </xf>
    <xf numFmtId="0" fontId="54" fillId="6" borderId="35" xfId="0" applyFont="1" applyFill="1" applyBorder="1" applyAlignment="1" applyProtection="1">
      <alignment horizontal="center" vertical="center"/>
      <protection locked="0"/>
    </xf>
    <xf numFmtId="181" fontId="56" fillId="6" borderId="0" xfId="0" applyNumberFormat="1" applyFont="1" applyFill="1" applyBorder="1" applyAlignment="1" applyProtection="1">
      <alignment vertical="center" wrapText="1"/>
      <protection locked="0"/>
    </xf>
    <xf numFmtId="0" fontId="56" fillId="6" borderId="0" xfId="0" applyFont="1" applyFill="1" applyAlignment="1" applyProtection="1">
      <alignment horizontal="center" vertical="center"/>
      <protection locked="0"/>
    </xf>
    <xf numFmtId="0" fontId="73" fillId="6" borderId="0" xfId="0" applyFont="1" applyFill="1" applyAlignment="1" applyProtection="1">
      <alignment horizontal="center" vertical="center"/>
      <protection locked="0"/>
    </xf>
    <xf numFmtId="14" fontId="56" fillId="6" borderId="0" xfId="0" applyNumberFormat="1" applyFont="1" applyFill="1" applyAlignment="1" applyProtection="1">
      <alignment horizontal="center" vertical="center"/>
      <protection locked="0"/>
    </xf>
    <xf numFmtId="9" fontId="56" fillId="6" borderId="0" xfId="0" applyNumberFormat="1" applyFont="1" applyFill="1" applyAlignment="1" applyProtection="1">
      <alignment horizontal="center" vertical="center"/>
      <protection locked="0"/>
    </xf>
    <xf numFmtId="189" fontId="73" fillId="6" borderId="0" xfId="0" applyNumberFormat="1" applyFont="1" applyFill="1" applyAlignment="1" applyProtection="1">
      <alignment horizontal="center" vertical="center"/>
      <protection locked="0"/>
    </xf>
    <xf numFmtId="181" fontId="73" fillId="6" borderId="0" xfId="0" applyNumberFormat="1" applyFont="1" applyFill="1" applyAlignment="1" applyProtection="1">
      <alignment horizontal="center" vertical="center"/>
      <protection locked="0"/>
    </xf>
    <xf numFmtId="176" fontId="56" fillId="6" borderId="0" xfId="0" applyNumberFormat="1" applyFont="1" applyFill="1" applyAlignment="1" applyProtection="1">
      <alignment horizontal="center" vertical="center"/>
      <protection locked="0"/>
    </xf>
    <xf numFmtId="0" fontId="49"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56"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6" fillId="0" borderId="0" xfId="0" applyFont="1" applyFill="1" applyAlignment="1" applyProtection="1">
      <alignment horizontal="center" vertical="center"/>
    </xf>
    <xf numFmtId="189" fontId="56" fillId="0" borderId="0" xfId="0" applyNumberFormat="1" applyFont="1" applyFill="1" applyAlignment="1" applyProtection="1">
      <alignment horizontal="center" vertical="center"/>
    </xf>
    <xf numFmtId="181" fontId="56" fillId="0" borderId="0" xfId="0" applyNumberFormat="1" applyFont="1" applyFill="1" applyAlignment="1" applyProtection="1">
      <alignment horizontal="center" vertical="center"/>
    </xf>
    <xf numFmtId="0" fontId="58" fillId="6" borderId="0" xfId="0" applyFont="1" applyFill="1" applyAlignment="1" applyProtection="1">
      <protection locked="0"/>
    </xf>
    <xf numFmtId="0" fontId="56" fillId="6" borderId="0" xfId="0" applyFont="1" applyFill="1" applyBorder="1" applyAlignment="1" applyProtection="1">
      <protection locked="0"/>
    </xf>
    <xf numFmtId="189" fontId="56" fillId="6" borderId="0" xfId="0" applyNumberFormat="1" applyFont="1" applyFill="1" applyBorder="1" applyAlignment="1" applyProtection="1">
      <alignment horizontal="center"/>
      <protection locked="0"/>
    </xf>
    <xf numFmtId="181" fontId="56" fillId="6" borderId="0" xfId="0" applyNumberFormat="1" applyFont="1" applyFill="1" applyBorder="1" applyAlignment="1" applyProtection="1">
      <protection locked="0"/>
    </xf>
    <xf numFmtId="0" fontId="49" fillId="0" borderId="43"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protection locked="0"/>
    </xf>
    <xf numFmtId="9" fontId="77" fillId="5" borderId="1" xfId="0" applyNumberFormat="1" applyFont="1" applyFill="1" applyBorder="1" applyAlignment="1" applyProtection="1">
      <alignment horizontal="center" vertical="center"/>
      <protection locked="0"/>
    </xf>
    <xf numFmtId="49" fontId="52" fillId="6" borderId="6" xfId="0" applyNumberFormat="1" applyFont="1" applyFill="1" applyBorder="1" applyAlignment="1" applyProtection="1">
      <alignment horizontal="center" vertical="center"/>
      <protection locked="0"/>
    </xf>
    <xf numFmtId="49" fontId="57" fillId="6" borderId="11" xfId="0" applyNumberFormat="1" applyFont="1" applyFill="1" applyBorder="1" applyAlignment="1" applyProtection="1">
      <alignment vertical="center"/>
      <protection locked="0"/>
    </xf>
    <xf numFmtId="0" fontId="57" fillId="6" borderId="13" xfId="0" applyFont="1" applyFill="1" applyBorder="1" applyAlignment="1" applyProtection="1">
      <alignment vertical="center" wrapText="1"/>
      <protection locked="0"/>
    </xf>
    <xf numFmtId="0" fontId="52" fillId="6" borderId="13" xfId="0" applyFont="1" applyFill="1" applyBorder="1" applyAlignment="1" applyProtection="1">
      <alignment vertical="center"/>
      <protection locked="0"/>
    </xf>
    <xf numFmtId="0" fontId="52" fillId="6" borderId="1" xfId="0" applyFont="1" applyFill="1" applyBorder="1" applyAlignment="1" applyProtection="1">
      <alignment horizontal="left" vertical="center"/>
      <protection locked="0"/>
    </xf>
    <xf numFmtId="49" fontId="57" fillId="6" borderId="14" xfId="0" applyNumberFormat="1" applyFont="1" applyFill="1" applyBorder="1" applyAlignment="1" applyProtection="1">
      <alignment vertical="center"/>
      <protection locked="0"/>
    </xf>
    <xf numFmtId="0" fontId="57" fillId="6" borderId="15" xfId="0" applyFont="1" applyFill="1" applyBorder="1" applyAlignment="1" applyProtection="1">
      <alignment vertical="center" wrapText="1"/>
      <protection locked="0"/>
    </xf>
    <xf numFmtId="0" fontId="52" fillId="6" borderId="15" xfId="0" applyFont="1" applyFill="1" applyBorder="1" applyAlignment="1" applyProtection="1">
      <alignment vertical="center"/>
      <protection locked="0"/>
    </xf>
    <xf numFmtId="49" fontId="57" fillId="6" borderId="41" xfId="0" applyNumberFormat="1" applyFont="1" applyFill="1" applyBorder="1" applyAlignment="1" applyProtection="1">
      <alignment vertical="center"/>
      <protection locked="0"/>
    </xf>
    <xf numFmtId="0" fontId="57" fillId="6" borderId="2" xfId="0" applyFont="1" applyFill="1" applyBorder="1" applyAlignment="1" applyProtection="1">
      <alignment vertical="center" wrapText="1"/>
      <protection locked="0"/>
    </xf>
    <xf numFmtId="0" fontId="52" fillId="6" borderId="2" xfId="0" applyFont="1" applyFill="1" applyBorder="1" applyAlignment="1" applyProtection="1">
      <alignment vertical="center"/>
      <protection locked="0"/>
    </xf>
    <xf numFmtId="49" fontId="57" fillId="6" borderId="23" xfId="0" applyNumberFormat="1" applyFont="1" applyFill="1" applyBorder="1" applyAlignment="1" applyProtection="1">
      <alignment horizontal="left" vertical="center"/>
      <protection locked="0"/>
    </xf>
    <xf numFmtId="0" fontId="57" fillId="6" borderId="1" xfId="0" applyFont="1" applyFill="1" applyBorder="1" applyAlignment="1" applyProtection="1">
      <alignment horizontal="left" vertical="center"/>
      <protection locked="0"/>
    </xf>
    <xf numFmtId="0" fontId="57" fillId="6" borderId="1"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protection locked="0"/>
    </xf>
    <xf numFmtId="0" fontId="52" fillId="6" borderId="54"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52" fillId="6" borderId="13" xfId="0" applyFont="1" applyFill="1" applyBorder="1" applyAlignment="1" applyProtection="1">
      <alignment horizontal="left" vertical="center" wrapText="1"/>
      <protection locked="0"/>
    </xf>
    <xf numFmtId="0" fontId="52" fillId="6" borderId="2" xfId="0" applyFont="1" applyFill="1" applyBorder="1" applyAlignment="1" applyProtection="1">
      <alignment horizontal="left" vertical="center" wrapText="1"/>
      <protection locked="0"/>
    </xf>
    <xf numFmtId="0" fontId="57" fillId="6" borderId="1" xfId="0" applyFont="1" applyFill="1" applyBorder="1" applyAlignment="1" applyProtection="1">
      <alignment horizontal="left" vertical="center" wrapText="1"/>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center" vertical="center" wrapText="1"/>
      <protection locked="0"/>
    </xf>
    <xf numFmtId="0" fontId="52" fillId="6" borderId="15" xfId="0" applyFont="1" applyFill="1" applyBorder="1" applyAlignment="1" applyProtection="1">
      <alignment horizontal="left" vertical="center" wrapText="1"/>
      <protection locked="0"/>
    </xf>
    <xf numFmtId="49" fontId="57" fillId="6" borderId="25" xfId="0" applyNumberFormat="1" applyFont="1" applyFill="1" applyBorder="1" applyAlignment="1" applyProtection="1">
      <alignment horizontal="left" vertical="center"/>
      <protection locked="0"/>
    </xf>
    <xf numFmtId="0" fontId="57" fillId="6" borderId="32" xfId="0" applyFont="1" applyFill="1" applyBorder="1" applyAlignment="1" applyProtection="1">
      <alignment horizontal="left" vertical="center"/>
      <protection locked="0"/>
    </xf>
    <xf numFmtId="0" fontId="52" fillId="6" borderId="32" xfId="0" applyFont="1" applyFill="1" applyBorder="1" applyAlignment="1" applyProtection="1">
      <alignment vertical="center"/>
      <protection locked="0"/>
    </xf>
    <xf numFmtId="0" fontId="52" fillId="6" borderId="32" xfId="0" applyFont="1" applyFill="1" applyBorder="1" applyAlignment="1" applyProtection="1">
      <alignment horizontal="left" vertical="center"/>
      <protection locked="0"/>
    </xf>
    <xf numFmtId="49" fontId="57" fillId="6" borderId="55" xfId="0" applyNumberFormat="1" applyFont="1" applyFill="1" applyBorder="1" applyAlignment="1" applyProtection="1">
      <alignment horizontal="left" vertical="center"/>
      <protection locked="0"/>
    </xf>
    <xf numFmtId="49" fontId="57" fillId="6" borderId="18" xfId="0" applyNumberFormat="1" applyFont="1" applyFill="1" applyBorder="1" applyAlignment="1" applyProtection="1">
      <alignment horizontal="center" vertical="center"/>
      <protection locked="0"/>
    </xf>
    <xf numFmtId="49" fontId="57" fillId="6" borderId="18"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center" vertical="center"/>
      <protection locked="0"/>
    </xf>
    <xf numFmtId="0" fontId="57" fillId="6" borderId="58" xfId="0" applyFont="1" applyFill="1" applyBorder="1" applyAlignment="1" applyProtection="1">
      <alignment vertical="center" wrapText="1"/>
      <protection locked="0"/>
    </xf>
    <xf numFmtId="0" fontId="57" fillId="6" borderId="58" xfId="0" applyFont="1" applyFill="1" applyBorder="1" applyAlignment="1" applyProtection="1">
      <alignment horizontal="center" vertical="center"/>
      <protection locked="0"/>
    </xf>
    <xf numFmtId="0" fontId="52" fillId="6" borderId="3" xfId="0" applyFont="1" applyFill="1" applyBorder="1" applyAlignment="1" applyProtection="1">
      <alignment horizontal="left" vertical="center"/>
      <protection locked="0"/>
    </xf>
    <xf numFmtId="49" fontId="52"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2" fillId="6" borderId="32" xfId="0" applyFont="1" applyFill="1" applyBorder="1" applyAlignment="1" applyProtection="1">
      <alignment horizontal="center" vertical="center"/>
    </xf>
    <xf numFmtId="0" fontId="59" fillId="6" borderId="46" xfId="0" applyNumberFormat="1" applyFont="1" applyFill="1" applyBorder="1" applyAlignment="1" applyProtection="1">
      <alignment vertical="center" wrapText="1"/>
      <protection locked="0"/>
    </xf>
    <xf numFmtId="0" fontId="52" fillId="6" borderId="2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textRotation="255" wrapText="1"/>
      <protection locked="0"/>
    </xf>
    <xf numFmtId="0" fontId="65" fillId="6" borderId="58"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center" vertical="center" wrapText="1"/>
    </xf>
    <xf numFmtId="0" fontId="52" fillId="0" borderId="11"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58" fillId="0" borderId="46" xfId="0" applyNumberFormat="1" applyFont="1" applyFill="1" applyBorder="1" applyAlignment="1" applyProtection="1">
      <alignment horizontal="center" vertical="center" wrapText="1"/>
      <protection locked="0"/>
    </xf>
    <xf numFmtId="0" fontId="58" fillId="0" borderId="59" xfId="0" applyNumberFormat="1" applyFont="1" applyFill="1" applyBorder="1" applyAlignment="1" applyProtection="1">
      <alignment horizontal="center" vertical="center" wrapText="1"/>
      <protection locked="0"/>
    </xf>
    <xf numFmtId="0" fontId="58" fillId="6" borderId="56" xfId="0" applyNumberFormat="1" applyFont="1" applyFill="1" applyBorder="1" applyAlignment="1" applyProtection="1">
      <alignment horizontal="center" vertical="center" wrapText="1"/>
    </xf>
    <xf numFmtId="0" fontId="57" fillId="6" borderId="58" xfId="0" applyNumberFormat="1" applyFont="1" applyFill="1" applyBorder="1" applyAlignment="1" applyProtection="1">
      <alignment vertical="center" wrapText="1"/>
      <protection locked="0"/>
    </xf>
    <xf numFmtId="0" fontId="52" fillId="0" borderId="110" xfId="0" applyNumberFormat="1" applyFont="1" applyFill="1" applyBorder="1" applyAlignment="1" applyProtection="1">
      <alignment horizontal="center" vertical="center" wrapText="1"/>
      <protection locked="0"/>
    </xf>
    <xf numFmtId="0" fontId="52" fillId="0" borderId="111" xfId="0" applyNumberFormat="1" applyFont="1" applyFill="1" applyBorder="1" applyAlignment="1" applyProtection="1">
      <alignment horizontal="center" vertical="center" wrapText="1"/>
      <protection locked="0"/>
    </xf>
    <xf numFmtId="0" fontId="52" fillId="0" borderId="112" xfId="0" applyNumberFormat="1" applyFont="1" applyFill="1" applyBorder="1" applyAlignment="1" applyProtection="1">
      <alignment horizontal="center" vertical="center" wrapText="1"/>
      <protection locked="0"/>
    </xf>
    <xf numFmtId="0" fontId="52" fillId="0" borderId="114"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horizontal="center" vertical="center" wrapText="1"/>
    </xf>
    <xf numFmtId="0" fontId="58" fillId="6" borderId="13" xfId="0" applyNumberFormat="1" applyFont="1" applyFill="1" applyBorder="1" applyAlignment="1" applyProtection="1">
      <alignment horizontal="center" vertical="center" wrapText="1"/>
    </xf>
    <xf numFmtId="0" fontId="52" fillId="0" borderId="117" xfId="0" applyFont="1" applyFill="1" applyBorder="1" applyAlignment="1" applyProtection="1">
      <alignment horizontal="center" vertical="center"/>
      <protection locked="0"/>
    </xf>
    <xf numFmtId="0"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wrapText="1"/>
      <protection locked="0"/>
    </xf>
    <xf numFmtId="9"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protection locked="0"/>
    </xf>
    <xf numFmtId="0" fontId="52" fillId="0" borderId="114" xfId="0" applyFont="1" applyFill="1" applyBorder="1" applyAlignment="1" applyProtection="1">
      <alignment horizontal="center" vertical="center"/>
      <protection locked="0"/>
    </xf>
    <xf numFmtId="0" fontId="52" fillId="6" borderId="114" xfId="0" applyNumberFormat="1" applyFont="1" applyFill="1" applyBorder="1" applyAlignment="1" applyProtection="1">
      <alignment horizontal="center" vertical="center" wrapText="1"/>
    </xf>
    <xf numFmtId="0" fontId="58" fillId="0" borderId="115" xfId="0" applyNumberFormat="1" applyFont="1" applyFill="1" applyBorder="1" applyAlignment="1" applyProtection="1">
      <alignment horizontal="center" vertical="center" wrapText="1"/>
      <protection locked="0"/>
    </xf>
    <xf numFmtId="0" fontId="58" fillId="0" borderId="116" xfId="0" applyNumberFormat="1" applyFont="1" applyFill="1" applyBorder="1" applyAlignment="1" applyProtection="1">
      <alignment horizontal="center" vertical="center" wrapText="1"/>
      <protection locked="0"/>
    </xf>
    <xf numFmtId="0" fontId="52" fillId="10" borderId="6"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left" vertical="center" wrapText="1"/>
      <protection locked="0"/>
    </xf>
    <xf numFmtId="0" fontId="52" fillId="10" borderId="28" xfId="0" applyNumberFormat="1" applyFont="1" applyFill="1" applyBorder="1" applyAlignment="1" applyProtection="1">
      <alignment horizontal="center" vertical="center" wrapText="1"/>
      <protection locked="0"/>
    </xf>
    <xf numFmtId="0" fontId="52" fillId="10" borderId="29" xfId="0" applyFont="1" applyFill="1" applyBorder="1" applyAlignment="1" applyProtection="1">
      <alignment horizontal="center" vertical="center"/>
      <protection locked="0"/>
    </xf>
    <xf numFmtId="0"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wrapText="1"/>
      <protection locked="0"/>
    </xf>
    <xf numFmtId="9"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protection locked="0"/>
    </xf>
    <xf numFmtId="0" fontId="52" fillId="10" borderId="31" xfId="0" applyFont="1" applyFill="1" applyBorder="1" applyAlignment="1" applyProtection="1">
      <alignment horizontal="center" vertical="center"/>
      <protection locked="0"/>
    </xf>
    <xf numFmtId="0" fontId="57" fillId="10" borderId="97" xfId="0" applyNumberFormat="1" applyFont="1" applyFill="1" applyBorder="1" applyAlignment="1" applyProtection="1">
      <alignment vertical="center" wrapText="1"/>
      <protection locked="0"/>
    </xf>
    <xf numFmtId="0" fontId="52" fillId="10" borderId="42" xfId="0" applyNumberFormat="1" applyFont="1" applyFill="1" applyBorder="1" applyAlignment="1" applyProtection="1">
      <alignment horizontal="center" vertical="center" wrapText="1"/>
    </xf>
    <xf numFmtId="0" fontId="52" fillId="10" borderId="25" xfId="0" applyNumberFormat="1" applyFont="1" applyFill="1" applyBorder="1" applyAlignment="1" applyProtection="1">
      <alignment horizontal="center" vertical="center" wrapText="1"/>
      <protection locked="0"/>
    </xf>
    <xf numFmtId="0" fontId="58" fillId="10" borderId="32" xfId="0" applyNumberFormat="1" applyFont="1" applyFill="1" applyBorder="1" applyAlignment="1" applyProtection="1">
      <alignment horizontal="center" vertical="center" wrapText="1"/>
      <protection locked="0"/>
    </xf>
    <xf numFmtId="0" fontId="58" fillId="10" borderId="33" xfId="0" applyNumberFormat="1" applyFont="1" applyFill="1" applyBorder="1" applyAlignment="1" applyProtection="1">
      <alignment horizontal="center" vertical="center" wrapText="1"/>
      <protection locked="0"/>
    </xf>
    <xf numFmtId="0" fontId="58" fillId="10" borderId="68" xfId="0" applyNumberFormat="1" applyFont="1" applyFill="1" applyBorder="1" applyAlignment="1" applyProtection="1">
      <alignment horizontal="center" vertical="center" wrapText="1"/>
      <protection locked="0"/>
    </xf>
    <xf numFmtId="0" fontId="49" fillId="6" borderId="1" xfId="0" applyFont="1" applyFill="1" applyBorder="1" applyProtection="1">
      <alignment vertical="center"/>
    </xf>
    <xf numFmtId="176" fontId="49" fillId="6" borderId="1" xfId="0" applyNumberFormat="1" applyFont="1" applyFill="1" applyBorder="1" applyProtection="1">
      <alignment vertical="center"/>
    </xf>
    <xf numFmtId="0" fontId="49" fillId="6" borderId="1" xfId="0" applyFont="1" applyFill="1" applyBorder="1" applyAlignment="1" applyProtection="1">
      <alignment horizontal="right" vertical="center" wrapText="1"/>
    </xf>
    <xf numFmtId="181" fontId="54" fillId="6" borderId="1" xfId="0" applyNumberFormat="1" applyFont="1" applyFill="1" applyBorder="1" applyAlignment="1" applyProtection="1">
      <alignment horizontal="center" vertical="center"/>
      <protection locked="0"/>
    </xf>
    <xf numFmtId="179" fontId="52" fillId="6" borderId="23" xfId="1" applyNumberFormat="1" applyFont="1" applyFill="1" applyBorder="1" applyAlignment="1" applyProtection="1">
      <alignment horizontal="center"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xf>
    <xf numFmtId="179" fontId="49" fillId="6" borderId="25" xfId="1" applyNumberFormat="1" applyFont="1" applyFill="1" applyBorder="1" applyAlignment="1" applyProtection="1">
      <alignment horizontal="center" vertical="center"/>
    </xf>
    <xf numFmtId="181" fontId="49" fillId="6" borderId="1" xfId="0" applyNumberFormat="1" applyFont="1" applyFill="1" applyBorder="1" applyAlignment="1" applyProtection="1">
      <alignment vertical="center"/>
    </xf>
    <xf numFmtId="181" fontId="49" fillId="6" borderId="5" xfId="0" applyNumberFormat="1" applyFont="1" applyFill="1" applyBorder="1" applyAlignment="1" applyProtection="1">
      <alignment vertical="center"/>
    </xf>
    <xf numFmtId="181" fontId="49" fillId="6" borderId="24" xfId="0" applyNumberFormat="1" applyFont="1" applyFill="1" applyBorder="1" applyAlignment="1" applyProtection="1">
      <alignment vertical="center"/>
    </xf>
    <xf numFmtId="0" fontId="49" fillId="6" borderId="3" xfId="0" applyFont="1" applyFill="1" applyBorder="1" applyAlignment="1" applyProtection="1">
      <alignment vertical="center"/>
    </xf>
    <xf numFmtId="181" fontId="49" fillId="6" borderId="1" xfId="0" applyNumberFormat="1" applyFont="1" applyFill="1" applyBorder="1" applyAlignment="1" applyProtection="1">
      <alignment horizontal="center" vertical="center"/>
    </xf>
    <xf numFmtId="181" fontId="49" fillId="6" borderId="5" xfId="0" applyNumberFormat="1" applyFont="1" applyFill="1" applyBorder="1" applyAlignment="1" applyProtection="1">
      <alignment horizontal="center" vertical="center"/>
    </xf>
    <xf numFmtId="0" fontId="49" fillId="6" borderId="23" xfId="0"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xf>
    <xf numFmtId="183" fontId="49" fillId="6" borderId="1"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4" fontId="49" fillId="6" borderId="67" xfId="0" applyNumberFormat="1" applyFont="1" applyFill="1" applyBorder="1" applyAlignment="1" applyProtection="1">
      <alignment horizontal="center" vertical="center"/>
    </xf>
    <xf numFmtId="0" fontId="49" fillId="6" borderId="6" xfId="0" applyFont="1" applyFill="1" applyBorder="1" applyAlignment="1" applyProtection="1">
      <alignment horizontal="center" vertical="center" wrapText="1"/>
    </xf>
    <xf numFmtId="0" fontId="49" fillId="6" borderId="9"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2" fillId="3" borderId="5" xfId="0" applyFont="1" applyFill="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176" fontId="52" fillId="0" borderId="1" xfId="0" applyNumberFormat="1" applyFont="1" applyFill="1" applyBorder="1" applyAlignment="1" applyProtection="1">
      <alignment horizontal="center" vertical="center" wrapText="1"/>
      <protection locked="0"/>
    </xf>
    <xf numFmtId="179" fontId="49" fillId="6" borderId="2" xfId="0" applyNumberFormat="1" applyFont="1" applyFill="1" applyBorder="1" applyProtection="1">
      <alignment vertical="center"/>
    </xf>
    <xf numFmtId="181" fontId="57" fillId="0" borderId="24" xfId="0" applyNumberFormat="1" applyFont="1" applyFill="1" applyBorder="1" applyAlignment="1" applyProtection="1">
      <alignment horizontal="center" vertical="center"/>
      <protection locked="0"/>
    </xf>
    <xf numFmtId="0" fontId="52" fillId="6" borderId="46" xfId="0" applyFont="1" applyFill="1" applyBorder="1" applyAlignment="1" applyProtection="1">
      <alignment vertical="center"/>
      <protection locked="0"/>
    </xf>
    <xf numFmtId="0" fontId="52" fillId="6" borderId="7" xfId="0" applyFont="1" applyFill="1" applyBorder="1" applyAlignment="1" applyProtection="1">
      <alignment horizontal="left" vertical="center"/>
      <protection locked="0"/>
    </xf>
    <xf numFmtId="0" fontId="57" fillId="6" borderId="8" xfId="0" applyFont="1" applyFill="1" applyBorder="1" applyAlignment="1" applyProtection="1">
      <alignment horizontal="center" vertical="center"/>
    </xf>
    <xf numFmtId="0" fontId="52" fillId="6" borderId="29" xfId="0" applyFont="1" applyFill="1" applyBorder="1" applyAlignment="1" applyProtection="1">
      <alignment horizontal="right" vertical="center"/>
      <protection locked="0"/>
    </xf>
    <xf numFmtId="0" fontId="52" fillId="6" borderId="31" xfId="0" applyFont="1" applyFill="1" applyBorder="1" applyAlignment="1" applyProtection="1">
      <alignment horizontal="center" vertical="center"/>
      <protection locked="0"/>
    </xf>
    <xf numFmtId="0" fontId="59" fillId="7" borderId="24"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xf>
    <xf numFmtId="0" fontId="63"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6"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7" fillId="6" borderId="4" xfId="0" applyFont="1" applyFill="1" applyBorder="1" applyAlignment="1" applyProtection="1">
      <alignment horizontal="center" vertical="center"/>
    </xf>
    <xf numFmtId="49" fontId="52" fillId="6" borderId="11" xfId="0" applyNumberFormat="1" applyFont="1" applyFill="1" applyBorder="1" applyAlignment="1" applyProtection="1">
      <alignment horizontal="left" vertical="center"/>
    </xf>
    <xf numFmtId="0" fontId="52" fillId="6" borderId="15" xfId="0" applyFont="1" applyFill="1" applyBorder="1" applyAlignment="1" applyProtection="1">
      <alignment horizontal="center"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49" fontId="52" fillId="6" borderId="35" xfId="0" applyNumberFormat="1" applyFont="1" applyFill="1" applyBorder="1" applyAlignment="1" applyProtection="1">
      <alignment horizontal="left" vertical="center"/>
    </xf>
    <xf numFmtId="0" fontId="57" fillId="6" borderId="22"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2" fillId="6" borderId="3" xfId="0" applyFont="1" applyFill="1" applyBorder="1" applyAlignment="1" applyProtection="1">
      <alignment horizontal="left" vertical="center"/>
    </xf>
    <xf numFmtId="49" fontId="57" fillId="6" borderId="69" xfId="0" applyNumberFormat="1" applyFont="1" applyFill="1" applyBorder="1" applyAlignment="1" applyProtection="1">
      <alignment vertical="center"/>
    </xf>
    <xf numFmtId="10" fontId="5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6" fillId="0" borderId="1" xfId="0" applyNumberFormat="1" applyFont="1" applyFill="1" applyBorder="1" applyAlignment="1">
      <alignment horizontal="center" vertical="center"/>
    </xf>
    <xf numFmtId="177" fontId="86" fillId="0" borderId="1" xfId="0" applyNumberFormat="1" applyFont="1" applyFill="1" applyBorder="1" applyAlignment="1">
      <alignment horizontal="center" vertical="center"/>
    </xf>
    <xf numFmtId="0" fontId="86" fillId="0" borderId="24" xfId="0" applyFont="1" applyFill="1" applyBorder="1" applyAlignment="1">
      <alignment horizontal="center" vertical="center"/>
    </xf>
    <xf numFmtId="0" fontId="39"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9"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6" fillId="0" borderId="49" xfId="0" applyFont="1" applyFill="1" applyBorder="1" applyAlignment="1">
      <alignment horizontal="center" vertical="center"/>
    </xf>
    <xf numFmtId="0" fontId="146"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57" fillId="6" borderId="41" xfId="0" applyNumberFormat="1" applyFont="1" applyFill="1" applyBorder="1" applyAlignment="1" applyProtection="1">
      <alignment horizontal="left" vertical="center"/>
    </xf>
    <xf numFmtId="0" fontId="57" fillId="6" borderId="2" xfId="0" applyFont="1" applyFill="1" applyBorder="1" applyAlignment="1" applyProtection="1">
      <alignment horizontal="left" vertical="center"/>
    </xf>
    <xf numFmtId="0" fontId="52" fillId="6" borderId="15" xfId="0" applyFont="1" applyFill="1" applyBorder="1" applyAlignment="1" applyProtection="1">
      <alignment horizontal="left" vertical="center"/>
    </xf>
    <xf numFmtId="181" fontId="52" fillId="6" borderId="53" xfId="0" applyNumberFormat="1" applyFont="1" applyFill="1" applyBorder="1" applyAlignment="1" applyProtection="1">
      <alignment horizontal="center" vertical="center"/>
    </xf>
    <xf numFmtId="49" fontId="52" fillId="6" borderId="91" xfId="0" applyNumberFormat="1" applyFont="1" applyFill="1" applyBorder="1" applyAlignment="1" applyProtection="1">
      <alignment vertical="center"/>
    </xf>
    <xf numFmtId="0" fontId="57" fillId="0" borderId="78" xfId="0" applyFont="1" applyFill="1" applyBorder="1" applyAlignment="1" applyProtection="1">
      <alignment horizontal="center" vertical="center"/>
      <protection locked="0"/>
    </xf>
    <xf numFmtId="0" fontId="52" fillId="6" borderId="78" xfId="0" applyFont="1" applyFill="1" applyBorder="1" applyAlignment="1" applyProtection="1">
      <alignment vertical="center"/>
    </xf>
    <xf numFmtId="181" fontId="57" fillId="6" borderId="79" xfId="0" applyNumberFormat="1"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49" fontId="52" fillId="6" borderId="91" xfId="0" applyNumberFormat="1" applyFont="1" applyFill="1" applyBorder="1" applyAlignment="1" applyProtection="1">
      <alignment horizontal="left" vertical="center"/>
    </xf>
    <xf numFmtId="0" fontId="52" fillId="6" borderId="78" xfId="0" applyFont="1" applyFill="1" applyBorder="1" applyAlignment="1" applyProtection="1">
      <alignment horizontal="left" vertical="center"/>
    </xf>
    <xf numFmtId="0" fontId="52" fillId="6" borderId="78" xfId="0" applyFont="1" applyFill="1" applyBorder="1" applyAlignment="1" applyProtection="1">
      <alignment horizontal="center" vertical="center"/>
    </xf>
    <xf numFmtId="0" fontId="52" fillId="6" borderId="78" xfId="0" applyFont="1" applyFill="1" applyBorder="1" applyAlignment="1" applyProtection="1">
      <alignment horizontal="left" vertical="center" wrapText="1"/>
    </xf>
    <xf numFmtId="181" fontId="52" fillId="6" borderId="79" xfId="0" applyNumberFormat="1" applyFont="1" applyFill="1" applyBorder="1" applyAlignment="1" applyProtection="1">
      <alignment horizontal="center" vertical="center"/>
    </xf>
    <xf numFmtId="0" fontId="57" fillId="6" borderId="2" xfId="0" applyFont="1" applyFill="1" applyBorder="1" applyAlignment="1" applyProtection="1">
      <alignment horizontal="left" vertical="center" wrapText="1"/>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52" fillId="6" borderId="85" xfId="0" applyFont="1" applyFill="1" applyBorder="1" applyAlignment="1" applyProtection="1">
      <alignment vertical="center"/>
    </xf>
    <xf numFmtId="181" fontId="57" fillId="6" borderId="78" xfId="0" applyNumberFormat="1" applyFont="1" applyFill="1" applyBorder="1" applyAlignment="1" applyProtection="1">
      <alignment horizontal="center" vertical="center"/>
    </xf>
    <xf numFmtId="0" fontId="52" fillId="6" borderId="85" xfId="0" applyFont="1" applyFill="1" applyBorder="1" applyAlignment="1" applyProtection="1">
      <alignment horizontal="left" vertical="center"/>
    </xf>
    <xf numFmtId="0" fontId="52" fillId="6" borderId="7" xfId="0"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49" fontId="52" fillId="6" borderId="7" xfId="0" applyNumberFormat="1" applyFont="1" applyFill="1" applyBorder="1" applyAlignment="1" applyProtection="1">
      <alignment vertical="center"/>
    </xf>
    <xf numFmtId="178" fontId="59" fillId="6" borderId="1" xfId="0" applyNumberFormat="1" applyFont="1" applyFill="1" applyBorder="1" applyAlignment="1" applyProtection="1">
      <alignment horizontal="center" vertical="center"/>
    </xf>
    <xf numFmtId="178" fontId="58" fillId="6" borderId="1"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187" fontId="52" fillId="6" borderId="3" xfId="0" applyNumberFormat="1" applyFont="1" applyFill="1" applyBorder="1" applyAlignment="1" applyProtection="1">
      <alignment horizontal="center" vertical="center"/>
    </xf>
    <xf numFmtId="177" fontId="52" fillId="6" borderId="0"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vertical="center"/>
    </xf>
    <xf numFmtId="49" fontId="52" fillId="6" borderId="18" xfId="0" applyNumberFormat="1" applyFont="1" applyFill="1" applyBorder="1" applyAlignment="1" applyProtection="1">
      <alignment horizontal="center" vertical="center"/>
      <protection locked="0"/>
    </xf>
    <xf numFmtId="49" fontId="57" fillId="6" borderId="37" xfId="0" applyNumberFormat="1" applyFont="1" applyFill="1" applyBorder="1" applyAlignment="1" applyProtection="1">
      <alignment horizontal="left" vertical="center"/>
      <protection locked="0"/>
    </xf>
    <xf numFmtId="0" fontId="52" fillId="6" borderId="5" xfId="0" applyFont="1" applyFill="1" applyBorder="1" applyAlignment="1" applyProtection="1">
      <alignment horizontal="center" vertical="center"/>
      <protection locked="0"/>
    </xf>
    <xf numFmtId="0" fontId="52" fillId="6" borderId="5" xfId="0" applyFont="1" applyFill="1" applyBorder="1" applyAlignment="1" applyProtection="1">
      <alignment horizontal="right" vertical="center"/>
      <protection locked="0"/>
    </xf>
    <xf numFmtId="0" fontId="57" fillId="6" borderId="46" xfId="0" applyFont="1" applyFill="1" applyBorder="1" applyAlignment="1" applyProtection="1">
      <alignment horizontal="center" vertical="center"/>
    </xf>
    <xf numFmtId="0" fontId="62" fillId="6" borderId="0" xfId="0" applyFont="1" applyFill="1" applyBorder="1" applyAlignment="1" applyProtection="1">
      <alignment vertical="center"/>
    </xf>
    <xf numFmtId="181" fontId="57" fillId="5" borderId="61" xfId="0" applyNumberFormat="1" applyFont="1" applyFill="1" applyBorder="1" applyAlignment="1" applyProtection="1">
      <alignment horizontal="center" vertical="center"/>
      <protection locked="0"/>
    </xf>
    <xf numFmtId="0" fontId="52" fillId="6" borderId="17" xfId="0" applyFont="1" applyFill="1" applyBorder="1" applyAlignment="1" applyProtection="1">
      <alignment horizontal="center" vertical="center"/>
    </xf>
    <xf numFmtId="0" fontId="57" fillId="6" borderId="58" xfId="0" applyFont="1" applyFill="1" applyBorder="1" applyAlignment="1" applyProtection="1">
      <alignment horizontal="center" vertical="center"/>
    </xf>
    <xf numFmtId="9" fontId="58" fillId="6" borderId="24"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protection locked="0"/>
    </xf>
    <xf numFmtId="0" fontId="58" fillId="7" borderId="0" xfId="0" applyFont="1" applyFill="1" applyAlignment="1" applyProtection="1">
      <alignment horizontal="center" vertical="center" wrapText="1"/>
      <protection locked="0"/>
    </xf>
    <xf numFmtId="0" fontId="58" fillId="7" borderId="0" xfId="0" applyFont="1" applyFill="1" applyAlignment="1" applyProtection="1">
      <alignment horizontal="center" vertical="center" wrapText="1"/>
    </xf>
    <xf numFmtId="10" fontId="58" fillId="6" borderId="49" xfId="0" applyNumberFormat="1" applyFont="1" applyFill="1" applyBorder="1" applyAlignment="1" applyProtection="1">
      <alignment horizontal="center" vertical="center" wrapText="1"/>
    </xf>
    <xf numFmtId="0" fontId="58" fillId="7" borderId="0" xfId="0" applyNumberFormat="1" applyFont="1" applyFill="1" applyAlignment="1" applyProtection="1">
      <alignment horizontal="center" vertical="center" wrapText="1"/>
      <protection locked="0"/>
    </xf>
    <xf numFmtId="14" fontId="58" fillId="7" borderId="0" xfId="0" applyNumberFormat="1" applyFont="1" applyFill="1" applyAlignment="1" applyProtection="1">
      <alignment horizontal="center" vertical="center" wrapText="1"/>
      <protection locked="0"/>
    </xf>
    <xf numFmtId="10" fontId="58" fillId="7" borderId="0" xfId="0" applyNumberFormat="1" applyFont="1" applyFill="1" applyAlignment="1" applyProtection="1">
      <alignment horizontal="center" vertical="center" wrapText="1"/>
      <protection locked="0"/>
    </xf>
    <xf numFmtId="0" fontId="56" fillId="7" borderId="0" xfId="0" applyFont="1" applyFill="1" applyAlignment="1" applyProtection="1">
      <alignment vertical="center" wrapText="1"/>
      <protection locked="0"/>
    </xf>
    <xf numFmtId="0" fontId="56" fillId="7" borderId="0" xfId="0" applyFont="1" applyFill="1" applyAlignment="1" applyProtection="1">
      <alignment vertical="center" wrapText="1"/>
    </xf>
    <xf numFmtId="49" fontId="62" fillId="6" borderId="0" xfId="1" applyNumberFormat="1" applyFont="1" applyFill="1" applyBorder="1" applyAlignment="1" applyProtection="1">
      <alignment horizontal="right" vertical="center"/>
    </xf>
    <xf numFmtId="0" fontId="59" fillId="6" borderId="1"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center" vertical="center"/>
    </xf>
    <xf numFmtId="0" fontId="56" fillId="6" borderId="45" xfId="0" applyNumberFormat="1" applyFont="1" applyFill="1" applyBorder="1" applyAlignment="1" applyProtection="1">
      <alignment horizontal="center" vertical="center" wrapText="1"/>
    </xf>
    <xf numFmtId="0" fontId="63" fillId="6" borderId="14" xfId="0" applyNumberFormat="1"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9" fillId="0" borderId="5" xfId="0" applyFont="1" applyFill="1" applyBorder="1" applyAlignment="1" applyProtection="1">
      <alignment horizontal="center" vertical="center" wrapText="1"/>
      <protection locked="0"/>
    </xf>
    <xf numFmtId="0" fontId="56" fillId="0" borderId="5" xfId="0" applyFont="1" applyFill="1" applyBorder="1" applyAlignment="1" applyProtection="1">
      <alignment horizontal="center" vertical="center"/>
      <protection locked="0"/>
    </xf>
    <xf numFmtId="0" fontId="54" fillId="0" borderId="33" xfId="0" applyFont="1" applyFill="1" applyBorder="1" applyAlignment="1" applyProtection="1">
      <alignment horizontal="center" vertical="center"/>
      <protection locked="0"/>
    </xf>
    <xf numFmtId="0" fontId="56"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9" fillId="6" borderId="23" xfId="0" applyFont="1" applyFill="1" applyBorder="1" applyProtection="1">
      <alignment vertical="center"/>
    </xf>
    <xf numFmtId="0" fontId="49" fillId="6" borderId="0" xfId="0" applyFont="1" applyFill="1" applyProtection="1">
      <alignment vertical="center"/>
      <protection locked="0"/>
    </xf>
    <xf numFmtId="176" fontId="51" fillId="6" borderId="1" xfId="0" applyNumberFormat="1" applyFont="1" applyFill="1" applyBorder="1" applyAlignment="1" applyProtection="1">
      <alignment vertical="center"/>
    </xf>
    <xf numFmtId="176" fontId="51" fillId="6" borderId="1" xfId="0" applyNumberFormat="1" applyFont="1" applyFill="1" applyBorder="1" applyAlignment="1" applyProtection="1">
      <alignment horizontal="center" vertical="center"/>
    </xf>
    <xf numFmtId="176" fontId="51" fillId="6" borderId="24" xfId="0" applyNumberFormat="1" applyFont="1" applyFill="1" applyBorder="1" applyAlignment="1" applyProtection="1">
      <alignment vertical="center"/>
    </xf>
    <xf numFmtId="176" fontId="51" fillId="6" borderId="25" xfId="0" applyNumberFormat="1" applyFont="1" applyFill="1" applyBorder="1" applyAlignment="1" applyProtection="1">
      <alignment vertical="center"/>
    </xf>
    <xf numFmtId="176" fontId="51" fillId="6" borderId="76" xfId="0" applyNumberFormat="1" applyFont="1" applyFill="1" applyBorder="1" applyAlignment="1" applyProtection="1">
      <alignment vertical="center"/>
    </xf>
    <xf numFmtId="0" fontId="49" fillId="6" borderId="11" xfId="0" applyFont="1" applyFill="1" applyBorder="1" applyProtection="1">
      <alignment vertical="center"/>
    </xf>
    <xf numFmtId="0" fontId="49" fillId="6" borderId="13" xfId="0" applyFont="1" applyFill="1" applyBorder="1" applyProtection="1">
      <alignment vertical="center"/>
    </xf>
    <xf numFmtId="0" fontId="51" fillId="6" borderId="25" xfId="0" applyFont="1" applyFill="1" applyBorder="1" applyProtection="1">
      <alignment vertical="center"/>
    </xf>
    <xf numFmtId="0" fontId="51" fillId="6" borderId="32" xfId="0" applyFont="1" applyFill="1" applyBorder="1" applyProtection="1">
      <alignment vertical="center"/>
    </xf>
    <xf numFmtId="0" fontId="49" fillId="6" borderId="49" xfId="0" applyFont="1" applyFill="1" applyBorder="1" applyProtection="1">
      <alignment vertical="center"/>
    </xf>
    <xf numFmtId="0" fontId="49" fillId="6" borderId="24" xfId="0" applyFont="1" applyFill="1" applyBorder="1" applyProtection="1">
      <alignment vertical="center"/>
    </xf>
    <xf numFmtId="0" fontId="51" fillId="6" borderId="49" xfId="0" applyFont="1" applyFill="1" applyBorder="1" applyProtection="1">
      <alignment vertical="center"/>
    </xf>
    <xf numFmtId="49" fontId="57" fillId="6" borderId="22" xfId="0" applyNumberFormat="1" applyFont="1" applyFill="1" applyBorder="1" applyAlignment="1" applyProtection="1">
      <alignment horizontal="left" vertical="center"/>
      <protection locked="0"/>
    </xf>
    <xf numFmtId="49" fontId="57" fillId="6" borderId="41" xfId="0" applyNumberFormat="1" applyFont="1" applyFill="1" applyBorder="1" applyAlignment="1" applyProtection="1">
      <alignment horizontal="left" vertical="center"/>
      <protection locked="0"/>
    </xf>
    <xf numFmtId="0" fontId="55" fillId="6" borderId="51" xfId="0" applyNumberFormat="1" applyFont="1" applyFill="1" applyBorder="1" applyAlignment="1" applyProtection="1">
      <alignment horizontal="right" vertical="center" wrapText="1"/>
    </xf>
    <xf numFmtId="0" fontId="55" fillId="6" borderId="21" xfId="0" applyNumberFormat="1" applyFont="1" applyFill="1" applyBorder="1" applyAlignment="1" applyProtection="1">
      <alignment vertical="center" wrapText="1"/>
    </xf>
    <xf numFmtId="0" fontId="75" fillId="3" borderId="20" xfId="0" applyNumberFormat="1" applyFont="1" applyFill="1" applyBorder="1" applyAlignment="1" applyProtection="1">
      <alignment vertical="center" wrapText="1"/>
      <protection locked="0"/>
    </xf>
    <xf numFmtId="0" fontId="75" fillId="6" borderId="20" xfId="0" applyNumberFormat="1" applyFont="1" applyFill="1" applyBorder="1" applyAlignment="1" applyProtection="1">
      <alignment vertical="center" wrapText="1"/>
    </xf>
    <xf numFmtId="0" fontId="75" fillId="3" borderId="51" xfId="0" applyNumberFormat="1" applyFont="1" applyFill="1" applyBorder="1" applyAlignment="1" applyProtection="1">
      <alignment vertical="center" wrapText="1"/>
      <protection locked="0"/>
    </xf>
    <xf numFmtId="0" fontId="75" fillId="6" borderId="21" xfId="0" applyNumberFormat="1" applyFont="1" applyFill="1" applyBorder="1" applyAlignment="1" applyProtection="1">
      <alignment vertical="center" wrapText="1"/>
    </xf>
    <xf numFmtId="0" fontId="55" fillId="6" borderId="38" xfId="0" applyNumberFormat="1" applyFont="1" applyFill="1" applyBorder="1" applyAlignment="1" applyProtection="1">
      <alignment vertical="center" wrapText="1"/>
    </xf>
    <xf numFmtId="0" fontId="55" fillId="6" borderId="68" xfId="0" applyNumberFormat="1" applyFont="1" applyFill="1" applyBorder="1" applyAlignment="1" applyProtection="1">
      <alignment vertical="center" wrapText="1"/>
    </xf>
    <xf numFmtId="0" fontId="55" fillId="6" borderId="52" xfId="0" applyNumberFormat="1" applyFont="1" applyFill="1" applyBorder="1" applyAlignment="1" applyProtection="1">
      <alignment vertical="center" wrapText="1"/>
    </xf>
    <xf numFmtId="0" fontId="55" fillId="6" borderId="47" xfId="0" applyNumberFormat="1" applyFont="1" applyFill="1" applyBorder="1" applyAlignment="1" applyProtection="1">
      <alignment vertical="center" wrapText="1"/>
      <protection locked="0"/>
    </xf>
    <xf numFmtId="0" fontId="55" fillId="6" borderId="47" xfId="0" applyNumberFormat="1" applyFont="1" applyFill="1" applyBorder="1" applyAlignment="1" applyProtection="1">
      <alignment vertical="center" wrapText="1"/>
    </xf>
    <xf numFmtId="0" fontId="62" fillId="6" borderId="2" xfId="0" applyFont="1" applyFill="1" applyBorder="1" applyAlignment="1" applyProtection="1">
      <alignment horizontal="right" vertical="center"/>
    </xf>
    <xf numFmtId="0" fontId="67" fillId="6" borderId="58" xfId="0" applyFont="1" applyFill="1" applyBorder="1" applyAlignment="1" applyProtection="1">
      <alignment horizontal="center" vertical="center"/>
    </xf>
    <xf numFmtId="0" fontId="56" fillId="6" borderId="58" xfId="0" applyFont="1" applyFill="1" applyBorder="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0" fontId="56" fillId="6" borderId="58" xfId="0" applyFont="1" applyFill="1" applyBorder="1" applyAlignment="1" applyProtection="1">
      <protection locked="0"/>
    </xf>
    <xf numFmtId="9" fontId="49" fillId="6" borderId="0" xfId="0" applyNumberFormat="1" applyFont="1" applyFill="1" applyBorder="1" applyAlignment="1" applyProtection="1">
      <alignment horizontal="center" vertical="center" wrapText="1"/>
      <protection locked="0"/>
    </xf>
    <xf numFmtId="0" fontId="61" fillId="6" borderId="0" xfId="0" applyFont="1" applyFill="1" applyBorder="1" applyAlignment="1" applyProtection="1">
      <protection locked="0"/>
    </xf>
    <xf numFmtId="0" fontId="56"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9" fillId="6" borderId="0" xfId="0" applyFont="1" applyFill="1" applyAlignment="1" applyProtection="1">
      <alignment horizontal="center" vertical="center"/>
      <protection locked="0"/>
    </xf>
    <xf numFmtId="9" fontId="49" fillId="6" borderId="58" xfId="0" applyNumberFormat="1" applyFont="1" applyFill="1" applyBorder="1" applyAlignment="1" applyProtection="1">
      <alignment horizontal="center" vertical="center" wrapText="1"/>
      <protection locked="0"/>
    </xf>
    <xf numFmtId="0" fontId="49" fillId="6" borderId="58" xfId="0" applyFont="1" applyFill="1" applyBorder="1" applyAlignment="1" applyProtection="1">
      <alignment horizontal="center"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0" fontId="54" fillId="6" borderId="0" xfId="0" applyFont="1" applyFill="1" applyAlignment="1" applyProtection="1">
      <alignment horizontal="center" vertical="center"/>
      <protection locked="0"/>
    </xf>
    <xf numFmtId="0" fontId="54" fillId="6" borderId="58" xfId="0" applyFont="1" applyFill="1" applyBorder="1" applyAlignment="1" applyProtection="1">
      <alignment horizontal="center" vertical="center"/>
      <protection locked="0"/>
    </xf>
    <xf numFmtId="9" fontId="54" fillId="6" borderId="0" xfId="0" applyNumberFormat="1" applyFont="1" applyFill="1" applyBorder="1" applyAlignment="1" applyProtection="1">
      <alignment horizontal="center" vertical="center"/>
      <protection locked="0"/>
    </xf>
    <xf numFmtId="0" fontId="49"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wrapText="1"/>
      <protection locked="0"/>
    </xf>
    <xf numFmtId="9" fontId="56" fillId="6" borderId="0"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protection locked="0"/>
    </xf>
    <xf numFmtId="49" fontId="49" fillId="6" borderId="0" xfId="0" applyNumberFormat="1" applyFont="1" applyFill="1" applyAlignment="1" applyProtection="1">
      <alignment horizontal="center" vertical="center"/>
      <protection locked="0"/>
    </xf>
    <xf numFmtId="0" fontId="62" fillId="6" borderId="5" xfId="1" applyFont="1" applyFill="1" applyBorder="1" applyAlignment="1" applyProtection="1">
      <alignment horizontal="right" vertical="center"/>
    </xf>
    <xf numFmtId="0" fontId="51" fillId="6" borderId="33" xfId="0" applyFont="1" applyFill="1" applyBorder="1" applyAlignment="1" applyProtection="1">
      <alignment horizontal="center" vertical="center"/>
    </xf>
    <xf numFmtId="181" fontId="49" fillId="6" borderId="49" xfId="0" applyNumberFormat="1" applyFont="1" applyFill="1" applyBorder="1" applyProtection="1">
      <alignment vertical="center"/>
    </xf>
    <xf numFmtId="0" fontId="49" fillId="6" borderId="24" xfId="1" applyNumberFormat="1" applyFont="1" applyFill="1" applyBorder="1" applyAlignment="1" applyProtection="1">
      <alignment horizontal="center" vertical="center"/>
    </xf>
    <xf numFmtId="0" fontId="66"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4"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4"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8"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8"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6" fillId="0" borderId="3" xfId="8" applyNumberFormat="1" applyFont="1" applyFill="1" applyBorder="1" applyAlignment="1" applyProtection="1">
      <alignment horizontal="center" vertical="center" wrapText="1"/>
      <protection locked="0"/>
    </xf>
    <xf numFmtId="10" fontId="58" fillId="6" borderId="24" xfId="8" applyNumberFormat="1" applyFont="1" applyFill="1" applyBorder="1" applyAlignment="1" applyProtection="1">
      <alignment horizontal="center" vertical="center" wrapText="1"/>
    </xf>
    <xf numFmtId="10" fontId="56" fillId="0" borderId="66" xfId="8" applyNumberFormat="1" applyFont="1" applyFill="1" applyBorder="1" applyAlignment="1" applyProtection="1">
      <alignment horizontal="center" vertical="center" wrapText="1"/>
      <protection locked="0"/>
    </xf>
    <xf numFmtId="10" fontId="58" fillId="6" borderId="49" xfId="8" applyNumberFormat="1" applyFont="1" applyFill="1" applyBorder="1" applyAlignment="1" applyProtection="1">
      <alignment horizontal="center" vertical="center" wrapText="1"/>
    </xf>
    <xf numFmtId="0" fontId="56" fillId="6" borderId="47" xfId="8" applyFont="1" applyFill="1" applyBorder="1" applyAlignment="1" applyProtection="1">
      <alignment vertical="center" wrapText="1"/>
      <protection locked="0"/>
    </xf>
    <xf numFmtId="0" fontId="49" fillId="6" borderId="22" xfId="0" applyNumberFormat="1" applyFont="1" applyFill="1" applyBorder="1" applyAlignment="1" applyProtection="1">
      <alignment horizontal="center" vertical="center" wrapText="1"/>
      <protection locked="0"/>
    </xf>
    <xf numFmtId="0" fontId="49" fillId="0" borderId="5" xfId="0" applyNumberFormat="1" applyFont="1" applyFill="1" applyBorder="1" applyAlignment="1" applyProtection="1">
      <alignment horizontal="center" vertical="center" wrapText="1"/>
      <protection locked="0"/>
    </xf>
    <xf numFmtId="0" fontId="49" fillId="0" borderId="48" xfId="0" applyNumberFormat="1" applyFont="1" applyFill="1" applyBorder="1" applyAlignment="1" applyProtection="1">
      <alignment horizontal="center" vertical="center" wrapText="1"/>
      <protection locked="0"/>
    </xf>
    <xf numFmtId="0" fontId="49" fillId="0" borderId="24" xfId="0" applyNumberFormat="1" applyFont="1" applyFill="1" applyBorder="1" applyAlignment="1" applyProtection="1">
      <alignment horizontal="center" vertical="center" wrapText="1"/>
      <protection locked="0"/>
    </xf>
    <xf numFmtId="49" fontId="49" fillId="0" borderId="18" xfId="0" applyNumberFormat="1" applyFont="1" applyFill="1" applyBorder="1" applyAlignment="1" applyProtection="1">
      <alignment horizontal="center" vertical="center"/>
      <protection locked="0"/>
    </xf>
    <xf numFmtId="49" fontId="49" fillId="0" borderId="58" xfId="0" applyNumberFormat="1" applyFont="1" applyFill="1" applyBorder="1" applyAlignment="1" applyProtection="1">
      <alignment horizontal="center" vertical="center"/>
      <protection locked="0"/>
    </xf>
    <xf numFmtId="0" fontId="49" fillId="6" borderId="30"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protection locked="0"/>
    </xf>
    <xf numFmtId="190" fontId="49" fillId="6" borderId="30"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190" fontId="49" fillId="6" borderId="39" xfId="0" applyNumberFormat="1" applyFont="1" applyFill="1" applyBorder="1" applyAlignment="1" applyProtection="1">
      <alignment horizontal="center" vertical="center" wrapText="1"/>
    </xf>
    <xf numFmtId="0" fontId="52" fillId="0" borderId="54" xfId="0" applyFont="1" applyFill="1" applyBorder="1" applyAlignment="1" applyProtection="1">
      <alignment vertical="center"/>
      <protection locked="0"/>
    </xf>
    <xf numFmtId="0" fontId="52" fillId="6" borderId="36" xfId="0" applyFont="1" applyFill="1" applyBorder="1" applyAlignment="1" applyProtection="1">
      <alignment vertical="center"/>
    </xf>
    <xf numFmtId="0" fontId="52" fillId="6" borderId="60" xfId="0" applyFont="1" applyFill="1" applyBorder="1" applyAlignment="1" applyProtection="1">
      <alignment horizontal="left" vertical="center"/>
    </xf>
    <xf numFmtId="0" fontId="50" fillId="5" borderId="3" xfId="1" applyFont="1" applyFill="1" applyBorder="1" applyAlignment="1" applyProtection="1">
      <alignment vertical="center"/>
    </xf>
    <xf numFmtId="0" fontId="52" fillId="6" borderId="0" xfId="0" applyFont="1" applyFill="1" applyAlignment="1" applyProtection="1">
      <alignment vertical="center"/>
      <protection locked="0"/>
    </xf>
    <xf numFmtId="0" fontId="50" fillId="5" borderId="5" xfId="1" applyFont="1" applyFill="1" applyBorder="1" applyAlignment="1" applyProtection="1">
      <alignment horizontal="left" vertical="center"/>
      <protection locked="0"/>
    </xf>
    <xf numFmtId="0" fontId="67"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3" fillId="6" borderId="1" xfId="8" applyFont="1" applyFill="1" applyBorder="1" applyAlignment="1" applyProtection="1">
      <alignment horizontal="center" vertical="center" wrapText="1"/>
    </xf>
    <xf numFmtId="0" fontId="63" fillId="0" borderId="1" xfId="8" applyFont="1" applyFill="1" applyBorder="1" applyAlignment="1" applyProtection="1">
      <alignment horizontal="center" vertical="center" wrapText="1"/>
      <protection locked="0"/>
    </xf>
    <xf numFmtId="0" fontId="58" fillId="6" borderId="1" xfId="8" applyFont="1" applyFill="1" applyBorder="1" applyAlignment="1" applyProtection="1">
      <alignment horizontal="center" vertical="center" wrapText="1"/>
      <protection locked="0"/>
    </xf>
    <xf numFmtId="179" fontId="58" fillId="6" borderId="1" xfId="8" applyNumberFormat="1" applyFont="1" applyFill="1" applyBorder="1" applyAlignment="1" applyProtection="1">
      <alignment horizontal="center" vertical="center" wrapText="1"/>
      <protection locked="0"/>
    </xf>
    <xf numFmtId="0" fontId="58" fillId="6" borderId="0" xfId="8" applyFont="1" applyFill="1" applyAlignment="1" applyProtection="1">
      <alignment vertical="center" wrapText="1"/>
      <protection locked="0"/>
    </xf>
    <xf numFmtId="0" fontId="58" fillId="6" borderId="0" xfId="8" applyFont="1" applyFill="1" applyAlignment="1" applyProtection="1">
      <alignment horizontal="center" vertical="center" wrapText="1"/>
      <protection locked="0"/>
    </xf>
    <xf numFmtId="0" fontId="58" fillId="7" borderId="0" xfId="8" applyFont="1" applyFill="1" applyAlignment="1" applyProtection="1">
      <alignment horizontal="center" vertical="center" wrapText="1"/>
    </xf>
    <xf numFmtId="0" fontId="58"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8" fillId="6" borderId="1" xfId="8" applyFont="1" applyFill="1" applyBorder="1" applyAlignment="1" applyProtection="1">
      <alignment horizontal="center" vertical="center" wrapText="1"/>
    </xf>
    <xf numFmtId="0" fontId="58"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2"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7" fillId="2" borderId="88" xfId="0" applyFont="1" applyFill="1" applyBorder="1" applyAlignment="1" applyProtection="1">
      <alignment horizontal="right" vertical="center"/>
      <protection locked="0"/>
    </xf>
    <xf numFmtId="0" fontId="67" fillId="6" borderId="87" xfId="0" applyFont="1" applyFill="1" applyBorder="1" applyAlignment="1" applyProtection="1">
      <alignment horizontal="center" vertical="center"/>
    </xf>
    <xf numFmtId="0" fontId="67" fillId="2"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0" fontId="70" fillId="6" borderId="88" xfId="0" applyFont="1" applyFill="1" applyBorder="1" applyAlignment="1" applyProtection="1">
      <alignment vertical="center"/>
      <protection locked="0"/>
    </xf>
    <xf numFmtId="189" fontId="67" fillId="6" borderId="88" xfId="0" applyNumberFormat="1" applyFont="1" applyFill="1" applyBorder="1" applyAlignment="1" applyProtection="1">
      <alignment horizontal="center" vertical="center"/>
      <protection locked="0"/>
    </xf>
    <xf numFmtId="181" fontId="67" fillId="6" borderId="88" xfId="0" applyNumberFormat="1" applyFont="1" applyFill="1" applyBorder="1" applyAlignment="1" applyProtection="1">
      <alignment vertical="center"/>
      <protection locked="0"/>
    </xf>
    <xf numFmtId="0" fontId="67" fillId="6" borderId="88" xfId="0" applyFont="1" applyFill="1" applyBorder="1" applyAlignment="1" applyProtection="1">
      <alignment horizontal="center" vertical="center"/>
      <protection locked="0"/>
    </xf>
    <xf numFmtId="0" fontId="67" fillId="6" borderId="104" xfId="0" applyFont="1" applyFill="1" applyBorder="1" applyAlignment="1" applyProtection="1">
      <alignment horizontal="center" vertical="center"/>
    </xf>
    <xf numFmtId="0" fontId="68" fillId="6" borderId="87" xfId="0" applyFont="1" applyFill="1" applyBorder="1" applyAlignment="1" applyProtection="1">
      <alignment horizontal="center" vertical="center"/>
    </xf>
    <xf numFmtId="0" fontId="68" fillId="0" borderId="87" xfId="0" applyFont="1" applyFill="1" applyBorder="1" applyAlignment="1" applyProtection="1">
      <alignment horizontal="center" vertical="center"/>
      <protection locked="0"/>
    </xf>
    <xf numFmtId="0" fontId="67" fillId="6" borderId="88" xfId="0" applyFont="1" applyFill="1" applyBorder="1" applyAlignment="1" applyProtection="1">
      <alignment vertical="center"/>
    </xf>
    <xf numFmtId="0" fontId="70" fillId="6" borderId="88" xfId="0" applyFont="1" applyFill="1" applyBorder="1" applyAlignment="1" applyProtection="1">
      <alignment vertical="center"/>
    </xf>
    <xf numFmtId="189" fontId="67" fillId="6" borderId="88" xfId="0" applyNumberFormat="1" applyFont="1" applyFill="1" applyBorder="1" applyAlignment="1" applyProtection="1">
      <alignment horizontal="center" vertical="center"/>
    </xf>
    <xf numFmtId="181" fontId="67" fillId="6" borderId="88" xfId="0" applyNumberFormat="1" applyFont="1" applyFill="1" applyBorder="1" applyAlignment="1" applyProtection="1">
      <alignment vertical="center"/>
    </xf>
    <xf numFmtId="0" fontId="67"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6" fillId="6" borderId="0" xfId="2" applyFont="1" applyFill="1"/>
    <xf numFmtId="0" fontId="21" fillId="6" borderId="0" xfId="2" applyFont="1" applyFill="1"/>
    <xf numFmtId="0" fontId="21" fillId="6" borderId="6" xfId="2" applyFont="1" applyFill="1" applyBorder="1"/>
    <xf numFmtId="0" fontId="131" fillId="6" borderId="9" xfId="2" applyFont="1" applyFill="1" applyBorder="1" applyAlignment="1">
      <alignment horizontal="center" vertical="center" wrapText="1"/>
    </xf>
    <xf numFmtId="0" fontId="21"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31" fillId="6" borderId="1" xfId="2" applyFont="1" applyFill="1" applyBorder="1" applyAlignment="1">
      <alignment horizontal="center" vertical="center" wrapText="1"/>
    </xf>
    <xf numFmtId="0" fontId="21"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31"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1"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9" fillId="6" borderId="1" xfId="0" applyNumberFormat="1" applyFont="1" applyFill="1" applyBorder="1" applyAlignment="1" applyProtection="1">
      <alignment horizontal="right" vertical="center"/>
    </xf>
    <xf numFmtId="49" fontId="58"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3" fillId="6" borderId="10" xfId="0" applyFont="1" applyFill="1" applyBorder="1" applyAlignment="1" applyProtection="1">
      <alignment horizontal="center" vertical="center" wrapText="1"/>
    </xf>
    <xf numFmtId="0" fontId="63" fillId="6" borderId="49" xfId="0" applyFont="1" applyFill="1" applyBorder="1" applyAlignment="1" applyProtection="1">
      <alignment horizontal="center" vertical="center" wrapText="1"/>
    </xf>
    <xf numFmtId="0" fontId="52"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2"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8"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9"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2" fillId="6" borderId="19" xfId="0" applyFont="1" applyFill="1" applyBorder="1" applyAlignment="1" applyProtection="1">
      <alignment horizontal="center" vertical="center"/>
      <protection locked="0"/>
    </xf>
    <xf numFmtId="0" fontId="52" fillId="5" borderId="66" xfId="0" applyFont="1" applyFill="1" applyBorder="1" applyAlignment="1" applyProtection="1">
      <alignment horizontal="center" vertical="center"/>
      <protection locked="0"/>
    </xf>
    <xf numFmtId="0" fontId="52"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9" fillId="6" borderId="9"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49" fillId="0" borderId="1" xfId="0" applyFont="1" applyBorder="1" applyAlignment="1" applyProtection="1">
      <alignment horizontal="center" vertical="center"/>
      <protection locked="0"/>
    </xf>
    <xf numFmtId="0" fontId="52" fillId="6" borderId="48" xfId="0" applyFont="1" applyFill="1" applyBorder="1" applyAlignment="1" applyProtection="1">
      <alignment horizontal="left" vertical="center" wrapText="1"/>
    </xf>
    <xf numFmtId="0" fontId="52"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8" fillId="6" borderId="3" xfId="8" applyFont="1" applyFill="1" applyBorder="1" applyAlignment="1" applyProtection="1">
      <alignment horizontal="center" vertical="center" wrapText="1"/>
      <protection locked="0"/>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63" fillId="5" borderId="0" xfId="0" applyFont="1" applyFill="1" applyAlignment="1" applyProtection="1">
      <alignment horizontal="right" vertical="center"/>
      <protection locked="0"/>
    </xf>
    <xf numFmtId="49" fontId="63" fillId="6" borderId="0" xfId="0" applyNumberFormat="1" applyFont="1" applyFill="1" applyBorder="1" applyAlignment="1" applyProtection="1">
      <alignment horizontal="center"/>
    </xf>
    <xf numFmtId="0" fontId="58" fillId="6" borderId="13" xfId="0" applyFont="1" applyFill="1" applyBorder="1" applyAlignment="1" applyProtection="1">
      <alignment vertical="center"/>
    </xf>
    <xf numFmtId="0" fontId="52" fillId="6" borderId="22" xfId="0" applyFont="1" applyFill="1" applyBorder="1" applyAlignment="1" applyProtection="1">
      <alignment vertical="center" wrapText="1"/>
    </xf>
    <xf numFmtId="0" fontId="52"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2" fillId="6" borderId="119" xfId="0" applyFont="1" applyFill="1" applyBorder="1" applyAlignment="1" applyProtection="1">
      <alignment vertical="center" wrapText="1"/>
    </xf>
    <xf numFmtId="0" fontId="52" fillId="2" borderId="1" xfId="0" applyFont="1" applyFill="1" applyBorder="1" applyAlignment="1" applyProtection="1">
      <alignment horizontal="left" vertical="center" wrapText="1"/>
      <protection locked="0"/>
    </xf>
    <xf numFmtId="0" fontId="57" fillId="6" borderId="46" xfId="0" applyFont="1" applyFill="1" applyBorder="1" applyAlignment="1" applyProtection="1">
      <alignment vertical="center" wrapText="1"/>
      <protection locked="0"/>
    </xf>
    <xf numFmtId="0" fontId="52" fillId="6" borderId="1" xfId="0" applyFont="1" applyFill="1" applyBorder="1" applyAlignment="1" applyProtection="1">
      <protection locked="0"/>
    </xf>
    <xf numFmtId="0" fontId="52" fillId="6" borderId="3" xfId="0" applyFont="1" applyFill="1" applyBorder="1" applyAlignment="1" applyProtection="1">
      <alignment vertical="center" wrapText="1"/>
    </xf>
    <xf numFmtId="0" fontId="52" fillId="6" borderId="36" xfId="0" applyFont="1" applyFill="1" applyBorder="1" applyAlignment="1" applyProtection="1">
      <alignment horizontal="left" vertical="center"/>
    </xf>
    <xf numFmtId="49" fontId="69" fillId="6" borderId="60" xfId="0" applyNumberFormat="1" applyFont="1" applyFill="1" applyBorder="1" applyAlignment="1" applyProtection="1"/>
    <xf numFmtId="0" fontId="82" fillId="6" borderId="13" xfId="0" applyFont="1" applyFill="1" applyBorder="1" applyAlignment="1" applyProtection="1">
      <alignment vertical="center"/>
    </xf>
    <xf numFmtId="0" fontId="82" fillId="6" borderId="22" xfId="0" applyFont="1" applyFill="1" applyBorder="1" applyAlignment="1" applyProtection="1">
      <alignment vertical="center"/>
    </xf>
    <xf numFmtId="177" fontId="62" fillId="6" borderId="60" xfId="0" applyNumberFormat="1" applyFont="1" applyFill="1" applyBorder="1" applyAlignment="1" applyProtection="1"/>
    <xf numFmtId="49" fontId="62" fillId="2" borderId="27" xfId="0" applyNumberFormat="1" applyFont="1" applyFill="1" applyBorder="1" applyAlignment="1" applyProtection="1">
      <alignment horizontal="right"/>
      <protection locked="0"/>
    </xf>
    <xf numFmtId="0" fontId="58" fillId="6" borderId="0" xfId="0" applyFont="1" applyFill="1" applyAlignment="1" applyProtection="1">
      <alignment horizontal="center" vertical="center"/>
    </xf>
    <xf numFmtId="0" fontId="58" fillId="6" borderId="0" xfId="0" applyFont="1" applyFill="1" applyAlignment="1" applyProtection="1">
      <alignment vertical="center"/>
    </xf>
    <xf numFmtId="49" fontId="59"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xf>
    <xf numFmtId="0" fontId="58" fillId="7" borderId="0" xfId="0" applyFont="1" applyFill="1" applyAlignment="1" applyProtection="1">
      <alignment vertical="center"/>
      <protection locked="0"/>
    </xf>
    <xf numFmtId="0" fontId="59" fillId="6" borderId="1" xfId="1" applyFont="1" applyFill="1" applyBorder="1" applyAlignment="1" applyProtection="1">
      <alignment vertical="center"/>
    </xf>
    <xf numFmtId="0" fontId="57" fillId="6" borderId="1" xfId="0" applyFont="1" applyFill="1" applyBorder="1" applyAlignment="1" applyProtection="1">
      <alignment horizontal="right" vertical="center"/>
    </xf>
    <xf numFmtId="0" fontId="58" fillId="6" borderId="0" xfId="0" applyFont="1" applyFill="1" applyBorder="1" applyAlignment="1" applyProtection="1">
      <alignment vertical="center"/>
    </xf>
    <xf numFmtId="49" fontId="58" fillId="6" borderId="0" xfId="0" applyNumberFormat="1" applyFont="1" applyFill="1" applyBorder="1" applyAlignment="1" applyProtection="1"/>
    <xf numFmtId="49" fontId="59" fillId="6" borderId="0" xfId="0" applyNumberFormat="1" applyFont="1" applyFill="1" applyBorder="1" applyAlignment="1" applyProtection="1"/>
    <xf numFmtId="177" fontId="59" fillId="7" borderId="0" xfId="0" applyNumberFormat="1" applyFont="1" applyFill="1" applyBorder="1" applyAlignment="1" applyProtection="1"/>
    <xf numFmtId="0" fontId="59" fillId="6" borderId="32" xfId="1" applyFont="1" applyFill="1" applyBorder="1" applyAlignment="1" applyProtection="1">
      <alignment vertical="center"/>
    </xf>
    <xf numFmtId="0" fontId="57" fillId="6" borderId="32" xfId="0" applyFont="1" applyFill="1" applyBorder="1" applyAlignment="1" applyProtection="1">
      <alignment horizontal="right" vertical="center"/>
    </xf>
    <xf numFmtId="0" fontId="58" fillId="7" borderId="0" xfId="0" applyFont="1" applyFill="1" applyAlignment="1" applyProtection="1">
      <alignment vertical="center"/>
    </xf>
    <xf numFmtId="0" fontId="52" fillId="6" borderId="60" xfId="0" applyFont="1" applyFill="1" applyBorder="1" applyAlignment="1" applyProtection="1">
      <alignment vertical="center"/>
    </xf>
    <xf numFmtId="0" fontId="52" fillId="6" borderId="71" xfId="0" applyFont="1" applyFill="1" applyBorder="1" applyAlignment="1" applyProtection="1">
      <alignment vertical="center"/>
    </xf>
    <xf numFmtId="0" fontId="53" fillId="7" borderId="0" xfId="0" applyFont="1" applyFill="1" applyAlignment="1" applyProtection="1">
      <alignment vertical="center"/>
    </xf>
    <xf numFmtId="0" fontId="52" fillId="6" borderId="88" xfId="0" applyFont="1" applyFill="1" applyBorder="1" applyAlignment="1" applyProtection="1">
      <alignment vertical="center"/>
    </xf>
    <xf numFmtId="0" fontId="52" fillId="6" borderId="90" xfId="0" applyFont="1" applyFill="1" applyBorder="1" applyAlignment="1" applyProtection="1">
      <alignment vertical="center"/>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106" fillId="6" borderId="0" xfId="0" applyFont="1" applyFill="1" applyAlignment="1" applyProtection="1"/>
    <xf numFmtId="0" fontId="59" fillId="6" borderId="0" xfId="0" applyFont="1" applyFill="1" applyBorder="1" applyAlignment="1" applyProtection="1">
      <alignment horizontal="left" vertical="center"/>
      <protection locked="0"/>
    </xf>
    <xf numFmtId="0" fontId="65"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7" fillId="6" borderId="0" xfId="0" applyFont="1" applyFill="1" applyAlignment="1" applyProtection="1">
      <alignment horizontal="left"/>
    </xf>
    <xf numFmtId="0" fontId="57" fillId="6" borderId="0" xfId="0" applyFont="1" applyFill="1" applyAlignment="1" applyProtection="1"/>
    <xf numFmtId="0" fontId="58" fillId="6" borderId="0" xfId="0" applyFont="1" applyFill="1" applyAlignment="1" applyProtection="1">
      <alignment horizontal="left" vertical="center"/>
    </xf>
    <xf numFmtId="0" fontId="52" fillId="7" borderId="0" xfId="0" applyFont="1" applyFill="1" applyAlignment="1" applyProtection="1">
      <protection locked="0"/>
    </xf>
    <xf numFmtId="0" fontId="52" fillId="7" borderId="0" xfId="0" applyFont="1" applyFill="1" applyAlignment="1" applyProtection="1">
      <alignment horizontal="center"/>
      <protection locked="0"/>
    </xf>
    <xf numFmtId="0" fontId="58"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8" fillId="6" borderId="16" xfId="0" applyFont="1" applyFill="1" applyBorder="1" applyAlignment="1" applyProtection="1">
      <alignment horizontal="center" vertical="center"/>
    </xf>
    <xf numFmtId="0" fontId="52" fillId="6" borderId="31" xfId="0" applyFont="1" applyFill="1" applyBorder="1" applyAlignment="1" applyProtection="1"/>
    <xf numFmtId="0" fontId="149" fillId="7" borderId="63" xfId="0" applyFont="1" applyFill="1" applyBorder="1" applyAlignment="1" applyProtection="1">
      <alignment vertical="center"/>
      <protection locked="0"/>
    </xf>
    <xf numFmtId="0" fontId="58" fillId="7" borderId="64" xfId="0" applyFont="1" applyFill="1" applyBorder="1" applyAlignment="1" applyProtection="1">
      <alignment vertical="center"/>
      <protection locked="0"/>
    </xf>
    <xf numFmtId="0" fontId="58"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8" fillId="6" borderId="6" xfId="0" applyFont="1" applyFill="1" applyBorder="1" applyAlignment="1" applyProtection="1">
      <alignment vertical="center"/>
    </xf>
    <xf numFmtId="0" fontId="58" fillId="5" borderId="10" xfId="0" applyFont="1" applyFill="1" applyBorder="1" applyAlignment="1" applyProtection="1">
      <alignment horizontal="center" vertical="center"/>
      <protection locked="0"/>
    </xf>
    <xf numFmtId="0" fontId="58" fillId="6" borderId="6" xfId="0" applyFont="1" applyFill="1" applyBorder="1" applyAlignment="1" applyProtection="1">
      <alignment horizontal="left" vertical="center"/>
      <protection locked="0"/>
    </xf>
    <xf numFmtId="0" fontId="58"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8"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8" fillId="6" borderId="24" xfId="0" applyFont="1" applyFill="1" applyBorder="1" applyAlignment="1" applyProtection="1">
      <alignment horizontal="center" vertical="center"/>
    </xf>
    <xf numFmtId="0" fontId="58" fillId="7" borderId="0" xfId="0" applyFont="1" applyFill="1" applyBorder="1" applyAlignment="1" applyProtection="1">
      <alignment vertical="center"/>
      <protection locked="0"/>
    </xf>
    <xf numFmtId="0" fontId="58" fillId="7" borderId="24"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8"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8" fillId="6" borderId="23" xfId="0" applyNumberFormat="1" applyFont="1" applyFill="1" applyBorder="1" applyAlignment="1" applyProtection="1">
      <alignment horizontal="left" vertical="center"/>
    </xf>
    <xf numFmtId="0" fontId="58" fillId="6" borderId="24" xfId="0" applyNumberFormat="1" applyFont="1" applyFill="1" applyBorder="1" applyAlignment="1" applyProtection="1">
      <alignment horizontal="center" vertical="center"/>
    </xf>
    <xf numFmtId="0" fontId="58" fillId="6" borderId="23" xfId="0" applyFont="1" applyFill="1" applyBorder="1" applyAlignment="1" applyProtection="1">
      <alignment vertical="center"/>
      <protection locked="0"/>
    </xf>
    <xf numFmtId="195" fontId="58" fillId="6" borderId="24" xfId="0" applyNumberFormat="1" applyFont="1" applyFill="1" applyBorder="1" applyAlignment="1" applyProtection="1">
      <alignment horizontal="center" vertical="center"/>
    </xf>
    <xf numFmtId="0" fontId="58" fillId="7" borderId="7" xfId="0" applyFont="1" applyFill="1" applyBorder="1" applyAlignment="1" applyProtection="1">
      <alignment vertical="center" wrapText="1"/>
      <protection locked="0"/>
    </xf>
    <xf numFmtId="0" fontId="58" fillId="6" borderId="25" xfId="0" applyFont="1" applyFill="1" applyBorder="1" applyAlignment="1" applyProtection="1">
      <alignment vertical="center"/>
    </xf>
    <xf numFmtId="10" fontId="58" fillId="0" borderId="49" xfId="0" applyNumberFormat="1" applyFont="1" applyFill="1" applyBorder="1" applyAlignment="1" applyProtection="1">
      <alignment horizontal="center" vertical="center"/>
      <protection locked="0"/>
    </xf>
    <xf numFmtId="0" fontId="58" fillId="6" borderId="26" xfId="0" applyFont="1" applyFill="1" applyBorder="1" applyAlignment="1" applyProtection="1">
      <alignment vertical="center" wrapText="1"/>
    </xf>
    <xf numFmtId="0" fontId="58"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9" fillId="6" borderId="51" xfId="0" applyFont="1" applyFill="1" applyBorder="1" applyAlignment="1" applyProtection="1">
      <alignment horizontal="left" vertical="center" wrapText="1"/>
    </xf>
    <xf numFmtId="181" fontId="58" fillId="6" borderId="9" xfId="0" applyNumberFormat="1" applyFont="1" applyFill="1" applyBorder="1" applyAlignment="1" applyProtection="1">
      <alignment horizontal="center" vertical="center"/>
    </xf>
    <xf numFmtId="0" fontId="59" fillId="6" borderId="16" xfId="0" applyFont="1" applyFill="1" applyBorder="1" applyAlignment="1" applyProtection="1">
      <alignment horizontal="center" vertical="center"/>
    </xf>
    <xf numFmtId="0" fontId="58" fillId="5" borderId="21" xfId="0" applyFont="1" applyFill="1" applyBorder="1" applyAlignment="1" applyProtection="1">
      <alignment horizontal="center" vertical="center"/>
      <protection locked="0"/>
    </xf>
    <xf numFmtId="0" fontId="58" fillId="6" borderId="1" xfId="0" applyFont="1" applyFill="1" applyBorder="1" applyAlignment="1" applyProtection="1">
      <alignment vertical="center"/>
      <protection locked="0"/>
    </xf>
    <xf numFmtId="0" fontId="58" fillId="6" borderId="54" xfId="0" applyFont="1" applyFill="1" applyBorder="1" applyAlignment="1" applyProtection="1">
      <alignment vertical="center"/>
      <protection locked="0"/>
    </xf>
    <xf numFmtId="0" fontId="58" fillId="6" borderId="41" xfId="0" applyFont="1" applyFill="1" applyBorder="1" applyAlignment="1" applyProtection="1">
      <alignment vertical="center" wrapText="1"/>
    </xf>
    <xf numFmtId="0" fontId="58" fillId="5" borderId="0" xfId="0" applyFont="1" applyFill="1" applyBorder="1" applyAlignment="1" applyProtection="1">
      <alignment horizontal="center" vertical="center"/>
      <protection locked="0"/>
    </xf>
    <xf numFmtId="0" fontId="58" fillId="6" borderId="18" xfId="0" applyFont="1" applyFill="1" applyBorder="1" applyAlignment="1" applyProtection="1">
      <alignment vertical="center"/>
      <protection locked="0"/>
    </xf>
    <xf numFmtId="0" fontId="58" fillId="6" borderId="4" xfId="0" applyFont="1" applyFill="1" applyBorder="1" applyAlignment="1" applyProtection="1">
      <alignment vertical="center"/>
      <protection locked="0"/>
    </xf>
    <xf numFmtId="0" fontId="58" fillId="6" borderId="60" xfId="0" applyFont="1" applyFill="1" applyBorder="1" applyAlignment="1" applyProtection="1">
      <alignment vertical="center"/>
      <protection locked="0"/>
    </xf>
    <xf numFmtId="0" fontId="58" fillId="6" borderId="71" xfId="0" applyFont="1" applyFill="1" applyBorder="1" applyAlignment="1" applyProtection="1">
      <alignment vertical="center"/>
      <protection locked="0"/>
    </xf>
    <xf numFmtId="0" fontId="58" fillId="6" borderId="23" xfId="0" applyFont="1" applyFill="1" applyBorder="1" applyAlignment="1" applyProtection="1">
      <alignment vertical="center" wrapText="1"/>
    </xf>
    <xf numFmtId="0" fontId="58" fillId="6" borderId="5" xfId="0" applyFont="1" applyFill="1" applyBorder="1" applyAlignment="1" applyProtection="1">
      <alignment horizontal="center" vertical="center"/>
    </xf>
    <xf numFmtId="181" fontId="58" fillId="6" borderId="5" xfId="0" applyNumberFormat="1" applyFont="1" applyFill="1" applyBorder="1" applyAlignment="1" applyProtection="1">
      <alignment horizontal="center" vertical="center"/>
    </xf>
    <xf numFmtId="49" fontId="59" fillId="6" borderId="25" xfId="0" applyNumberFormat="1" applyFont="1" applyFill="1" applyBorder="1" applyAlignment="1" applyProtection="1">
      <alignment horizontal="left" vertical="center"/>
    </xf>
    <xf numFmtId="0" fontId="58" fillId="6" borderId="49" xfId="0" applyFont="1" applyFill="1" applyBorder="1" applyAlignment="1" applyProtection="1">
      <alignment horizontal="center" vertical="center"/>
    </xf>
    <xf numFmtId="0" fontId="59" fillId="6" borderId="25" xfId="0" applyFont="1" applyFill="1" applyBorder="1" applyAlignment="1" applyProtection="1">
      <alignment horizontal="center" vertical="center"/>
    </xf>
    <xf numFmtId="0" fontId="58" fillId="6" borderId="0" xfId="0" applyFont="1" applyFill="1" applyAlignment="1" applyProtection="1">
      <alignment vertical="center"/>
      <protection locked="0"/>
    </xf>
    <xf numFmtId="0" fontId="58" fillId="6" borderId="1" xfId="0" applyFont="1" applyFill="1" applyBorder="1" applyAlignment="1"/>
    <xf numFmtId="0" fontId="58" fillId="6" borderId="1" xfId="0" applyFont="1" applyFill="1" applyBorder="1" applyAlignment="1">
      <alignment horizontal="center"/>
    </xf>
    <xf numFmtId="0" fontId="58" fillId="6" borderId="1" xfId="0" applyFont="1" applyFill="1" applyBorder="1" applyAlignment="1" applyProtection="1">
      <alignment horizontal="center" vertical="center"/>
      <protection locked="0"/>
    </xf>
    <xf numFmtId="9" fontId="58"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8" fillId="0" borderId="0" xfId="0" applyFont="1" applyFill="1" applyAlignment="1" applyProtection="1">
      <alignment horizontal="left" vertical="center"/>
      <protection locked="0"/>
    </xf>
    <xf numFmtId="0" fontId="52" fillId="6" borderId="1" xfId="0" applyFont="1" applyFill="1" applyBorder="1" applyAlignment="1" applyProtection="1">
      <alignment horizontal="center"/>
    </xf>
    <xf numFmtId="49" fontId="67" fillId="2" borderId="27" xfId="0" applyNumberFormat="1" applyFont="1" applyFill="1" applyBorder="1" applyAlignment="1" applyProtection="1">
      <alignment horizontal="right"/>
      <protection locked="0"/>
    </xf>
    <xf numFmtId="0" fontId="59" fillId="6" borderId="0" xfId="0" applyFont="1" applyFill="1" applyBorder="1" applyAlignment="1" applyProtection="1">
      <alignment vertical="center"/>
    </xf>
    <xf numFmtId="0" fontId="52" fillId="6" borderId="0" xfId="0" applyFont="1" applyFill="1" applyAlignment="1" applyProtection="1"/>
    <xf numFmtId="0" fontId="52"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6"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6"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6" fillId="6" borderId="26" xfId="0" applyFont="1" applyFill="1" applyBorder="1" applyAlignment="1" applyProtection="1">
      <alignment vertical="center" wrapText="1"/>
    </xf>
    <xf numFmtId="0" fontId="66" fillId="6" borderId="0" xfId="0" applyFont="1" applyFill="1" applyBorder="1" applyAlignment="1" applyProtection="1">
      <alignment vertical="center" wrapText="1"/>
    </xf>
    <xf numFmtId="0" fontId="66"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6" borderId="0" xfId="0" applyFont="1" applyFill="1" applyAlignment="1" applyProtection="1">
      <alignment horizontal="center"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66" fillId="0" borderId="0" xfId="0" applyFont="1" applyFill="1" applyBorder="1" applyAlignment="1" applyProtection="1">
      <alignment vertical="center" wrapText="1"/>
    </xf>
    <xf numFmtId="0" fontId="66" fillId="6" borderId="0" xfId="0" applyFont="1" applyFill="1" applyBorder="1" applyAlignment="1" applyProtection="1">
      <alignment horizontal="center" vertical="center" wrapText="1"/>
    </xf>
    <xf numFmtId="0" fontId="66" fillId="6" borderId="1" xfId="0" applyFont="1" applyFill="1" applyBorder="1" applyAlignment="1" applyProtection="1">
      <alignment horizontal="left" vertical="center"/>
    </xf>
    <xf numFmtId="14" fontId="66" fillId="0" borderId="13" xfId="0" applyNumberFormat="1" applyFont="1" applyFill="1" applyBorder="1" applyAlignment="1" applyProtection="1">
      <alignment horizontal="left" vertical="center"/>
      <protection locked="0"/>
    </xf>
    <xf numFmtId="0" fontId="66" fillId="6" borderId="1" xfId="0" applyFont="1" applyFill="1" applyBorder="1" applyAlignment="1" applyProtection="1">
      <alignment vertical="center" wrapText="1"/>
    </xf>
    <xf numFmtId="0" fontId="66" fillId="6" borderId="78" xfId="0" applyFont="1" applyFill="1" applyBorder="1" applyAlignment="1" applyProtection="1">
      <alignment horizontal="left" vertical="center"/>
    </xf>
    <xf numFmtId="14" fontId="66" fillId="5" borderId="78" xfId="0" applyNumberFormat="1" applyFont="1" applyFill="1" applyBorder="1" applyAlignment="1" applyProtection="1">
      <alignment horizontal="center" vertical="center"/>
      <protection locked="0"/>
    </xf>
    <xf numFmtId="0" fontId="66" fillId="6" borderId="85" xfId="0" applyFont="1" applyFill="1" applyBorder="1" applyAlignment="1" applyProtection="1">
      <alignment vertical="center" wrapText="1"/>
    </xf>
    <xf numFmtId="0" fontId="66" fillId="6" borderId="119" xfId="0" applyFont="1" applyFill="1" applyBorder="1" applyAlignment="1" applyProtection="1">
      <alignment vertical="center" wrapText="1"/>
    </xf>
    <xf numFmtId="0" fontId="66" fillId="6" borderId="0" xfId="0" applyFont="1" applyFill="1" applyAlignment="1" applyProtection="1">
      <alignment vertical="center" wrapText="1"/>
    </xf>
    <xf numFmtId="0" fontId="66" fillId="6" borderId="58" xfId="0" applyNumberFormat="1" applyFont="1" applyFill="1" applyBorder="1" applyAlignment="1" applyProtection="1">
      <alignment horizontal="left" vertical="center"/>
    </xf>
    <xf numFmtId="0" fontId="66" fillId="6" borderId="4" xfId="0" applyFont="1" applyFill="1" applyBorder="1" applyAlignment="1" applyProtection="1">
      <alignment vertical="center" wrapText="1"/>
    </xf>
    <xf numFmtId="0" fontId="66" fillId="7" borderId="60" xfId="0" applyFont="1" applyFill="1" applyBorder="1" applyAlignment="1" applyProtection="1">
      <alignment vertical="center" wrapText="1"/>
    </xf>
    <xf numFmtId="0" fontId="66" fillId="7" borderId="7" xfId="0" applyFont="1" applyFill="1" applyBorder="1" applyAlignment="1" applyProtection="1">
      <alignment vertical="center" wrapText="1"/>
    </xf>
    <xf numFmtId="0" fontId="66" fillId="6" borderId="46" xfId="0" applyFont="1" applyFill="1" applyBorder="1" applyAlignment="1" applyProtection="1">
      <alignment vertical="center" wrapText="1"/>
    </xf>
    <xf numFmtId="0" fontId="66" fillId="7" borderId="54" xfId="0" applyFont="1" applyFill="1" applyBorder="1" applyAlignment="1" applyProtection="1">
      <alignment vertical="center" wrapText="1"/>
    </xf>
    <xf numFmtId="0" fontId="66" fillId="7" borderId="22" xfId="0" applyFont="1" applyFill="1" applyBorder="1" applyAlignment="1" applyProtection="1">
      <alignment vertical="center" wrapText="1"/>
    </xf>
    <xf numFmtId="0" fontId="66" fillId="6" borderId="58" xfId="0" applyNumberFormat="1" applyFont="1" applyFill="1" applyBorder="1" applyAlignment="1" applyProtection="1">
      <alignment horizontal="center" vertical="center" wrapText="1"/>
    </xf>
    <xf numFmtId="49" fontId="66" fillId="6" borderId="58" xfId="0" applyNumberFormat="1" applyFont="1" applyFill="1" applyBorder="1" applyAlignment="1" applyProtection="1">
      <alignment horizontal="center" vertical="center" wrapText="1"/>
    </xf>
    <xf numFmtId="0" fontId="66" fillId="5" borderId="5" xfId="0" applyFont="1" applyFill="1" applyBorder="1" applyAlignment="1" applyProtection="1">
      <alignment horizontal="left" vertical="center" wrapText="1"/>
      <protection locked="0"/>
    </xf>
    <xf numFmtId="0" fontId="66" fillId="5" borderId="54" xfId="0" applyFont="1" applyFill="1" applyBorder="1" applyAlignment="1" applyProtection="1">
      <alignment vertical="center" wrapText="1"/>
    </xf>
    <xf numFmtId="0" fontId="66" fillId="5" borderId="13" xfId="0" applyFont="1" applyFill="1" applyBorder="1" applyAlignment="1" applyProtection="1">
      <alignment horizontal="left" vertical="center"/>
      <protection locked="0"/>
    </xf>
    <xf numFmtId="0" fontId="66" fillId="5" borderId="22" xfId="0" applyFont="1" applyFill="1" applyBorder="1" applyAlignment="1" applyProtection="1">
      <alignment vertical="center" wrapText="1"/>
    </xf>
    <xf numFmtId="0" fontId="66" fillId="5" borderId="85" xfId="0" applyFont="1" applyFill="1" applyBorder="1" applyAlignment="1" applyProtection="1">
      <alignment horizontal="left" vertical="center"/>
      <protection locked="0"/>
    </xf>
    <xf numFmtId="0" fontId="66" fillId="5" borderId="88" xfId="0" applyFont="1" applyFill="1" applyBorder="1" applyAlignment="1" applyProtection="1">
      <alignment vertical="center" wrapText="1"/>
    </xf>
    <xf numFmtId="0" fontId="66" fillId="5" borderId="119" xfId="0" applyFont="1" applyFill="1" applyBorder="1" applyAlignment="1" applyProtection="1">
      <alignment vertical="center" wrapText="1"/>
    </xf>
    <xf numFmtId="0" fontId="66" fillId="6" borderId="87" xfId="0" applyFont="1" applyFill="1" applyBorder="1" applyAlignment="1" applyProtection="1">
      <alignment vertical="center" wrapText="1"/>
    </xf>
    <xf numFmtId="0" fontId="66" fillId="6" borderId="2" xfId="0" applyFont="1" applyFill="1" applyBorder="1" applyAlignment="1" applyProtection="1">
      <alignment horizontal="left" vertical="center"/>
    </xf>
    <xf numFmtId="0" fontId="66" fillId="2" borderId="7" xfId="0" applyFont="1" applyFill="1" applyBorder="1" applyAlignment="1" applyProtection="1">
      <alignment horizontal="center" vertical="center" wrapText="1"/>
      <protection locked="0"/>
    </xf>
    <xf numFmtId="0" fontId="66" fillId="7" borderId="60" xfId="0" applyFont="1" applyFill="1" applyBorder="1" applyAlignment="1" applyProtection="1">
      <alignment vertical="center" wrapText="1"/>
      <protection locked="0"/>
    </xf>
    <xf numFmtId="49" fontId="66"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6" fillId="0" borderId="60" xfId="0" applyFont="1" applyFill="1" applyBorder="1" applyAlignment="1" applyProtection="1">
      <alignment vertical="center" wrapText="1"/>
    </xf>
    <xf numFmtId="0" fontId="66" fillId="7" borderId="60" xfId="0" applyFont="1" applyFill="1" applyBorder="1" applyAlignment="1" applyProtection="1">
      <alignment horizontal="center" vertical="center" wrapText="1"/>
    </xf>
    <xf numFmtId="0" fontId="66" fillId="6" borderId="46" xfId="0" applyFont="1" applyFill="1" applyBorder="1" applyAlignment="1" applyProtection="1">
      <alignment horizontal="left" vertical="center"/>
    </xf>
    <xf numFmtId="0" fontId="66" fillId="5" borderId="13" xfId="0" applyFont="1" applyFill="1" applyBorder="1" applyAlignment="1" applyProtection="1">
      <alignment horizontal="center" vertical="center" wrapText="1"/>
      <protection locked="0"/>
    </xf>
    <xf numFmtId="0" fontId="66" fillId="7" borderId="3" xfId="0" applyFont="1" applyFill="1" applyBorder="1" applyAlignment="1" applyProtection="1">
      <alignment vertical="center" wrapText="1"/>
    </xf>
    <xf numFmtId="49" fontId="66" fillId="6" borderId="13" xfId="0" applyNumberFormat="1" applyFont="1" applyFill="1" applyBorder="1" applyAlignment="1" applyProtection="1">
      <alignment horizontal="left" vertical="center" wrapText="1"/>
    </xf>
    <xf numFmtId="0" fontId="49" fillId="6" borderId="1" xfId="0" applyFont="1" applyFill="1" applyBorder="1" applyAlignment="1" applyProtection="1">
      <alignment vertical="center" wrapText="1"/>
    </xf>
    <xf numFmtId="49" fontId="49" fillId="6" borderId="1" xfId="0" applyNumberFormat="1"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2" borderId="15" xfId="0" applyFont="1" applyFill="1" applyBorder="1" applyAlignment="1" applyProtection="1">
      <alignment horizontal="left" vertical="center" wrapText="1"/>
    </xf>
    <xf numFmtId="0" fontId="66" fillId="6" borderId="60" xfId="0" applyFont="1" applyFill="1" applyBorder="1" applyAlignment="1" applyProtection="1">
      <alignment vertical="center" wrapText="1"/>
    </xf>
    <xf numFmtId="184" fontId="66" fillId="0" borderId="1" xfId="0" applyNumberFormat="1" applyFont="1" applyFill="1" applyBorder="1" applyAlignment="1" applyProtection="1">
      <alignment horizontal="center" vertical="center" shrinkToFit="1"/>
      <protection locked="0"/>
    </xf>
    <xf numFmtId="177" fontId="66" fillId="6" borderId="58" xfId="0" applyNumberFormat="1" applyFont="1" applyFill="1" applyBorder="1" applyAlignment="1" applyProtection="1">
      <alignment horizontal="center" vertical="center" wrapText="1"/>
    </xf>
    <xf numFmtId="0" fontId="66" fillId="2" borderId="2"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66" fillId="6" borderId="15" xfId="0" applyNumberFormat="1" applyFont="1" applyFill="1" applyBorder="1" applyAlignment="1" applyProtection="1">
      <alignment horizontal="left" vertical="center" wrapText="1"/>
    </xf>
    <xf numFmtId="0" fontId="66" fillId="6" borderId="13" xfId="0" applyFont="1" applyFill="1" applyBorder="1" applyAlignment="1" applyProtection="1">
      <alignment horizontal="left" vertical="center"/>
    </xf>
    <xf numFmtId="0" fontId="66" fillId="6" borderId="1"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left" vertical="center"/>
    </xf>
    <xf numFmtId="0" fontId="66" fillId="5" borderId="77" xfId="0" applyFont="1" applyFill="1" applyBorder="1" applyAlignment="1" applyProtection="1">
      <alignment horizontal="left" vertical="center" wrapText="1"/>
      <protection locked="0"/>
    </xf>
    <xf numFmtId="0" fontId="66" fillId="6" borderId="78" xfId="0" applyFont="1" applyFill="1" applyBorder="1" applyAlignment="1" applyProtection="1">
      <alignment horizontal="left" vertical="center" wrapText="1"/>
    </xf>
    <xf numFmtId="0" fontId="52" fillId="5" borderId="15" xfId="0" applyFont="1" applyFill="1" applyBorder="1" applyAlignment="1" applyProtection="1">
      <alignment horizontal="center" vertical="center" wrapText="1"/>
      <protection locked="0"/>
    </xf>
    <xf numFmtId="0" fontId="52" fillId="6" borderId="74" xfId="0" applyFont="1" applyFill="1" applyBorder="1" applyAlignment="1" applyProtection="1">
      <alignment horizontal="center" vertical="center" wrapText="1"/>
    </xf>
    <xf numFmtId="0" fontId="52"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2" fillId="5" borderId="76" xfId="0" applyFont="1" applyFill="1" applyBorder="1" applyAlignment="1" applyProtection="1">
      <alignment horizontal="center" vertical="center" wrapText="1"/>
      <protection locked="0"/>
    </xf>
    <xf numFmtId="0" fontId="52" fillId="6" borderId="5" xfId="0" applyFont="1" applyFill="1" applyBorder="1" applyAlignment="1" applyProtection="1">
      <alignment horizontal="right" vertical="center" wrapText="1"/>
    </xf>
    <xf numFmtId="0" fontId="52" fillId="6" borderId="27" xfId="0" applyFont="1" applyFill="1" applyBorder="1" applyAlignment="1" applyProtection="1">
      <alignment vertical="center"/>
    </xf>
    <xf numFmtId="0" fontId="60" fillId="5" borderId="23" xfId="0" applyFont="1" applyFill="1" applyBorder="1" applyAlignment="1" applyProtection="1">
      <alignment horizontal="center" vertical="center" wrapText="1"/>
      <protection locked="0"/>
    </xf>
    <xf numFmtId="0" fontId="52"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2" fillId="5" borderId="5" xfId="0" applyFont="1" applyFill="1" applyBorder="1" applyAlignment="1" applyProtection="1">
      <alignment horizontal="center" vertical="center" wrapText="1"/>
      <protection locked="0"/>
    </xf>
    <xf numFmtId="0" fontId="52" fillId="0" borderId="86" xfId="0" applyFont="1" applyBorder="1" applyAlignment="1" applyProtection="1">
      <alignment vertical="center" wrapText="1"/>
      <protection locked="0"/>
    </xf>
    <xf numFmtId="0" fontId="60" fillId="5" borderId="23" xfId="0" applyFont="1" applyFill="1" applyBorder="1" applyAlignment="1" applyProtection="1">
      <alignment horizontal="center" vertical="center" wrapText="1" shrinkToFit="1"/>
      <protection locked="0"/>
    </xf>
    <xf numFmtId="0" fontId="66" fillId="6" borderId="56" xfId="0" applyFont="1" applyFill="1" applyBorder="1" applyAlignment="1" applyProtection="1">
      <alignment vertical="center" wrapText="1"/>
    </xf>
    <xf numFmtId="0" fontId="52"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2"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2" fillId="6" borderId="58" xfId="0" applyFont="1" applyFill="1" applyBorder="1" applyAlignment="1" applyProtection="1">
      <alignment horizontal="center" vertical="center" wrapText="1"/>
    </xf>
    <xf numFmtId="0" fontId="52"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left" vertical="center" wrapText="1"/>
    </xf>
    <xf numFmtId="0" fontId="52"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6" fillId="6" borderId="92" xfId="0" applyFont="1" applyFill="1" applyBorder="1" applyAlignment="1" applyProtection="1">
      <alignment vertical="center" wrapText="1"/>
    </xf>
    <xf numFmtId="0" fontId="66" fillId="2" borderId="4" xfId="0" applyFont="1" applyFill="1" applyBorder="1" applyAlignment="1" applyProtection="1">
      <alignment vertical="center"/>
      <protection locked="0"/>
    </xf>
    <xf numFmtId="0" fontId="66" fillId="2" borderId="7" xfId="0" applyFont="1" applyFill="1" applyBorder="1" applyAlignment="1" applyProtection="1">
      <alignment vertical="center" wrapText="1"/>
    </xf>
    <xf numFmtId="0" fontId="66" fillId="2" borderId="7" xfId="0" applyFont="1" applyFill="1" applyBorder="1" applyAlignment="1" applyProtection="1">
      <alignment horizontal="left" vertical="center"/>
      <protection locked="0"/>
    </xf>
    <xf numFmtId="0" fontId="66" fillId="0" borderId="2" xfId="0" applyFont="1" applyBorder="1" applyAlignment="1" applyProtection="1">
      <alignment horizontal="left" vertical="center" wrapText="1"/>
      <protection locked="0"/>
    </xf>
    <xf numFmtId="49" fontId="49" fillId="6" borderId="58" xfId="0" applyNumberFormat="1" applyFont="1" applyFill="1" applyBorder="1" applyAlignment="1" applyProtection="1">
      <alignment horizontal="center" vertical="center" wrapText="1"/>
    </xf>
    <xf numFmtId="0" fontId="66" fillId="2" borderId="5" xfId="0" applyFont="1" applyFill="1" applyBorder="1" applyAlignment="1" applyProtection="1">
      <alignment vertical="center"/>
      <protection locked="0"/>
    </xf>
    <xf numFmtId="0" fontId="66" fillId="2" borderId="3" xfId="0" applyFont="1" applyFill="1" applyBorder="1" applyAlignment="1" applyProtection="1">
      <alignment vertical="center"/>
    </xf>
    <xf numFmtId="0" fontId="66" fillId="5" borderId="3" xfId="0" applyFont="1" applyFill="1" applyBorder="1" applyAlignment="1" applyProtection="1">
      <alignment horizontal="center" vertical="center" wrapText="1"/>
      <protection locked="0"/>
    </xf>
    <xf numFmtId="0" fontId="66" fillId="6" borderId="5" xfId="0" applyFont="1" applyFill="1" applyBorder="1" applyAlignment="1" applyProtection="1">
      <alignment horizontal="left" vertical="center"/>
    </xf>
    <xf numFmtId="0" fontId="66" fillId="6" borderId="3" xfId="0" applyFont="1" applyFill="1" applyBorder="1" applyAlignment="1" applyProtection="1">
      <alignment vertical="center" wrapText="1"/>
    </xf>
    <xf numFmtId="0" fontId="66" fillId="0" borderId="1" xfId="0" applyFont="1" applyBorder="1" applyAlignment="1" applyProtection="1">
      <alignment horizontal="left" vertical="center"/>
      <protection locked="0"/>
    </xf>
    <xf numFmtId="0" fontId="66" fillId="5" borderId="22" xfId="0" applyFont="1" applyFill="1" applyBorder="1" applyAlignment="1" applyProtection="1">
      <alignment horizontal="center" vertical="center" wrapText="1"/>
      <protection locked="0"/>
    </xf>
    <xf numFmtId="0" fontId="66" fillId="6" borderId="22" xfId="0" applyFont="1" applyFill="1" applyBorder="1" applyAlignment="1" applyProtection="1">
      <alignment vertical="center" wrapText="1"/>
    </xf>
    <xf numFmtId="0" fontId="66" fillId="0" borderId="13" xfId="0" applyFont="1" applyBorder="1" applyAlignment="1" applyProtection="1">
      <alignment horizontal="left" vertical="center"/>
      <protection locked="0"/>
    </xf>
    <xf numFmtId="0" fontId="63" fillId="5" borderId="1" xfId="0" applyFont="1" applyFill="1" applyBorder="1" applyAlignment="1" applyProtection="1">
      <alignment horizontal="center" vertical="center" wrapText="1"/>
      <protection locked="0"/>
    </xf>
    <xf numFmtId="193" fontId="49" fillId="6" borderId="1" xfId="0" applyNumberFormat="1" applyFont="1" applyFill="1" applyBorder="1" applyAlignment="1" applyProtection="1">
      <alignment vertical="center" wrapText="1"/>
    </xf>
    <xf numFmtId="0" fontId="66" fillId="6" borderId="13" xfId="0" applyNumberFormat="1" applyFont="1" applyFill="1" applyBorder="1" applyAlignment="1" applyProtection="1">
      <alignment vertical="center" wrapText="1"/>
    </xf>
    <xf numFmtId="0" fontId="66" fillId="6" borderId="1"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vertical="center" wrapText="1"/>
    </xf>
    <xf numFmtId="0" fontId="66" fillId="0" borderId="1" xfId="0" applyNumberFormat="1" applyFont="1" applyFill="1" applyBorder="1" applyAlignment="1" applyProtection="1">
      <alignment horizontal="center" vertical="center" wrapText="1"/>
      <protection locked="0"/>
    </xf>
    <xf numFmtId="0" fontId="66" fillId="6" borderId="15" xfId="0" applyNumberFormat="1" applyFont="1" applyFill="1" applyBorder="1" applyAlignment="1" applyProtection="1">
      <alignment vertical="center" wrapText="1"/>
    </xf>
    <xf numFmtId="0" fontId="66" fillId="5" borderId="1" xfId="0" applyNumberFormat="1" applyFont="1" applyFill="1" applyBorder="1" applyAlignment="1" applyProtection="1">
      <alignment horizontal="center" vertical="center" wrapText="1"/>
      <protection locked="0"/>
    </xf>
    <xf numFmtId="0" fontId="66" fillId="6" borderId="78" xfId="0" applyNumberFormat="1" applyFont="1" applyFill="1" applyBorder="1" applyAlignment="1" applyProtection="1">
      <alignment vertical="center" wrapText="1"/>
    </xf>
    <xf numFmtId="0" fontId="66" fillId="5" borderId="78"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1" fillId="6" borderId="152" xfId="0" applyFont="1" applyFill="1" applyBorder="1" applyAlignment="1" applyProtection="1">
      <alignment vertical="center" wrapText="1"/>
    </xf>
    <xf numFmtId="0" fontId="51" fillId="6" borderId="153" xfId="0" applyFont="1" applyFill="1" applyBorder="1" applyAlignment="1" applyProtection="1">
      <alignment vertical="center" wrapText="1"/>
    </xf>
    <xf numFmtId="0" fontId="51" fillId="6" borderId="152" xfId="0" applyFont="1" applyFill="1" applyBorder="1" applyAlignment="1" applyProtection="1">
      <alignment horizontal="center" vertical="center" wrapText="1"/>
    </xf>
    <xf numFmtId="0" fontId="51" fillId="0" borderId="152" xfId="0" applyFont="1" applyBorder="1" applyAlignment="1" applyProtection="1">
      <alignment vertical="center" wrapText="1"/>
    </xf>
    <xf numFmtId="0" fontId="49" fillId="6" borderId="0" xfId="0" applyFont="1" applyFill="1" applyBorder="1" applyAlignment="1" applyProtection="1">
      <alignment horizontal="center" vertical="center" wrapText="1"/>
    </xf>
    <xf numFmtId="0" fontId="49" fillId="6" borderId="54" xfId="0" applyFont="1" applyFill="1" applyBorder="1" applyAlignment="1" applyProtection="1">
      <alignment vertical="center" wrapText="1"/>
    </xf>
    <xf numFmtId="0" fontId="49" fillId="6" borderId="3" xfId="0" applyFont="1" applyFill="1" applyBorder="1" applyAlignment="1" applyProtection="1">
      <alignment vertical="center" wrapText="1"/>
    </xf>
    <xf numFmtId="49" fontId="49" fillId="6" borderId="5" xfId="0" applyNumberFormat="1" applyFont="1" applyFill="1" applyBorder="1" applyAlignment="1" applyProtection="1">
      <alignment horizontal="center" vertical="center" wrapText="1"/>
    </xf>
    <xf numFmtId="0" fontId="52" fillId="0" borderId="1" xfId="0" applyFont="1" applyBorder="1" applyAlignment="1" applyProtection="1">
      <alignment vertical="center" wrapText="1"/>
      <protection locked="0"/>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0" fontId="49" fillId="0" borderId="0" xfId="0" applyFont="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49" fillId="0" borderId="0" xfId="0" applyFont="1" applyAlignment="1" applyProtection="1">
      <alignment horizontal="center" vertical="center" wrapText="1"/>
    </xf>
    <xf numFmtId="49" fontId="49" fillId="0" borderId="58" xfId="0" applyNumberFormat="1" applyFont="1" applyBorder="1" applyAlignment="1" applyProtection="1">
      <alignment horizontal="center" vertical="center" wrapText="1"/>
    </xf>
    <xf numFmtId="49" fontId="49"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2" fillId="6" borderId="0" xfId="0" applyFont="1" applyFill="1" applyAlignment="1" applyProtection="1">
      <alignment horizontal="center" vertical="center" wrapText="1"/>
    </xf>
    <xf numFmtId="0" fontId="52" fillId="6" borderId="0" xfId="0" applyFont="1" applyFill="1" applyBorder="1" applyAlignment="1" applyProtection="1">
      <alignment horizontal="center" vertical="center"/>
    </xf>
    <xf numFmtId="0" fontId="52" fillId="6" borderId="0"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0" fontId="52" fillId="2" borderId="1"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left" vertical="center"/>
    </xf>
    <xf numFmtId="179" fontId="52" fillId="6" borderId="0" xfId="0" applyNumberFormat="1" applyFont="1" applyFill="1" applyBorder="1" applyAlignment="1" applyProtection="1">
      <alignment horizontal="center" vertical="center" wrapText="1"/>
    </xf>
    <xf numFmtId="179" fontId="53" fillId="6" borderId="0" xfId="0" applyNumberFormat="1" applyFont="1" applyFill="1" applyBorder="1" applyAlignment="1" applyProtection="1">
      <alignment horizontal="center" vertical="center" wrapText="1"/>
    </xf>
    <xf numFmtId="176" fontId="52" fillId="6" borderId="0" xfId="0" applyNumberFormat="1" applyFont="1" applyFill="1" applyAlignment="1" applyProtection="1">
      <alignment horizontal="center" vertical="center" wrapText="1"/>
    </xf>
    <xf numFmtId="0" fontId="52" fillId="0" borderId="0" xfId="0" applyFont="1" applyFill="1" applyAlignment="1" applyProtection="1">
      <alignment horizontal="center" vertical="center" wrapText="1"/>
    </xf>
    <xf numFmtId="176" fontId="52" fillId="6" borderId="54" xfId="0" applyNumberFormat="1" applyFont="1" applyFill="1" applyBorder="1" applyAlignment="1" applyProtection="1">
      <alignment horizontal="center" vertical="center" wrapText="1"/>
    </xf>
    <xf numFmtId="176" fontId="52" fillId="6" borderId="3" xfId="0" applyNumberFormat="1" applyFont="1" applyFill="1" applyBorder="1" applyAlignment="1" applyProtection="1">
      <alignment horizontal="center" vertical="center" wrapText="1"/>
    </xf>
    <xf numFmtId="176" fontId="52" fillId="6" borderId="5" xfId="0" applyNumberFormat="1" applyFont="1" applyFill="1" applyBorder="1" applyAlignment="1" applyProtection="1">
      <alignment horizontal="center" vertical="center" wrapText="1"/>
    </xf>
    <xf numFmtId="176" fontId="52" fillId="0" borderId="0" xfId="0" applyNumberFormat="1" applyFont="1" applyAlignment="1" applyProtection="1">
      <alignment horizontal="center" vertical="center" wrapText="1"/>
    </xf>
    <xf numFmtId="0" fontId="52" fillId="6" borderId="46" xfId="0" applyFont="1" applyFill="1" applyBorder="1" applyAlignment="1" applyProtection="1">
      <alignment horizontal="left" vertical="center"/>
    </xf>
    <xf numFmtId="0" fontId="52" fillId="6" borderId="36" xfId="0"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2" fillId="6" borderId="59"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179" fontId="52" fillId="6" borderId="5" xfId="0" applyNumberFormat="1" applyFont="1" applyFill="1" applyBorder="1" applyAlignment="1" applyProtection="1">
      <alignment horizontal="left" vertical="center"/>
    </xf>
    <xf numFmtId="0" fontId="53" fillId="6" borderId="54" xfId="0" applyFont="1" applyFill="1" applyBorder="1" applyAlignment="1" applyProtection="1">
      <alignment horizontal="center" vertical="center"/>
    </xf>
    <xf numFmtId="179" fontId="52" fillId="6" borderId="54" xfId="0" applyNumberFormat="1" applyFont="1" applyFill="1" applyBorder="1" applyAlignment="1" applyProtection="1">
      <alignment horizontal="center" vertical="center"/>
    </xf>
    <xf numFmtId="179" fontId="52" fillId="6" borderId="3" xfId="0"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2" fillId="0" borderId="0" xfId="0" applyFont="1" applyAlignment="1" applyProtection="1">
      <alignment horizontal="center" vertical="center"/>
    </xf>
    <xf numFmtId="179" fontId="52" fillId="6" borderId="0" xfId="0" applyNumberFormat="1" applyFont="1" applyFill="1" applyBorder="1" applyAlignment="1" applyProtection="1">
      <alignment horizontal="center" vertical="center"/>
    </xf>
    <xf numFmtId="0" fontId="52" fillId="2" borderId="4" xfId="0" applyFont="1" applyFill="1" applyBorder="1" applyAlignment="1" applyProtection="1">
      <alignment horizontal="left" vertical="center"/>
      <protection locked="0"/>
    </xf>
    <xf numFmtId="0" fontId="53" fillId="6" borderId="54" xfId="0" applyFont="1" applyFill="1" applyBorder="1" applyAlignment="1" applyProtection="1">
      <alignment horizontal="left" vertical="center"/>
    </xf>
    <xf numFmtId="0" fontId="52" fillId="6" borderId="7" xfId="0" applyFont="1" applyFill="1" applyBorder="1" applyAlignment="1" applyProtection="1">
      <alignment horizontal="left" vertical="center"/>
    </xf>
    <xf numFmtId="179" fontId="52" fillId="6" borderId="4" xfId="0" applyNumberFormat="1" applyFont="1" applyFill="1" applyBorder="1" applyAlignment="1" applyProtection="1">
      <alignment horizontal="center" vertical="center"/>
    </xf>
    <xf numFmtId="0" fontId="53" fillId="6" borderId="60" xfId="0" applyFont="1" applyFill="1" applyBorder="1" applyAlignment="1" applyProtection="1">
      <alignment horizontal="center" vertical="center"/>
    </xf>
    <xf numFmtId="179" fontId="52" fillId="6" borderId="7" xfId="0" applyNumberFormat="1" applyFont="1" applyFill="1" applyBorder="1" applyAlignment="1" applyProtection="1">
      <alignment horizontal="center" vertical="center"/>
    </xf>
    <xf numFmtId="0" fontId="52" fillId="2" borderId="5" xfId="0" applyFont="1" applyFill="1" applyBorder="1" applyAlignment="1" applyProtection="1">
      <alignment horizontal="left" vertical="center"/>
      <protection locked="0"/>
    </xf>
    <xf numFmtId="0" fontId="52" fillId="6" borderId="3" xfId="0" applyFont="1" applyFill="1" applyBorder="1" applyAlignment="1" applyProtection="1">
      <alignment horizontal="right" vertical="center"/>
    </xf>
    <xf numFmtId="179" fontId="52" fillId="6" borderId="35" xfId="0" applyNumberFormat="1"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2" borderId="54" xfId="0" applyFont="1" applyFill="1" applyBorder="1" applyAlignment="1" applyProtection="1">
      <alignment horizontal="left" vertical="center"/>
      <protection locked="0"/>
    </xf>
    <xf numFmtId="0" fontId="53"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2" fillId="6" borderId="61" xfId="0" applyFont="1" applyFill="1" applyBorder="1" applyAlignment="1" applyProtection="1">
      <alignment horizontal="center" vertical="center"/>
    </xf>
    <xf numFmtId="0" fontId="52" fillId="6" borderId="4" xfId="0" applyFont="1" applyFill="1" applyBorder="1" applyAlignment="1" applyProtection="1">
      <alignment horizontal="center" vertical="center" wrapText="1"/>
    </xf>
    <xf numFmtId="179" fontId="52" fillId="6" borderId="7" xfId="0" applyNumberFormat="1" applyFont="1" applyFill="1" applyBorder="1" applyAlignment="1" applyProtection="1">
      <alignment horizontal="center" vertical="center" wrapText="1"/>
    </xf>
    <xf numFmtId="179" fontId="52" fillId="6" borderId="2" xfId="0" applyNumberFormat="1" applyFont="1" applyFill="1" applyBorder="1" applyAlignment="1" applyProtection="1">
      <alignment horizontal="center" vertical="center" wrapText="1"/>
    </xf>
    <xf numFmtId="179" fontId="52" fillId="6" borderId="4" xfId="0" applyNumberFormat="1"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179" fontId="52" fillId="6" borderId="1" xfId="0" applyNumberFormat="1" applyFont="1" applyFill="1" applyBorder="1" applyAlignment="1" applyProtection="1">
      <alignment horizontal="center" vertical="center"/>
    </xf>
    <xf numFmtId="0" fontId="52" fillId="2" borderId="2" xfId="0" applyFont="1" applyFill="1" applyBorder="1" applyAlignment="1" applyProtection="1">
      <alignment horizontal="center" vertical="center" wrapText="1"/>
      <protection locked="0"/>
    </xf>
    <xf numFmtId="176" fontId="52" fillId="0" borderId="1" xfId="0" applyNumberFormat="1" applyFont="1" applyBorder="1" applyAlignment="1" applyProtection="1">
      <alignment vertical="center" wrapText="1"/>
      <protection locked="0"/>
    </xf>
    <xf numFmtId="176" fontId="52" fillId="0" borderId="1" xfId="0" applyNumberFormat="1" applyFont="1" applyBorder="1" applyAlignment="1" applyProtection="1">
      <alignment horizontal="center" vertical="center" wrapText="1"/>
      <protection locked="0"/>
    </xf>
    <xf numFmtId="176" fontId="52" fillId="0" borderId="2" xfId="0" applyNumberFormat="1" applyFont="1" applyBorder="1" applyAlignment="1" applyProtection="1">
      <alignment horizontal="center" vertical="center" wrapText="1"/>
      <protection locked="0"/>
    </xf>
    <xf numFmtId="0" fontId="52" fillId="0" borderId="4" xfId="0" applyFont="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xf>
    <xf numFmtId="176" fontId="49" fillId="0" borderId="0"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wrapText="1"/>
    </xf>
    <xf numFmtId="0" fontId="54" fillId="0" borderId="0" xfId="0" applyFont="1" applyAlignment="1" applyProtection="1">
      <alignment horizontal="center" vertical="center" wrapText="1"/>
    </xf>
    <xf numFmtId="0" fontId="54" fillId="0" borderId="0" xfId="0" applyFont="1" applyAlignment="1" applyProtection="1">
      <alignment horizontal="center" vertical="center"/>
    </xf>
    <xf numFmtId="0" fontId="110" fillId="6" borderId="0" xfId="0" applyFont="1" applyFill="1" applyProtection="1">
      <alignment vertical="center"/>
    </xf>
    <xf numFmtId="0" fontId="49" fillId="0" borderId="0" xfId="0" applyFont="1" applyProtection="1">
      <alignment vertical="center"/>
      <protection locked="0"/>
    </xf>
    <xf numFmtId="176" fontId="55" fillId="6" borderId="1" xfId="1" applyNumberFormat="1" applyFont="1" applyFill="1" applyBorder="1" applyAlignment="1" applyProtection="1">
      <alignment horizontal="center" vertical="center"/>
    </xf>
    <xf numFmtId="0" fontId="49" fillId="6" borderId="5" xfId="0" applyFont="1" applyFill="1" applyBorder="1" applyProtection="1">
      <alignment vertical="center"/>
    </xf>
    <xf numFmtId="0" fontId="49" fillId="6" borderId="54" xfId="0" applyFont="1" applyFill="1" applyBorder="1" applyProtection="1">
      <alignment vertical="center"/>
    </xf>
    <xf numFmtId="0" fontId="51" fillId="6" borderId="3"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176" fontId="55" fillId="6" borderId="10" xfId="1" applyNumberFormat="1" applyFont="1" applyFill="1" applyBorder="1" applyAlignment="1" applyProtection="1">
      <alignment horizontal="center" vertical="center"/>
    </xf>
    <xf numFmtId="0" fontId="49" fillId="6" borderId="2" xfId="0" applyFont="1" applyFill="1" applyBorder="1" applyProtection="1">
      <alignment vertical="center"/>
    </xf>
    <xf numFmtId="0" fontId="49" fillId="6" borderId="12" xfId="0" applyFont="1" applyFill="1" applyBorder="1" applyAlignment="1" applyProtection="1">
      <alignment vertical="center"/>
    </xf>
    <xf numFmtId="0" fontId="49" fillId="6" borderId="15" xfId="0" applyFont="1" applyFill="1" applyBorder="1" applyProtection="1">
      <alignment vertical="center"/>
    </xf>
    <xf numFmtId="176" fontId="51" fillId="6" borderId="10" xfId="1" applyNumberFormat="1" applyFont="1" applyFill="1" applyBorder="1" applyAlignment="1" applyProtection="1">
      <alignment horizontal="center" vertical="center"/>
    </xf>
    <xf numFmtId="0" fontId="49" fillId="6" borderId="0" xfId="0" applyFont="1" applyFill="1" applyBorder="1" applyProtection="1">
      <alignment vertical="center"/>
      <protection locked="0"/>
    </xf>
    <xf numFmtId="0" fontId="49" fillId="6" borderId="14" xfId="0" applyFont="1" applyFill="1" applyBorder="1" applyAlignment="1" applyProtection="1">
      <alignment vertical="center"/>
    </xf>
    <xf numFmtId="0" fontId="49" fillId="6" borderId="15" xfId="0" applyFont="1" applyFill="1" applyBorder="1" applyAlignment="1" applyProtection="1">
      <alignment vertical="center"/>
    </xf>
    <xf numFmtId="0" fontId="51" fillId="6" borderId="51" xfId="0" applyFont="1" applyFill="1" applyBorder="1" applyProtection="1">
      <alignment vertical="center"/>
    </xf>
    <xf numFmtId="0" fontId="49" fillId="6" borderId="21" xfId="0" applyFont="1" applyFill="1" applyBorder="1" applyProtection="1">
      <alignment vertical="center"/>
    </xf>
    <xf numFmtId="0" fontId="49" fillId="6" borderId="16" xfId="0" applyFont="1" applyFill="1" applyBorder="1" applyAlignment="1" applyProtection="1">
      <alignment vertical="center"/>
    </xf>
    <xf numFmtId="0" fontId="49" fillId="6" borderId="17" xfId="0" applyFont="1" applyFill="1" applyBorder="1" applyProtection="1">
      <alignment vertical="center"/>
    </xf>
    <xf numFmtId="0" fontId="49" fillId="6" borderId="19" xfId="0" applyFont="1" applyFill="1" applyBorder="1" applyAlignment="1" applyProtection="1">
      <alignment vertical="center"/>
    </xf>
    <xf numFmtId="0" fontId="51" fillId="6" borderId="17" xfId="0" applyFont="1" applyFill="1" applyBorder="1" applyAlignment="1" applyProtection="1">
      <alignment horizontal="center" vertical="center"/>
    </xf>
    <xf numFmtId="176" fontId="55" fillId="6" borderId="29" xfId="1" applyNumberFormat="1" applyFont="1" applyFill="1" applyBorder="1" applyAlignment="1" applyProtection="1">
      <alignment horizontal="center" vertical="center"/>
    </xf>
    <xf numFmtId="176" fontId="55" fillId="6" borderId="20" xfId="1" applyNumberFormat="1" applyFont="1" applyFill="1" applyBorder="1" applyAlignment="1" applyProtection="1">
      <alignment horizontal="center" vertical="center"/>
    </xf>
    <xf numFmtId="176" fontId="55" fillId="6" borderId="21" xfId="1" applyNumberFormat="1" applyFont="1" applyFill="1" applyBorder="1" applyAlignment="1" applyProtection="1">
      <alignment horizontal="center" vertical="center"/>
    </xf>
    <xf numFmtId="0" fontId="51" fillId="6" borderId="55" xfId="0" applyFont="1" applyFill="1" applyBorder="1" applyAlignment="1" applyProtection="1">
      <alignment horizontal="right" vertical="center"/>
    </xf>
    <xf numFmtId="179" fontId="51" fillId="2" borderId="24" xfId="0" applyNumberFormat="1" applyFont="1" applyFill="1" applyBorder="1" applyAlignment="1" applyProtection="1">
      <alignment horizontal="center" vertical="center"/>
      <protection locked="0"/>
    </xf>
    <xf numFmtId="0" fontId="49" fillId="6" borderId="2" xfId="0" applyFont="1" applyFill="1" applyBorder="1" applyAlignment="1" applyProtection="1">
      <alignment vertical="center"/>
    </xf>
    <xf numFmtId="0" fontId="49" fillId="6" borderId="0" xfId="0" applyFont="1" applyFill="1" applyBorder="1" applyAlignment="1" applyProtection="1">
      <alignment vertical="center"/>
    </xf>
    <xf numFmtId="0" fontId="51" fillId="6" borderId="2" xfId="0" applyFont="1" applyFill="1" applyBorder="1" applyAlignment="1" applyProtection="1">
      <alignment horizontal="center" vertical="center"/>
    </xf>
    <xf numFmtId="176" fontId="56" fillId="6" borderId="2" xfId="1"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179"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49" fillId="6" borderId="18" xfId="0" applyFont="1" applyFill="1" applyBorder="1" applyProtection="1">
      <alignment vertical="center"/>
    </xf>
    <xf numFmtId="177" fontId="52" fillId="0" borderId="1" xfId="1" applyNumberFormat="1" applyFont="1" applyFill="1" applyBorder="1" applyAlignment="1" applyProtection="1">
      <alignment vertical="center"/>
      <protection locked="0" hidden="1"/>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6" borderId="18" xfId="0" applyFont="1" applyFill="1" applyBorder="1" applyAlignment="1" applyProtection="1">
      <alignment vertical="center"/>
    </xf>
    <xf numFmtId="0" fontId="49" fillId="0" borderId="11" xfId="0" applyFont="1" applyBorder="1" applyProtection="1">
      <alignment vertical="center"/>
      <protection locked="0"/>
    </xf>
    <xf numFmtId="0" fontId="49" fillId="0" borderId="13" xfId="0" applyFont="1" applyBorder="1" applyProtection="1">
      <alignment vertical="center"/>
      <protection locked="0"/>
    </xf>
    <xf numFmtId="0" fontId="51" fillId="6" borderId="3"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49" fillId="6" borderId="42" xfId="0" applyFont="1" applyFill="1" applyBorder="1" applyAlignment="1" applyProtection="1">
      <alignment vertical="center"/>
    </xf>
    <xf numFmtId="0" fontId="49" fillId="6" borderId="33" xfId="0" applyFont="1" applyFill="1" applyBorder="1" applyProtection="1">
      <alignment vertical="center"/>
    </xf>
    <xf numFmtId="176" fontId="49"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2" fillId="6" borderId="0" xfId="0" applyNumberFormat="1" applyFont="1" applyFill="1" applyAlignment="1" applyProtection="1">
      <alignment vertical="center"/>
      <protection locked="0"/>
    </xf>
    <xf numFmtId="0" fontId="52" fillId="0" borderId="0" xfId="0" applyFont="1" applyAlignment="1" applyProtection="1">
      <alignment vertical="center"/>
      <protection locked="0"/>
    </xf>
    <xf numFmtId="0" fontId="52" fillId="0" borderId="0" xfId="0" applyFont="1" applyAlignment="1" applyProtection="1">
      <alignment vertical="center"/>
    </xf>
    <xf numFmtId="0" fontId="51" fillId="6" borderId="26" xfId="0" applyFont="1" applyFill="1" applyBorder="1" applyAlignment="1" applyProtection="1">
      <alignment vertical="center" wrapText="1"/>
    </xf>
    <xf numFmtId="0" fontId="49" fillId="6" borderId="0" xfId="0" applyFont="1" applyFill="1" applyAlignment="1" applyProtection="1">
      <alignment vertical="center"/>
      <protection locked="0"/>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6" borderId="0" xfId="0" applyFont="1" applyFill="1" applyAlignment="1" applyProtection="1">
      <alignment vertical="center"/>
    </xf>
    <xf numFmtId="0" fontId="49" fillId="6" borderId="63" xfId="0" applyFont="1" applyFill="1" applyBorder="1" applyAlignment="1" applyProtection="1">
      <alignment vertical="center"/>
    </xf>
    <xf numFmtId="0" fontId="49" fillId="6" borderId="64" xfId="0" applyFont="1" applyFill="1" applyBorder="1" applyAlignment="1" applyProtection="1">
      <alignment vertical="center"/>
    </xf>
    <xf numFmtId="179" fontId="49" fillId="6" borderId="64" xfId="0" applyNumberFormat="1" applyFont="1" applyFill="1" applyBorder="1" applyAlignment="1" applyProtection="1">
      <alignment vertical="center"/>
    </xf>
    <xf numFmtId="0" fontId="49" fillId="6" borderId="65" xfId="0" applyFont="1" applyFill="1" applyBorder="1" applyAlignment="1" applyProtection="1">
      <alignment vertical="center"/>
    </xf>
    <xf numFmtId="0" fontId="49" fillId="6" borderId="63" xfId="0" applyFont="1" applyFill="1" applyBorder="1" applyAlignment="1" applyProtection="1">
      <alignment horizontal="center" vertical="center"/>
    </xf>
    <xf numFmtId="0" fontId="49" fillId="6" borderId="64" xfId="0" applyFont="1" applyFill="1" applyBorder="1" applyAlignment="1" applyProtection="1">
      <alignment horizontal="center" vertical="center"/>
    </xf>
    <xf numFmtId="0" fontId="49" fillId="6" borderId="82" xfId="0" applyFont="1" applyFill="1" applyBorder="1" applyAlignment="1" applyProtection="1">
      <alignment horizontal="center" vertical="center"/>
    </xf>
    <xf numFmtId="0" fontId="49" fillId="6" borderId="31" xfId="0" applyFont="1" applyFill="1" applyBorder="1" applyAlignment="1" applyProtection="1">
      <alignment vertical="center"/>
    </xf>
    <xf numFmtId="0" fontId="49" fillId="6" borderId="6" xfId="1" applyFont="1" applyFill="1" applyBorder="1" applyAlignment="1" applyProtection="1">
      <alignment vertical="center" wrapText="1"/>
    </xf>
    <xf numFmtId="0" fontId="49" fillId="6" borderId="9" xfId="1" applyFont="1" applyFill="1" applyBorder="1" applyAlignment="1" applyProtection="1">
      <alignment vertical="center" wrapText="1"/>
    </xf>
    <xf numFmtId="0" fontId="49" fillId="6" borderId="28" xfId="1" applyFont="1" applyFill="1" applyBorder="1" applyAlignment="1" applyProtection="1">
      <alignment vertical="center" wrapText="1"/>
    </xf>
    <xf numFmtId="180" fontId="56" fillId="6" borderId="6" xfId="1" applyNumberFormat="1" applyFont="1" applyFill="1" applyBorder="1" applyAlignment="1" applyProtection="1">
      <alignment horizontal="center" vertical="center" wrapText="1"/>
    </xf>
    <xf numFmtId="179" fontId="49"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9" fillId="6" borderId="6" xfId="1" applyNumberFormat="1" applyFont="1" applyFill="1" applyBorder="1" applyAlignment="1" applyProtection="1">
      <alignment horizontal="center" vertical="center" wrapText="1"/>
    </xf>
    <xf numFmtId="0" fontId="49" fillId="6" borderId="9" xfId="1" applyFont="1" applyFill="1" applyBorder="1" applyAlignment="1" applyProtection="1">
      <alignment horizontal="center" vertical="center" wrapText="1"/>
    </xf>
    <xf numFmtId="179" fontId="49" fillId="6" borderId="9" xfId="1" applyNumberFormat="1" applyFont="1" applyFill="1" applyBorder="1" applyAlignment="1" applyProtection="1">
      <alignment horizontal="center" vertical="center" wrapText="1"/>
    </xf>
    <xf numFmtId="0" fontId="49" fillId="5" borderId="9" xfId="1" applyFont="1" applyFill="1" applyBorder="1" applyAlignment="1" applyProtection="1">
      <alignment horizontal="center" vertical="center" wrapText="1"/>
      <protection locked="0"/>
    </xf>
    <xf numFmtId="0" fontId="49" fillId="6" borderId="28" xfId="1" applyFont="1" applyFill="1" applyBorder="1" applyAlignment="1" applyProtection="1">
      <alignment horizontal="center" vertical="center" wrapText="1"/>
    </xf>
    <xf numFmtId="0" fontId="49" fillId="6" borderId="6" xfId="1" applyFont="1" applyFill="1" applyBorder="1" applyAlignment="1" applyProtection="1">
      <alignment horizontal="center" vertical="center" wrapText="1"/>
    </xf>
    <xf numFmtId="0" fontId="49" fillId="6" borderId="19" xfId="1" applyFont="1" applyFill="1" applyBorder="1" applyAlignment="1" applyProtection="1">
      <alignment horizontal="center" vertical="center" wrapText="1"/>
    </xf>
    <xf numFmtId="0" fontId="49" fillId="6" borderId="62" xfId="1" applyFont="1" applyFill="1" applyBorder="1" applyAlignment="1" applyProtection="1">
      <alignment horizontal="center" vertical="center" wrapText="1"/>
    </xf>
    <xf numFmtId="0" fontId="49" fillId="6" borderId="30"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protection locked="0"/>
    </xf>
    <xf numFmtId="0" fontId="49" fillId="6" borderId="1" xfId="1" applyFont="1" applyFill="1" applyBorder="1" applyAlignment="1" applyProtection="1">
      <alignment horizontal="center" vertical="center" wrapText="1"/>
    </xf>
    <xf numFmtId="177" fontId="52" fillId="6" borderId="23" xfId="1" applyNumberFormat="1" applyFont="1" applyFill="1" applyBorder="1" applyAlignment="1" applyProtection="1">
      <alignment horizontal="left" vertical="center"/>
    </xf>
    <xf numFmtId="177" fontId="49" fillId="6" borderId="1" xfId="1" applyNumberFormat="1" applyFont="1" applyFill="1" applyBorder="1" applyAlignment="1" applyProtection="1">
      <alignment vertical="center"/>
    </xf>
    <xf numFmtId="177" fontId="49"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9" fillId="6" borderId="1" xfId="0" applyFont="1" applyFill="1" applyBorder="1" applyAlignment="1" applyProtection="1">
      <alignment horizontal="right" vertical="center"/>
    </xf>
    <xf numFmtId="177" fontId="49" fillId="6" borderId="23" xfId="1" applyNumberFormat="1" applyFont="1" applyFill="1" applyBorder="1" applyAlignment="1" applyProtection="1">
      <alignment horizontal="left" vertical="center" wrapText="1"/>
      <protection locked="0"/>
    </xf>
    <xf numFmtId="177" fontId="49" fillId="6" borderId="5" xfId="1" applyNumberFormat="1" applyFont="1" applyFill="1" applyBorder="1" applyAlignment="1" applyProtection="1">
      <alignment vertical="center"/>
    </xf>
    <xf numFmtId="0" fontId="51" fillId="6" borderId="25" xfId="1" applyFont="1" applyFill="1" applyBorder="1" applyAlignment="1" applyProtection="1">
      <alignment vertical="center" wrapText="1"/>
    </xf>
    <xf numFmtId="0" fontId="51" fillId="6" borderId="25" xfId="1" applyFont="1" applyFill="1" applyBorder="1" applyAlignment="1" applyProtection="1">
      <alignment vertical="center"/>
    </xf>
    <xf numFmtId="0" fontId="57" fillId="6" borderId="0" xfId="0" applyFont="1" applyFill="1" applyAlignment="1" applyProtection="1">
      <alignment vertical="center" wrapText="1"/>
    </xf>
    <xf numFmtId="176" fontId="56" fillId="6" borderId="6" xfId="1" applyNumberFormat="1" applyFont="1" applyFill="1" applyBorder="1" applyAlignment="1" applyProtection="1">
      <alignment vertical="center" wrapText="1"/>
    </xf>
    <xf numFmtId="176" fontId="56" fillId="6" borderId="23" xfId="1" applyNumberFormat="1" applyFont="1" applyFill="1" applyBorder="1" applyAlignment="1" applyProtection="1">
      <alignment vertical="center" wrapText="1"/>
    </xf>
    <xf numFmtId="176" fontId="49" fillId="6" borderId="23" xfId="1" applyNumberFormat="1" applyFont="1" applyFill="1" applyBorder="1" applyAlignment="1" applyProtection="1">
      <alignment vertical="center" wrapText="1"/>
    </xf>
    <xf numFmtId="176" fontId="56" fillId="6" borderId="25" xfId="1" applyNumberFormat="1" applyFont="1" applyFill="1" applyBorder="1" applyAlignment="1" applyProtection="1">
      <alignment vertical="center" wrapText="1"/>
    </xf>
    <xf numFmtId="0" fontId="49" fillId="6" borderId="34" xfId="0" applyFont="1" applyFill="1" applyBorder="1" applyAlignment="1" applyProtection="1">
      <alignment horizontal="center" vertical="center"/>
    </xf>
    <xf numFmtId="0" fontId="49" fillId="6" borderId="67" xfId="0" applyFont="1" applyFill="1" applyBorder="1" applyAlignment="1" applyProtection="1">
      <alignment horizontal="center" vertical="center"/>
      <protection locked="0"/>
    </xf>
    <xf numFmtId="0" fontId="49" fillId="6" borderId="6" xfId="0" applyFont="1" applyFill="1" applyBorder="1" applyAlignment="1" applyProtection="1">
      <alignment vertical="center" wrapText="1"/>
    </xf>
    <xf numFmtId="179" fontId="49" fillId="6" borderId="0" xfId="0" applyNumberFormat="1" applyFont="1" applyFill="1" applyAlignment="1" applyProtection="1">
      <alignment horizontal="center" vertical="center"/>
      <protection locked="0"/>
    </xf>
    <xf numFmtId="0" fontId="52" fillId="0" borderId="0" xfId="0" applyFont="1" applyFill="1" applyAlignment="1" applyProtection="1">
      <alignment vertical="center"/>
    </xf>
    <xf numFmtId="0" fontId="49"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9" fillId="6" borderId="25" xfId="0" applyFont="1" applyFill="1" applyBorder="1" applyAlignment="1" applyProtection="1">
      <alignment vertical="center" wrapText="1"/>
    </xf>
    <xf numFmtId="0" fontId="49" fillId="6" borderId="41" xfId="0" applyFont="1" applyFill="1" applyBorder="1" applyAlignment="1" applyProtection="1">
      <alignment vertical="center" wrapText="1"/>
    </xf>
    <xf numFmtId="0" fontId="49" fillId="6" borderId="11" xfId="0" applyFont="1" applyFill="1" applyBorder="1" applyAlignment="1" applyProtection="1">
      <alignment vertical="center" wrapText="1"/>
    </xf>
    <xf numFmtId="0" fontId="49"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25" xfId="0" applyFont="1" applyFill="1" applyBorder="1" applyAlignment="1" applyProtection="1">
      <alignment horizontal="right" vertical="center" wrapText="1"/>
    </xf>
    <xf numFmtId="0" fontId="49" fillId="6" borderId="14" xfId="0" applyFont="1" applyFill="1" applyBorder="1" applyAlignment="1" applyProtection="1">
      <alignment vertical="center" wrapText="1"/>
    </xf>
    <xf numFmtId="0" fontId="49" fillId="6" borderId="40" xfId="0" applyFont="1" applyFill="1" applyBorder="1" applyAlignment="1" applyProtection="1">
      <alignment vertical="center" wrapText="1"/>
    </xf>
    <xf numFmtId="0" fontId="49" fillId="2" borderId="24" xfId="0" applyFont="1" applyFill="1" applyBorder="1" applyAlignment="1" applyProtection="1">
      <alignment horizontal="center" vertical="center"/>
      <protection locked="0"/>
    </xf>
    <xf numFmtId="0" fontId="54" fillId="6" borderId="0" xfId="0" applyFont="1" applyFill="1" applyAlignment="1" applyProtection="1">
      <alignment vertical="center"/>
      <protection locked="0"/>
    </xf>
    <xf numFmtId="0" fontId="49" fillId="0" borderId="23" xfId="0" applyFont="1" applyBorder="1" applyAlignment="1" applyProtection="1">
      <alignment horizontal="right" vertical="center" wrapText="1"/>
      <protection locked="0"/>
    </xf>
    <xf numFmtId="0" fontId="49" fillId="6" borderId="0" xfId="0" applyFont="1" applyFill="1" applyBorder="1" applyAlignment="1" applyProtection="1">
      <alignment vertical="center"/>
      <protection locked="0"/>
    </xf>
    <xf numFmtId="0" fontId="49" fillId="0" borderId="25" xfId="0" applyFont="1" applyBorder="1" applyAlignment="1" applyProtection="1">
      <alignment horizontal="right" vertical="center" wrapText="1"/>
      <protection locked="0"/>
    </xf>
    <xf numFmtId="0" fontId="52" fillId="7" borderId="0" xfId="0" applyFont="1" applyFill="1" applyAlignment="1" applyProtection="1">
      <alignment vertical="center" wrapText="1"/>
      <protection locked="0"/>
    </xf>
    <xf numFmtId="179" fontId="52" fillId="7" borderId="0" xfId="0" applyNumberFormat="1" applyFont="1" applyFill="1" applyAlignment="1" applyProtection="1">
      <alignment vertical="center"/>
      <protection locked="0"/>
    </xf>
    <xf numFmtId="0" fontId="52" fillId="0" borderId="0" xfId="0" applyFont="1" applyAlignment="1" applyProtection="1">
      <alignment vertical="center" wrapText="1"/>
      <protection locked="0"/>
    </xf>
    <xf numFmtId="179" fontId="52" fillId="0" borderId="0" xfId="0" applyNumberFormat="1" applyFont="1" applyAlignment="1" applyProtection="1">
      <alignment vertical="center"/>
      <protection locked="0"/>
    </xf>
    <xf numFmtId="0" fontId="52" fillId="0" borderId="0" xfId="0" applyFont="1" applyAlignment="1" applyProtection="1">
      <alignment vertical="center" wrapText="1"/>
    </xf>
    <xf numFmtId="179" fontId="52"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1" fillId="6" borderId="63" xfId="0" applyFont="1" applyFill="1" applyBorder="1" applyAlignment="1" applyProtection="1">
      <alignment horizontal="center" vertical="center" wrapText="1"/>
    </xf>
    <xf numFmtId="0" fontId="51" fillId="6" borderId="34" xfId="0" applyFont="1" applyFill="1" applyBorder="1" applyAlignment="1" applyProtection="1">
      <alignment horizontal="right" vertical="center" wrapText="1"/>
    </xf>
    <xf numFmtId="0" fontId="51" fillId="6" borderId="6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xf>
    <xf numFmtId="0" fontId="51" fillId="6" borderId="63" xfId="0" applyFont="1" applyFill="1" applyBorder="1" applyAlignment="1" applyProtection="1">
      <alignment horizontal="right" vertical="center" wrapText="1"/>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0" fontId="49"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9"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49" fontId="49" fillId="6" borderId="12" xfId="0" applyNumberFormat="1" applyFont="1" applyFill="1" applyBorder="1" applyAlignment="1" applyProtection="1">
      <alignment horizontal="center" vertical="center" wrapText="1"/>
    </xf>
    <xf numFmtId="0" fontId="49"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wrapText="1"/>
    </xf>
    <xf numFmtId="0" fontId="49"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49" fontId="49" fillId="7"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8" fillId="6" borderId="10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51" fillId="6" borderId="16" xfId="0" applyFont="1" applyFill="1" applyBorder="1" applyAlignment="1" applyProtection="1">
      <alignment horizontal="center" vertical="center" wrapText="1"/>
    </xf>
    <xf numFmtId="0" fontId="51" fillId="6" borderId="16" xfId="0" applyFont="1" applyFill="1" applyBorder="1" applyAlignment="1" applyProtection="1">
      <alignment horizontal="right" vertical="center" wrapText="1"/>
    </xf>
    <xf numFmtId="0" fontId="51" fillId="6" borderId="31" xfId="0" applyFont="1" applyFill="1" applyBorder="1" applyAlignment="1" applyProtection="1">
      <alignment horizontal="center" vertical="center" wrapText="1"/>
    </xf>
    <xf numFmtId="0" fontId="51" fillId="6" borderId="82" xfId="0" applyFont="1" applyFill="1" applyBorder="1" applyAlignment="1" applyProtection="1">
      <alignment horizontal="right" vertical="center" wrapText="1"/>
    </xf>
    <xf numFmtId="49" fontId="49" fillId="6" borderId="62" xfId="0" applyNumberFormat="1" applyFont="1" applyFill="1" applyBorder="1" applyAlignment="1" applyProtection="1">
      <alignment horizontal="center" vertical="center" wrapText="1"/>
    </xf>
    <xf numFmtId="49" fontId="51" fillId="6" borderId="27" xfId="0" applyNumberFormat="1" applyFont="1" applyFill="1" applyBorder="1" applyAlignment="1" applyProtection="1">
      <alignment vertical="center" wrapText="1"/>
    </xf>
    <xf numFmtId="0" fontId="49" fillId="6" borderId="41" xfId="0" applyFont="1" applyFill="1" applyBorder="1" applyAlignment="1" applyProtection="1">
      <alignment horizontal="center" vertical="center" wrapText="1"/>
    </xf>
    <xf numFmtId="49" fontId="49" fillId="6" borderId="24" xfId="0" applyNumberFormat="1" applyFont="1" applyFill="1" applyBorder="1" applyAlignment="1" applyProtection="1">
      <alignment horizontal="center" vertical="center" wrapText="1"/>
    </xf>
    <xf numFmtId="49" fontId="51" fillId="6" borderId="80" xfId="0" applyNumberFormat="1" applyFont="1" applyFill="1" applyBorder="1" applyAlignment="1" applyProtection="1">
      <alignment vertical="center" wrapText="1"/>
    </xf>
    <xf numFmtId="0" fontId="49" fillId="6" borderId="23" xfId="0" applyFont="1" applyFill="1" applyBorder="1" applyAlignment="1" applyProtection="1">
      <alignment horizontal="center" vertical="center" wrapText="1"/>
    </xf>
    <xf numFmtId="0" fontId="49" fillId="5" borderId="24" xfId="0" applyNumberFormat="1" applyFont="1" applyFill="1" applyBorder="1" applyAlignment="1" applyProtection="1">
      <alignment horizontal="center" vertical="center" wrapText="1"/>
      <protection locked="0"/>
    </xf>
    <xf numFmtId="49" fontId="51" fillId="6" borderId="81" xfId="0" applyNumberFormat="1" applyFont="1" applyFill="1" applyBorder="1" applyAlignment="1" applyProtection="1">
      <alignment vertical="center" wrapText="1"/>
    </xf>
    <xf numFmtId="0" fontId="49" fillId="6" borderId="25" xfId="0" applyFont="1" applyFill="1" applyBorder="1" applyAlignment="1" applyProtection="1">
      <alignment horizontal="center" vertical="center" wrapText="1"/>
    </xf>
    <xf numFmtId="0" fontId="49" fillId="0" borderId="49" xfId="0" applyNumberFormat="1" applyFont="1" applyFill="1" applyBorder="1" applyAlignment="1" applyProtection="1">
      <alignment horizontal="center" vertical="center" wrapText="1"/>
      <protection locked="0"/>
    </xf>
    <xf numFmtId="0" fontId="51"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49" fillId="0" borderId="0" xfId="0" applyFont="1" applyFill="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0" fontId="49" fillId="0" borderId="0" xfId="0" applyNumberFormat="1" applyFont="1" applyFill="1" applyAlignment="1" applyProtection="1">
      <alignment horizontal="center" vertical="center" wrapText="1"/>
      <protection locked="0"/>
    </xf>
    <xf numFmtId="0" fontId="52" fillId="6" borderId="0" xfId="0" applyFont="1" applyFill="1" applyProtection="1">
      <alignment vertical="center"/>
    </xf>
    <xf numFmtId="0" fontId="52" fillId="5" borderId="0" xfId="0" applyFont="1" applyFill="1" applyProtection="1">
      <alignment vertical="center"/>
      <protection locked="0"/>
    </xf>
    <xf numFmtId="0" fontId="66" fillId="6" borderId="13" xfId="0" applyFont="1" applyFill="1" applyBorder="1" applyProtection="1">
      <alignment vertical="center"/>
    </xf>
    <xf numFmtId="0" fontId="66" fillId="6" borderId="13" xfId="0" applyNumberFormat="1" applyFont="1" applyFill="1" applyBorder="1" applyProtection="1">
      <alignment vertical="center"/>
    </xf>
    <xf numFmtId="0" fontId="66" fillId="5" borderId="13" xfId="0" applyFont="1" applyFill="1" applyBorder="1" applyAlignment="1" applyProtection="1">
      <alignment horizontal="center" vertical="center"/>
      <protection locked="0"/>
    </xf>
    <xf numFmtId="0" fontId="52" fillId="7" borderId="0" xfId="0" applyFont="1" applyFill="1" applyProtection="1">
      <alignment vertical="center"/>
    </xf>
    <xf numFmtId="0" fontId="52" fillId="0" borderId="0" xfId="0" applyFont="1" applyProtection="1">
      <alignment vertical="center"/>
    </xf>
    <xf numFmtId="0" fontId="49" fillId="6" borderId="13" xfId="0" applyFont="1" applyFill="1" applyBorder="1" applyAlignment="1" applyProtection="1">
      <alignment vertical="center" wrapText="1"/>
    </xf>
    <xf numFmtId="0" fontId="49"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2" fillId="7" borderId="1" xfId="0" applyFont="1" applyFill="1" applyBorder="1" applyProtection="1">
      <alignment vertical="center"/>
    </xf>
    <xf numFmtId="0" fontId="52" fillId="6" borderId="54" xfId="0" applyFont="1" applyFill="1" applyBorder="1" applyAlignment="1" applyProtection="1">
      <alignment vertical="center" wrapText="1"/>
    </xf>
    <xf numFmtId="0" fontId="51" fillId="6" borderId="5" xfId="0" applyFont="1" applyFill="1" applyBorder="1" applyAlignment="1" applyProtection="1">
      <alignment horizontal="right" vertical="center"/>
    </xf>
    <xf numFmtId="0" fontId="52" fillId="7" borderId="1" xfId="0" applyFont="1" applyFill="1" applyBorder="1" applyAlignment="1" applyProtection="1">
      <alignment horizontal="right" vertical="center"/>
    </xf>
    <xf numFmtId="0" fontId="51" fillId="6" borderId="58" xfId="0" applyFont="1" applyFill="1" applyBorder="1" applyAlignment="1" applyProtection="1">
      <alignment horizontal="right" vertical="center"/>
    </xf>
    <xf numFmtId="0" fontId="49" fillId="6" borderId="0" xfId="0" applyFont="1" applyFill="1" applyProtection="1">
      <alignment vertical="center"/>
    </xf>
    <xf numFmtId="0" fontId="51" fillId="6" borderId="16" xfId="0" applyFont="1" applyFill="1" applyBorder="1" applyAlignment="1" applyProtection="1">
      <alignment vertical="center"/>
    </xf>
    <xf numFmtId="0" fontId="49" fillId="6" borderId="9" xfId="0" applyFont="1" applyFill="1" applyBorder="1" applyAlignment="1" applyProtection="1">
      <alignment vertical="center"/>
    </xf>
    <xf numFmtId="0" fontId="52" fillId="6" borderId="21" xfId="0" applyFont="1" applyFill="1" applyBorder="1" applyAlignment="1" applyProtection="1">
      <alignment vertical="center"/>
    </xf>
    <xf numFmtId="0" fontId="51" fillId="6" borderId="18" xfId="0" applyFont="1" applyFill="1" applyBorder="1" applyAlignment="1" applyProtection="1">
      <alignment vertical="center"/>
    </xf>
    <xf numFmtId="0" fontId="49" fillId="6" borderId="32" xfId="0" applyFont="1" applyFill="1" applyBorder="1" applyProtection="1">
      <alignment vertical="center"/>
    </xf>
    <xf numFmtId="0" fontId="52" fillId="6" borderId="68" xfId="0" applyFont="1" applyFill="1" applyBorder="1" applyAlignment="1" applyProtection="1">
      <alignment vertical="center"/>
    </xf>
    <xf numFmtId="0" fontId="49" fillId="6" borderId="70" xfId="0" applyFont="1" applyFill="1" applyBorder="1" applyProtection="1">
      <alignment vertical="center"/>
    </xf>
    <xf numFmtId="0" fontId="49" fillId="6" borderId="34" xfId="0" applyFont="1" applyFill="1" applyBorder="1" applyProtection="1">
      <alignment vertical="center"/>
    </xf>
    <xf numFmtId="0" fontId="49" fillId="6" borderId="21"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2" fillId="0" borderId="0" xfId="0" applyFont="1" applyFill="1" applyProtection="1">
      <alignment vertical="center"/>
    </xf>
    <xf numFmtId="0" fontId="51" fillId="6" borderId="16" xfId="0" applyFont="1" applyFill="1" applyBorder="1" applyAlignment="1" applyProtection="1">
      <alignment horizontal="left" vertical="center"/>
    </xf>
    <xf numFmtId="0" fontId="49" fillId="6" borderId="19" xfId="0" applyFont="1" applyFill="1" applyBorder="1" applyProtection="1">
      <alignment vertical="center"/>
    </xf>
    <xf numFmtId="0" fontId="51" fillId="5" borderId="62" xfId="0" applyFont="1" applyFill="1" applyBorder="1" applyAlignment="1" applyProtection="1">
      <alignment horizontal="right" vertical="center"/>
      <protection locked="0"/>
    </xf>
    <xf numFmtId="0" fontId="52" fillId="6" borderId="5" xfId="0" applyFont="1" applyFill="1" applyBorder="1" applyProtection="1">
      <alignment vertical="center"/>
    </xf>
    <xf numFmtId="0" fontId="51"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2" fillId="6" borderId="30" xfId="0" applyFont="1" applyFill="1" applyBorder="1" applyProtection="1">
      <alignment vertical="center"/>
    </xf>
    <xf numFmtId="0" fontId="52" fillId="6" borderId="10" xfId="0" applyFont="1" applyFill="1" applyBorder="1" applyAlignment="1" applyProtection="1">
      <alignment horizontal="center" vertical="center"/>
    </xf>
    <xf numFmtId="0" fontId="51" fillId="6" borderId="69" xfId="0" applyFont="1" applyFill="1" applyBorder="1" applyAlignment="1" applyProtection="1">
      <alignment horizontal="left" vertical="center"/>
    </xf>
    <xf numFmtId="0" fontId="49" fillId="6" borderId="7" xfId="0" applyFont="1" applyFill="1" applyBorder="1" applyAlignment="1" applyProtection="1">
      <alignment horizontal="right" vertical="center"/>
    </xf>
    <xf numFmtId="0" fontId="52" fillId="6" borderId="3" xfId="0" applyFont="1" applyFill="1" applyBorder="1" applyProtection="1">
      <alignment vertical="center"/>
    </xf>
    <xf numFmtId="0" fontId="51" fillId="6" borderId="38" xfId="0" applyFont="1" applyFill="1" applyBorder="1" applyAlignment="1" applyProtection="1">
      <alignment horizontal="left" vertical="center"/>
    </xf>
    <xf numFmtId="0" fontId="49" fillId="6" borderId="66" xfId="0" applyFont="1" applyFill="1" applyBorder="1" applyAlignment="1" applyProtection="1">
      <alignment horizontal="right" vertical="center"/>
    </xf>
    <xf numFmtId="0" fontId="52" fillId="6" borderId="66" xfId="0" applyFont="1" applyFill="1" applyBorder="1" applyProtection="1">
      <alignment vertical="center"/>
    </xf>
    <xf numFmtId="0" fontId="49" fillId="6" borderId="30" xfId="0" applyFont="1" applyFill="1" applyBorder="1" applyAlignment="1" applyProtection="1">
      <alignment horizontal="left" vertical="center"/>
    </xf>
    <xf numFmtId="0" fontId="49" fillId="5" borderId="63" xfId="0" applyFont="1" applyFill="1" applyBorder="1" applyProtection="1">
      <alignment vertical="center"/>
      <protection locked="0"/>
    </xf>
    <xf numFmtId="0" fontId="49" fillId="6" borderId="65" xfId="0" applyFont="1" applyFill="1" applyBorder="1" applyProtection="1">
      <alignment vertical="center"/>
    </xf>
    <xf numFmtId="0" fontId="49" fillId="6" borderId="0" xfId="0" applyFont="1" applyFill="1" applyBorder="1" applyAlignment="1" applyProtection="1">
      <alignment horizontal="left" vertical="center"/>
      <protection locked="0"/>
    </xf>
    <xf numFmtId="0" fontId="49" fillId="6" borderId="66" xfId="0" applyFont="1" applyFill="1" applyBorder="1" applyAlignment="1" applyProtection="1">
      <alignment horizontal="left" vertical="center"/>
    </xf>
    <xf numFmtId="0" fontId="49"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2" fillId="6" borderId="18" xfId="0" applyFont="1" applyFill="1" applyBorder="1" applyProtection="1">
      <alignment vertical="center"/>
    </xf>
    <xf numFmtId="0" fontId="52"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2" fillId="6" borderId="0" xfId="0" applyNumberFormat="1" applyFont="1" applyFill="1" applyAlignment="1" applyProtection="1">
      <alignment horizontal="center" vertical="center"/>
      <protection locked="0"/>
    </xf>
    <xf numFmtId="0" fontId="53" fillId="0" borderId="24" xfId="0" applyFont="1" applyFill="1" applyBorder="1" applyAlignment="1" applyProtection="1">
      <alignment vertical="center" wrapText="1"/>
      <protection locked="0"/>
    </xf>
    <xf numFmtId="0" fontId="52" fillId="5" borderId="3" xfId="0" applyFont="1" applyFill="1" applyBorder="1" applyAlignment="1" applyProtection="1">
      <alignment horizontal="center" vertical="center"/>
      <protection locked="0"/>
    </xf>
    <xf numFmtId="10" fontId="52"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2" fillId="6" borderId="24" xfId="0" applyFont="1" applyFill="1" applyBorder="1" applyProtection="1">
      <alignment vertical="center"/>
    </xf>
    <xf numFmtId="0" fontId="53"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2" fillId="2" borderId="3" xfId="0"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2"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7" fillId="6" borderId="18" xfId="0" applyNumberFormat="1" applyFont="1" applyFill="1" applyBorder="1" applyAlignment="1" applyProtection="1">
      <alignment horizontal="left" vertical="center" wrapText="1"/>
    </xf>
    <xf numFmtId="0" fontId="59" fillId="6" borderId="0" xfId="0" applyFont="1" applyFill="1" applyBorder="1" applyAlignment="1" applyProtection="1">
      <alignment horizontal="left" vertical="center" wrapText="1"/>
    </xf>
    <xf numFmtId="177" fontId="59" fillId="6" borderId="0" xfId="0" applyNumberFormat="1" applyFont="1" applyFill="1" applyBorder="1" applyAlignment="1" applyProtection="1">
      <alignment horizontal="center" vertical="center" wrapText="1"/>
    </xf>
    <xf numFmtId="10" fontId="58" fillId="6" borderId="0" xfId="0" applyNumberFormat="1" applyFont="1" applyFill="1" applyBorder="1" applyAlignment="1" applyProtection="1">
      <alignment horizontal="center" vertical="center" wrapText="1"/>
    </xf>
    <xf numFmtId="0" fontId="52"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2"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9"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2"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7" fillId="6" borderId="23" xfId="0" applyNumberFormat="1" applyFont="1" applyFill="1" applyBorder="1" applyAlignment="1" applyProtection="1">
      <alignment vertical="center" wrapText="1"/>
    </xf>
    <xf numFmtId="49" fontId="57" fillId="6" borderId="25" xfId="0" applyNumberFormat="1" applyFont="1" applyFill="1" applyBorder="1" applyAlignment="1" applyProtection="1">
      <alignment vertical="center" wrapText="1"/>
    </xf>
    <xf numFmtId="10" fontId="52" fillId="2" borderId="48" xfId="0" applyNumberFormat="1" applyFont="1" applyFill="1" applyBorder="1" applyAlignment="1" applyProtection="1">
      <alignment horizontal="left" vertical="center" wrapText="1"/>
      <protection locked="0"/>
    </xf>
    <xf numFmtId="10" fontId="52"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9"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2" fillId="0" borderId="36" xfId="0" applyFont="1" applyBorder="1" applyAlignment="1" applyProtection="1">
      <alignment horizontal="left" vertical="center" wrapText="1"/>
    </xf>
    <xf numFmtId="0" fontId="61" fillId="5" borderId="36" xfId="0" applyFont="1" applyFill="1" applyBorder="1" applyAlignment="1" applyProtection="1">
      <alignment horizontal="left" vertical="center" wrapText="1"/>
      <protection locked="0"/>
    </xf>
    <xf numFmtId="0" fontId="52" fillId="7" borderId="36" xfId="0" applyFont="1" applyFill="1" applyBorder="1" applyAlignment="1" applyProtection="1">
      <alignment horizontal="center" vertical="center" wrapText="1"/>
    </xf>
    <xf numFmtId="0" fontId="52" fillId="7" borderId="36" xfId="0" applyFont="1" applyFill="1" applyBorder="1" applyAlignment="1" applyProtection="1">
      <alignment horizontal="center" vertical="center"/>
    </xf>
    <xf numFmtId="0" fontId="52" fillId="7" borderId="22" xfId="0" applyFont="1" applyFill="1" applyBorder="1" applyProtection="1">
      <alignment vertical="center"/>
    </xf>
    <xf numFmtId="0" fontId="52" fillId="7" borderId="58"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center" vertical="center" wrapText="1"/>
      <protection locked="0"/>
    </xf>
    <xf numFmtId="0" fontId="52" fillId="7" borderId="0" xfId="0" applyFont="1" applyFill="1" applyBorder="1" applyAlignment="1" applyProtection="1">
      <alignment horizontal="center" vertical="center"/>
      <protection locked="0"/>
    </xf>
    <xf numFmtId="0" fontId="52" fillId="7" borderId="35" xfId="0" applyFont="1" applyFill="1" applyBorder="1" applyProtection="1">
      <alignment vertical="center"/>
      <protection locked="0"/>
    </xf>
    <xf numFmtId="0" fontId="52" fillId="7" borderId="4"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center" vertical="center" wrapText="1"/>
      <protection locked="0"/>
    </xf>
    <xf numFmtId="0" fontId="52" fillId="7" borderId="60" xfId="0" applyFont="1" applyFill="1" applyBorder="1" applyAlignment="1" applyProtection="1">
      <alignment horizontal="center" vertical="center"/>
      <protection locked="0"/>
    </xf>
    <xf numFmtId="0" fontId="52" fillId="7" borderId="7" xfId="0" applyFont="1" applyFill="1" applyBorder="1" applyProtection="1">
      <alignment vertical="center"/>
      <protection locked="0"/>
    </xf>
    <xf numFmtId="0" fontId="57" fillId="7" borderId="60" xfId="0" applyFont="1" applyFill="1" applyBorder="1" applyAlignment="1" applyProtection="1">
      <alignment horizontal="left" vertical="center"/>
      <protection locked="0"/>
    </xf>
    <xf numFmtId="0" fontId="52" fillId="7" borderId="60" xfId="0" applyFont="1" applyFill="1" applyBorder="1" applyProtection="1">
      <alignment vertical="center"/>
      <protection locked="0"/>
    </xf>
    <xf numFmtId="0" fontId="52" fillId="7" borderId="60" xfId="0" applyFont="1" applyFill="1" applyBorder="1" applyAlignment="1" applyProtection="1">
      <alignment horizontal="right" vertical="center"/>
      <protection locked="0"/>
    </xf>
    <xf numFmtId="0" fontId="57" fillId="7" borderId="0" xfId="0" applyFont="1" applyFill="1" applyAlignment="1" applyProtection="1">
      <alignment horizontal="left" vertical="center"/>
      <protection locked="0"/>
    </xf>
    <xf numFmtId="2" fontId="52" fillId="7" borderId="0" xfId="0" applyNumberFormat="1" applyFont="1" applyFill="1" applyAlignment="1" applyProtection="1">
      <alignment vertical="center" wrapText="1"/>
      <protection locked="0"/>
    </xf>
    <xf numFmtId="0" fontId="57" fillId="7" borderId="0" xfId="0" applyFont="1" applyFill="1" applyAlignment="1" applyProtection="1">
      <alignment vertical="center" wrapText="1"/>
      <protection locked="0"/>
    </xf>
    <xf numFmtId="0" fontId="59" fillId="5" borderId="5" xfId="1" applyFont="1" applyFill="1" applyBorder="1" applyAlignment="1" applyProtection="1">
      <alignment vertical="center"/>
      <protection locked="0"/>
    </xf>
    <xf numFmtId="0" fontId="62" fillId="6" borderId="3" xfId="1" applyFont="1" applyFill="1" applyBorder="1" applyAlignment="1" applyProtection="1">
      <alignment vertical="center"/>
    </xf>
    <xf numFmtId="0" fontId="62" fillId="5" borderId="1" xfId="1" applyFont="1" applyFill="1" applyBorder="1" applyAlignment="1" applyProtection="1">
      <alignment vertical="center"/>
      <protection locked="0"/>
    </xf>
    <xf numFmtId="0" fontId="59"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2" fillId="5" borderId="1" xfId="0" applyNumberFormat="1" applyFont="1" applyFill="1" applyBorder="1" applyAlignment="1" applyProtection="1">
      <alignment horizontal="center" vertical="center" wrapText="1"/>
      <protection locked="0"/>
    </xf>
    <xf numFmtId="49" fontId="52"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7" fillId="6" borderId="54" xfId="0" applyFont="1" applyFill="1" applyBorder="1" applyAlignment="1" applyProtection="1">
      <alignment vertical="center"/>
    </xf>
    <xf numFmtId="0" fontId="52" fillId="6" borderId="5" xfId="0" applyFont="1" applyFill="1" applyBorder="1" applyAlignment="1" applyProtection="1"/>
    <xf numFmtId="0" fontId="51" fillId="6" borderId="1" xfId="1" applyFont="1" applyFill="1" applyBorder="1" applyAlignment="1" applyProtection="1">
      <alignment vertical="center" wrapText="1"/>
    </xf>
    <xf numFmtId="49" fontId="52"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2"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2"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7" fillId="6" borderId="85" xfId="0" applyFont="1" applyFill="1" applyBorder="1" applyAlignment="1" applyProtection="1">
      <alignment horizontal="right" vertical="center"/>
    </xf>
    <xf numFmtId="0" fontId="67" fillId="5" borderId="119" xfId="0" applyFont="1" applyFill="1" applyBorder="1" applyAlignment="1" applyProtection="1">
      <alignment vertical="center"/>
      <protection locked="0"/>
    </xf>
    <xf numFmtId="0" fontId="67" fillId="5" borderId="78" xfId="0" applyFont="1" applyFill="1" applyBorder="1" applyAlignment="1" applyProtection="1">
      <alignment horizontal="center" vertical="center"/>
      <protection locked="0"/>
    </xf>
    <xf numFmtId="0" fontId="67" fillId="6" borderId="89" xfId="0" applyFont="1" applyFill="1" applyBorder="1" applyAlignment="1" applyProtection="1">
      <alignment horizontal="center" vertical="center"/>
    </xf>
    <xf numFmtId="0" fontId="59" fillId="5" borderId="4" xfId="1" applyFont="1" applyFill="1" applyBorder="1" applyAlignment="1" applyProtection="1">
      <alignment vertical="center"/>
      <protection locked="0"/>
    </xf>
    <xf numFmtId="0" fontId="62" fillId="6" borderId="7" xfId="1" applyFont="1" applyFill="1" applyBorder="1" applyAlignment="1" applyProtection="1">
      <alignment vertical="center"/>
      <protection locked="0"/>
    </xf>
    <xf numFmtId="0" fontId="62" fillId="5" borderId="2" xfId="1" applyFont="1" applyFill="1" applyBorder="1" applyAlignment="1" applyProtection="1">
      <alignment vertical="center"/>
      <protection locked="0"/>
    </xf>
    <xf numFmtId="189"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9" fillId="6" borderId="21" xfId="0" applyNumberFormat="1" applyFont="1" applyFill="1" applyBorder="1" applyAlignment="1" applyProtection="1">
      <alignment horizontal="center" vertical="center" wrapText="1"/>
    </xf>
    <xf numFmtId="189" fontId="49" fillId="6" borderId="48" xfId="0" applyNumberFormat="1" applyFont="1" applyFill="1" applyBorder="1" applyAlignment="1" applyProtection="1">
      <alignment horizontal="center" vertical="center" wrapText="1"/>
    </xf>
    <xf numFmtId="0" fontId="49" fillId="6" borderId="48" xfId="0" applyNumberFormat="1" applyFont="1" applyFill="1" applyBorder="1" applyAlignment="1" applyProtection="1">
      <alignment horizontal="center" vertical="center" wrapText="1"/>
    </xf>
    <xf numFmtId="49" fontId="49" fillId="2" borderId="70" xfId="0" applyNumberFormat="1" applyFont="1" applyFill="1" applyBorder="1" applyAlignment="1" applyProtection="1">
      <alignment horizontal="center" vertical="center" wrapText="1"/>
      <protection locked="0"/>
    </xf>
    <xf numFmtId="0" fontId="49" fillId="0" borderId="46" xfId="0" applyFont="1" applyFill="1" applyBorder="1" applyAlignment="1" applyProtection="1">
      <alignment horizontal="center" vertical="center" wrapText="1"/>
      <protection locked="0"/>
    </xf>
    <xf numFmtId="0" fontId="63" fillId="6" borderId="48" xfId="0" applyNumberFormat="1" applyFont="1" applyFill="1" applyBorder="1" applyAlignment="1" applyProtection="1">
      <alignment horizontal="center" vertical="center" wrapText="1"/>
    </xf>
    <xf numFmtId="0" fontId="49" fillId="0" borderId="33"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2" borderId="41"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63" fillId="6" borderId="50" xfId="0" applyNumberFormat="1" applyFont="1" applyFill="1" applyBorder="1" applyAlignment="1" applyProtection="1">
      <alignment horizontal="center" vertical="center" wrapText="1"/>
    </xf>
    <xf numFmtId="0" fontId="56" fillId="6" borderId="11" xfId="0" applyNumberFormat="1" applyFont="1" applyFill="1" applyBorder="1" applyAlignment="1" applyProtection="1">
      <alignment horizontal="center" vertical="center" wrapText="1"/>
    </xf>
    <xf numFmtId="0" fontId="56" fillId="2" borderId="14" xfId="0" applyNumberFormat="1" applyFont="1" applyFill="1" applyBorder="1" applyAlignment="1" applyProtection="1">
      <alignment horizontal="center" vertical="center" wrapText="1"/>
      <protection locked="0"/>
    </xf>
    <xf numFmtId="49" fontId="56" fillId="2" borderId="14" xfId="0" applyNumberFormat="1" applyFont="1" applyFill="1" applyBorder="1" applyAlignment="1" applyProtection="1">
      <alignment horizontal="center" vertical="center" wrapText="1"/>
      <protection locked="0"/>
    </xf>
    <xf numFmtId="49" fontId="56" fillId="2" borderId="35" xfId="0" applyNumberFormat="1" applyFont="1" applyFill="1" applyBorder="1" applyAlignment="1" applyProtection="1">
      <alignment horizontal="center" vertical="center" wrapText="1"/>
      <protection locked="0"/>
    </xf>
    <xf numFmtId="0" fontId="56" fillId="2" borderId="7" xfId="0" applyNumberFormat="1" applyFont="1" applyFill="1" applyBorder="1" applyAlignment="1" applyProtection="1">
      <alignment horizontal="center" vertical="center" wrapText="1"/>
      <protection locked="0"/>
    </xf>
    <xf numFmtId="0" fontId="63" fillId="6" borderId="80" xfId="0" applyNumberFormat="1" applyFont="1" applyFill="1" applyBorder="1" applyAlignment="1" applyProtection="1">
      <alignment horizontal="center" vertical="center" wrapText="1"/>
    </xf>
    <xf numFmtId="49" fontId="56" fillId="2" borderId="23" xfId="0" applyNumberFormat="1" applyFont="1" applyFill="1" applyBorder="1" applyAlignment="1" applyProtection="1">
      <alignment horizontal="center" vertical="center" wrapText="1"/>
      <protection locked="0"/>
    </xf>
    <xf numFmtId="49" fontId="56" fillId="2" borderId="3" xfId="0" applyNumberFormat="1" applyFont="1" applyFill="1" applyBorder="1" applyAlignment="1" applyProtection="1">
      <alignment horizontal="center" vertical="center" wrapText="1"/>
      <protection locked="0"/>
    </xf>
    <xf numFmtId="0" fontId="56" fillId="0" borderId="54" xfId="0" applyNumberFormat="1" applyFont="1" applyFill="1" applyBorder="1" applyAlignment="1" applyProtection="1">
      <alignment horizontal="center" vertical="center" wrapText="1"/>
      <protection locked="0"/>
    </xf>
    <xf numFmtId="0" fontId="56" fillId="0" borderId="52" xfId="0" applyNumberFormat="1" applyFont="1" applyFill="1" applyBorder="1" applyAlignment="1" applyProtection="1">
      <alignment horizontal="center" vertical="center" wrapText="1"/>
      <protection locked="0"/>
    </xf>
    <xf numFmtId="0" fontId="56" fillId="2" borderId="6" xfId="0" applyFont="1" applyFill="1" applyBorder="1" applyAlignment="1" applyProtection="1">
      <alignment horizontal="center" vertical="center" wrapText="1"/>
      <protection locked="0"/>
    </xf>
    <xf numFmtId="0" fontId="56" fillId="2" borderId="30" xfId="0"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wrapText="1"/>
      <protection locked="0"/>
    </xf>
    <xf numFmtId="0" fontId="56" fillId="2" borderId="3" xfId="0" applyFont="1" applyFill="1" applyBorder="1" applyAlignment="1" applyProtection="1">
      <alignment horizontal="center" vertical="center" wrapText="1"/>
      <protection locked="0"/>
    </xf>
    <xf numFmtId="189" fontId="56" fillId="6" borderId="48" xfId="0" applyNumberFormat="1" applyFont="1" applyFill="1" applyBorder="1" applyAlignment="1" applyProtection="1">
      <alignment horizontal="center" vertical="center"/>
    </xf>
    <xf numFmtId="189" fontId="56" fillId="6" borderId="48" xfId="0" applyNumberFormat="1" applyFont="1" applyFill="1" applyBorder="1" applyAlignment="1" applyProtection="1">
      <alignment horizontal="center" vertical="center" wrapText="1"/>
    </xf>
    <xf numFmtId="189" fontId="56" fillId="6" borderId="49" xfId="0" applyNumberFormat="1" applyFont="1" applyFill="1" applyBorder="1" applyAlignment="1" applyProtection="1">
      <alignment horizontal="center" vertical="center" wrapText="1"/>
    </xf>
    <xf numFmtId="0" fontId="56" fillId="0" borderId="18" xfId="0" applyFont="1" applyFill="1" applyBorder="1" applyAlignment="1" applyProtection="1">
      <alignment horizontal="center" vertical="center"/>
      <protection locked="0"/>
    </xf>
    <xf numFmtId="0" fontId="73" fillId="0" borderId="18" xfId="0" applyFont="1" applyFill="1" applyBorder="1" applyAlignment="1" applyProtection="1">
      <alignment horizontal="center" vertical="center"/>
      <protection locked="0"/>
    </xf>
    <xf numFmtId="0" fontId="56" fillId="0" borderId="18" xfId="0" applyFont="1" applyBorder="1" applyAlignment="1" applyProtection="1">
      <protection locked="0"/>
    </xf>
    <xf numFmtId="0" fontId="51" fillId="6" borderId="0" xfId="0" applyNumberFormat="1" applyFont="1" applyFill="1" applyBorder="1" applyAlignment="1" applyProtection="1">
      <alignment vertical="center" wrapText="1"/>
    </xf>
    <xf numFmtId="9" fontId="49"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9"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vertical="center" wrapText="1"/>
      <protection locked="0"/>
    </xf>
    <xf numFmtId="0" fontId="49" fillId="0" borderId="18" xfId="0" applyFont="1" applyFill="1" applyBorder="1" applyAlignment="1" applyProtection="1">
      <alignment vertical="center" wrapText="1"/>
      <protection locked="0"/>
    </xf>
    <xf numFmtId="0" fontId="49" fillId="0" borderId="83" xfId="0" applyNumberFormat="1" applyFont="1" applyFill="1" applyBorder="1" applyAlignment="1" applyProtection="1">
      <alignment horizontal="center" vertical="center"/>
      <protection locked="0"/>
    </xf>
    <xf numFmtId="0" fontId="55"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3" fillId="6" borderId="19" xfId="0" applyFont="1" applyFill="1" applyBorder="1" applyAlignment="1" applyProtection="1">
      <alignment horizontal="center" vertical="center"/>
    </xf>
    <xf numFmtId="0" fontId="56" fillId="6" borderId="19" xfId="0" applyFont="1" applyFill="1" applyBorder="1" applyAlignment="1" applyProtection="1">
      <alignment horizontal="center" vertical="center"/>
    </xf>
    <xf numFmtId="0" fontId="56"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3" fillId="6" borderId="31" xfId="0" applyFont="1" applyFill="1" applyBorder="1" applyAlignment="1" applyProtection="1">
      <alignment horizontal="center" vertical="center"/>
    </xf>
    <xf numFmtId="0" fontId="63"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3"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3" fillId="6" borderId="95" xfId="0" applyFont="1" applyFill="1" applyBorder="1" applyAlignment="1" applyProtection="1">
      <alignment horizontal="left" vertical="center"/>
    </xf>
    <xf numFmtId="0" fontId="56" fillId="6" borderId="47" xfId="0" applyFont="1" applyFill="1" applyBorder="1" applyAlignment="1" applyProtection="1">
      <alignment horizontal="center" vertical="center"/>
    </xf>
    <xf numFmtId="0" fontId="56"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7" fillId="5" borderId="119" xfId="0" applyFont="1" applyFill="1" applyBorder="1" applyAlignment="1" applyProtection="1">
      <alignment vertical="center"/>
    </xf>
    <xf numFmtId="0" fontId="67" fillId="6" borderId="89"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8" fillId="6" borderId="87" xfId="0" applyFont="1" applyFill="1" applyBorder="1" applyAlignment="1" applyProtection="1">
      <alignment horizontal="center" vertical="center"/>
      <protection locked="0"/>
    </xf>
    <xf numFmtId="0" fontId="67" fillId="6" borderId="18" xfId="0" applyFont="1" applyFill="1" applyBorder="1" applyAlignment="1" applyProtection="1">
      <alignment horizontal="center" vertical="center"/>
      <protection locked="0"/>
    </xf>
    <xf numFmtId="0" fontId="68" fillId="6" borderId="0" xfId="0" applyFont="1" applyFill="1" applyBorder="1" applyAlignment="1" applyProtection="1">
      <alignment horizontal="center" vertical="center"/>
      <protection locked="0"/>
    </xf>
    <xf numFmtId="0" fontId="68" fillId="6" borderId="0" xfId="0" applyFont="1" applyFill="1" applyAlignment="1" applyProtection="1">
      <alignment horizontal="center" vertical="center"/>
      <protection locked="0"/>
    </xf>
    <xf numFmtId="49" fontId="56" fillId="6" borderId="11" xfId="0" applyNumberFormat="1" applyFont="1" applyFill="1" applyBorder="1" applyAlignment="1" applyProtection="1">
      <alignment horizontal="center" vertical="center" wrapText="1"/>
    </xf>
    <xf numFmtId="0" fontId="49" fillId="2" borderId="41" xfId="0" applyNumberFormat="1" applyFont="1" applyFill="1" applyBorder="1" applyAlignment="1" applyProtection="1">
      <alignment horizontal="center" vertical="center" wrapText="1"/>
      <protection locked="0"/>
    </xf>
    <xf numFmtId="0" fontId="73" fillId="6" borderId="18" xfId="0" applyFont="1" applyFill="1" applyBorder="1" applyAlignment="1" applyProtection="1">
      <alignment horizontal="center" vertical="center"/>
    </xf>
    <xf numFmtId="0" fontId="56" fillId="6" borderId="18" xfId="0" applyFont="1" applyFill="1" applyBorder="1" applyAlignment="1" applyProtection="1"/>
    <xf numFmtId="9" fontId="49" fillId="6" borderId="0" xfId="0" applyNumberFormat="1" applyFont="1" applyFill="1" applyBorder="1" applyAlignment="1" applyProtection="1">
      <alignment horizontal="center" vertical="center" wrapText="1"/>
    </xf>
    <xf numFmtId="0" fontId="67" fillId="6" borderId="88" xfId="0" applyFont="1" applyFill="1" applyBorder="1" applyAlignment="1" applyProtection="1">
      <alignment horizontal="right" vertical="center"/>
    </xf>
    <xf numFmtId="0" fontId="56" fillId="6" borderId="17" xfId="0" applyFont="1" applyFill="1" applyBorder="1" applyAlignment="1" applyProtection="1">
      <alignment horizontal="center" vertical="center"/>
    </xf>
    <xf numFmtId="0" fontId="49" fillId="6" borderId="24" xfId="0" applyNumberFormat="1" applyFont="1" applyFill="1" applyBorder="1" applyAlignment="1" applyProtection="1">
      <alignment horizontal="center" vertical="center"/>
    </xf>
    <xf numFmtId="0" fontId="49" fillId="0" borderId="7" xfId="0" applyNumberFormat="1" applyFont="1" applyFill="1" applyBorder="1" applyAlignment="1" applyProtection="1">
      <alignment horizontal="center" vertical="center" wrapText="1"/>
      <protection locked="0"/>
    </xf>
    <xf numFmtId="49" fontId="56" fillId="6" borderId="39"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xf>
    <xf numFmtId="0" fontId="56" fillId="6" borderId="22" xfId="0" applyNumberFormat="1" applyFont="1" applyFill="1" applyBorder="1" applyAlignment="1" applyProtection="1">
      <alignment horizontal="center" vertical="center" wrapText="1"/>
    </xf>
    <xf numFmtId="0" fontId="56" fillId="2" borderId="35" xfId="0" applyNumberFormat="1" applyFont="1" applyFill="1" applyBorder="1" applyAlignment="1" applyProtection="1">
      <alignment horizontal="center" vertical="center" wrapText="1"/>
      <protection locked="0"/>
    </xf>
    <xf numFmtId="0" fontId="49" fillId="2" borderId="7" xfId="0" applyNumberFormat="1" applyFont="1" applyFill="1" applyBorder="1" applyAlignment="1" applyProtection="1">
      <alignment horizontal="center" vertical="center" wrapText="1"/>
      <protection locked="0"/>
    </xf>
    <xf numFmtId="0" fontId="49" fillId="0" borderId="24" xfId="0" applyFont="1" applyFill="1" applyBorder="1" applyAlignment="1" applyProtection="1">
      <alignment horizontal="center" vertical="center" wrapText="1"/>
      <protection locked="0"/>
    </xf>
    <xf numFmtId="0" fontId="56" fillId="2" borderId="6" xfId="0" applyNumberFormat="1" applyFont="1" applyFill="1" applyBorder="1" applyAlignment="1" applyProtection="1">
      <alignment horizontal="center" vertical="center" wrapText="1"/>
      <protection locked="0"/>
    </xf>
    <xf numFmtId="0" fontId="73" fillId="0" borderId="58" xfId="0" applyFont="1" applyFill="1" applyBorder="1" applyAlignment="1" applyProtection="1">
      <alignment horizontal="center" vertical="center"/>
      <protection locked="0"/>
    </xf>
    <xf numFmtId="0" fontId="56" fillId="0" borderId="58" xfId="0" applyFont="1" applyBorder="1" applyAlignment="1" applyProtection="1">
      <protection locked="0"/>
    </xf>
    <xf numFmtId="9" fontId="49"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9"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protection locked="0"/>
    </xf>
    <xf numFmtId="0" fontId="54" fillId="0" borderId="58" xfId="0" applyFont="1" applyFill="1" applyBorder="1" applyAlignment="1" applyProtection="1">
      <alignment vertical="center" wrapText="1"/>
      <protection locked="0"/>
    </xf>
    <xf numFmtId="0" fontId="49" fillId="0" borderId="58" xfId="0" applyFont="1" applyFill="1" applyBorder="1" applyAlignment="1" applyProtection="1">
      <alignment vertical="center" wrapText="1"/>
      <protection locked="0"/>
    </xf>
    <xf numFmtId="0" fontId="56" fillId="0" borderId="44" xfId="0" applyNumberFormat="1" applyFont="1" applyFill="1" applyBorder="1" applyAlignment="1" applyProtection="1">
      <alignment horizontal="left" vertical="center" wrapText="1"/>
      <protection locked="0"/>
    </xf>
    <xf numFmtId="0" fontId="56" fillId="0" borderId="45" xfId="0" applyNumberFormat="1" applyFont="1" applyFill="1" applyBorder="1" applyAlignment="1" applyProtection="1">
      <alignment horizontal="center" vertical="center" wrapText="1"/>
      <protection locked="0"/>
    </xf>
    <xf numFmtId="0" fontId="56" fillId="0" borderId="58" xfId="0" applyFont="1" applyFill="1" applyBorder="1" applyAlignment="1" applyProtection="1">
      <alignment horizontal="center" vertical="center" wrapText="1"/>
      <protection locked="0"/>
    </xf>
    <xf numFmtId="0" fontId="49" fillId="0" borderId="54" xfId="0" applyNumberFormat="1" applyFont="1" applyFill="1" applyBorder="1" applyAlignment="1" applyProtection="1">
      <alignment horizontal="center" vertical="center" wrapText="1"/>
      <protection locked="0"/>
    </xf>
    <xf numFmtId="0" fontId="56" fillId="6" borderId="40" xfId="0" applyNumberFormat="1" applyFont="1" applyFill="1" applyBorder="1" applyAlignment="1" applyProtection="1">
      <alignment horizontal="center" vertical="center" wrapText="1"/>
    </xf>
    <xf numFmtId="0" fontId="56" fillId="6" borderId="41" xfId="0" applyNumberFormat="1" applyFont="1" applyFill="1" applyBorder="1" applyAlignment="1" applyProtection="1">
      <alignment horizontal="center" vertical="center" wrapText="1"/>
    </xf>
    <xf numFmtId="49" fontId="55" fillId="5" borderId="20" xfId="0" applyNumberFormat="1" applyFont="1" applyFill="1" applyBorder="1" applyAlignment="1" applyProtection="1">
      <alignment vertical="center"/>
      <protection locked="0"/>
    </xf>
    <xf numFmtId="184" fontId="49" fillId="0" borderId="26"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0" fontId="56" fillId="0" borderId="55" xfId="0" applyNumberFormat="1" applyFont="1" applyFill="1" applyBorder="1" applyAlignment="1" applyProtection="1">
      <alignment horizontal="center" vertical="center" wrapText="1"/>
      <protection locked="0"/>
    </xf>
    <xf numFmtId="0" fontId="49" fillId="2" borderId="51" xfId="0" applyNumberFormat="1" applyFont="1" applyFill="1" applyBorder="1" applyAlignment="1" applyProtection="1">
      <alignment horizontal="center" vertical="center" wrapText="1"/>
      <protection locked="0"/>
    </xf>
    <xf numFmtId="0" fontId="49" fillId="2" borderId="69" xfId="0" applyNumberFormat="1" applyFont="1" applyFill="1" applyBorder="1" applyAlignment="1" applyProtection="1">
      <alignment horizontal="center" vertical="center" wrapText="1"/>
      <protection locked="0"/>
    </xf>
    <xf numFmtId="0" fontId="49" fillId="2" borderId="60" xfId="0" applyNumberFormat="1" applyFont="1" applyFill="1" applyBorder="1" applyAlignment="1" applyProtection="1">
      <alignment horizontal="center" vertical="center" wrapText="1"/>
      <protection locked="0"/>
    </xf>
    <xf numFmtId="9" fontId="49" fillId="2" borderId="37"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49" fontId="55" fillId="2" borderId="10" xfId="0" applyNumberFormat="1" applyFont="1" applyFill="1" applyBorder="1" applyAlignment="1" applyProtection="1">
      <alignment vertical="center"/>
      <protection locked="0"/>
    </xf>
    <xf numFmtId="0" fontId="56" fillId="5" borderId="9" xfId="0" applyFont="1" applyFill="1" applyBorder="1" applyAlignment="1" applyProtection="1">
      <alignment horizontal="center" vertical="center"/>
      <protection locked="0"/>
    </xf>
    <xf numFmtId="0" fontId="56"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1" fillId="6" borderId="16" xfId="0" applyNumberFormat="1" applyFont="1" applyFill="1" applyBorder="1" applyAlignment="1" applyProtection="1">
      <alignment vertical="center"/>
    </xf>
    <xf numFmtId="0" fontId="51" fillId="5" borderId="23"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horizontal="center" vertical="center" wrapText="1"/>
    </xf>
    <xf numFmtId="0" fontId="56"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58"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8" fillId="0" borderId="0" xfId="0" applyFont="1" applyAlignment="1" applyProtection="1">
      <alignment vertical="center" wrapText="1"/>
      <protection locked="0"/>
    </xf>
    <xf numFmtId="0" fontId="58" fillId="0" borderId="0" xfId="0" applyFont="1" applyAlignment="1" applyProtection="1">
      <alignment vertical="center" wrapText="1"/>
    </xf>
    <xf numFmtId="0" fontId="62" fillId="6" borderId="5" xfId="1" applyFont="1" applyFill="1" applyBorder="1" applyAlignment="1" applyProtection="1">
      <alignment vertical="center"/>
    </xf>
    <xf numFmtId="0" fontId="58" fillId="6" borderId="1" xfId="0" applyNumberFormat="1" applyFont="1" applyFill="1" applyBorder="1" applyAlignment="1" applyProtection="1">
      <alignment horizontal="left" vertical="center" wrapText="1"/>
    </xf>
    <xf numFmtId="0" fontId="58" fillId="5"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center" vertical="center" wrapText="1"/>
    </xf>
    <xf numFmtId="0" fontId="58"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8" fillId="5" borderId="1" xfId="0" applyNumberFormat="1" applyFont="1" applyFill="1" applyBorder="1" applyAlignment="1" applyProtection="1">
      <alignment vertical="center" wrapText="1"/>
      <protection locked="0"/>
    </xf>
    <xf numFmtId="0" fontId="58" fillId="5" borderId="1" xfId="0" applyFont="1" applyFill="1" applyBorder="1" applyAlignment="1" applyProtection="1">
      <alignment horizontal="left" vertical="center"/>
      <protection locked="0"/>
    </xf>
    <xf numFmtId="49" fontId="55" fillId="6" borderId="13" xfId="0" applyNumberFormat="1"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0" fontId="55" fillId="6" borderId="36" xfId="0" applyFont="1" applyFill="1" applyBorder="1" applyAlignment="1" applyProtection="1">
      <alignment vertical="center" wrapText="1"/>
    </xf>
    <xf numFmtId="0" fontId="56" fillId="6" borderId="36" xfId="0" applyFont="1" applyFill="1" applyBorder="1" applyAlignment="1" applyProtection="1">
      <alignment vertical="center" wrapText="1"/>
    </xf>
    <xf numFmtId="0" fontId="56" fillId="6" borderId="22" xfId="0" applyFont="1" applyFill="1" applyBorder="1" applyAlignment="1" applyProtection="1">
      <alignment vertical="center" wrapText="1"/>
    </xf>
    <xf numFmtId="0" fontId="56" fillId="7" borderId="0" xfId="0" applyFont="1" applyFill="1" applyAlignment="1" applyProtection="1">
      <alignment vertical="center"/>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56" fillId="0" borderId="0" xfId="0" applyFont="1" applyAlignment="1" applyProtection="1">
      <alignment vertical="center" wrapText="1"/>
    </xf>
    <xf numFmtId="49" fontId="59" fillId="6" borderId="26" xfId="0" applyNumberFormat="1" applyFont="1" applyFill="1" applyBorder="1" applyAlignment="1" applyProtection="1">
      <alignment horizontal="center" vertical="center" wrapText="1"/>
    </xf>
    <xf numFmtId="0" fontId="59"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9"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wrapText="1"/>
    </xf>
    <xf numFmtId="0" fontId="58" fillId="6" borderId="65" xfId="0" applyFont="1" applyFill="1" applyBorder="1" applyAlignment="1" applyProtection="1">
      <alignment vertical="center" wrapText="1"/>
    </xf>
    <xf numFmtId="0" fontId="59" fillId="6" borderId="9"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8" fillId="6" borderId="19" xfId="0" applyFont="1" applyFill="1" applyBorder="1" applyAlignment="1" applyProtection="1">
      <alignment horizontal="center" vertical="center" wrapText="1"/>
    </xf>
    <xf numFmtId="0" fontId="58" fillId="6" borderId="19" xfId="0" applyFont="1" applyFill="1" applyBorder="1" applyAlignment="1" applyProtection="1">
      <alignment vertical="center" wrapText="1"/>
    </xf>
    <xf numFmtId="0" fontId="58" fillId="6" borderId="31" xfId="0" applyFont="1" applyFill="1" applyBorder="1" applyAlignment="1" applyProtection="1">
      <alignment vertical="center" wrapText="1"/>
    </xf>
    <xf numFmtId="0" fontId="58" fillId="5" borderId="1" xfId="0" applyFont="1" applyFill="1" applyBorder="1" applyAlignment="1" applyProtection="1">
      <alignment horizontal="center" vertical="center" wrapText="1"/>
      <protection locked="0"/>
    </xf>
    <xf numFmtId="0" fontId="58" fillId="6" borderId="5" xfId="0" applyFont="1" applyFill="1" applyBorder="1" applyAlignment="1" applyProtection="1">
      <alignment vertical="center"/>
    </xf>
    <xf numFmtId="0" fontId="58" fillId="6" borderId="54" xfId="0" applyFont="1" applyFill="1" applyBorder="1" applyAlignment="1" applyProtection="1">
      <alignment vertical="center" wrapText="1"/>
    </xf>
    <xf numFmtId="0" fontId="58" fillId="6" borderId="48" xfId="0" applyFont="1" applyFill="1" applyBorder="1" applyAlignment="1" applyProtection="1">
      <alignment vertical="center" wrapText="1"/>
    </xf>
    <xf numFmtId="0" fontId="58" fillId="6" borderId="13" xfId="0" applyFont="1" applyFill="1" applyBorder="1" applyAlignment="1" applyProtection="1">
      <alignment horizontal="left" vertical="center" wrapText="1"/>
    </xf>
    <xf numFmtId="0" fontId="58" fillId="6" borderId="46" xfId="0" applyFont="1" applyFill="1" applyBorder="1" applyAlignment="1" applyProtection="1">
      <alignment vertical="center"/>
    </xf>
    <xf numFmtId="0" fontId="58" fillId="6" borderId="36" xfId="0" applyFont="1" applyFill="1" applyBorder="1" applyAlignment="1" applyProtection="1">
      <alignment vertical="center" wrapText="1"/>
    </xf>
    <xf numFmtId="0" fontId="58" fillId="6" borderId="59" xfId="0" applyFont="1" applyFill="1" applyBorder="1" applyAlignment="1" applyProtection="1">
      <alignment vertical="center" wrapText="1"/>
    </xf>
    <xf numFmtId="0" fontId="59" fillId="6" borderId="17" xfId="0" applyFont="1" applyFill="1" applyBorder="1" applyAlignment="1" applyProtection="1">
      <alignment horizontal="left" vertical="center" wrapText="1"/>
    </xf>
    <xf numFmtId="0" fontId="58" fillId="6" borderId="28" xfId="0" applyFont="1" applyFill="1" applyBorder="1" applyAlignment="1" applyProtection="1">
      <alignment vertical="center"/>
    </xf>
    <xf numFmtId="0" fontId="58" fillId="6" borderId="20" xfId="0" applyFont="1" applyFill="1" applyBorder="1" applyAlignment="1" applyProtection="1">
      <alignment horizontal="center" vertical="center" wrapText="1"/>
    </xf>
    <xf numFmtId="0" fontId="58" fillId="6" borderId="20" xfId="0" applyFont="1" applyFill="1" applyBorder="1" applyAlignment="1" applyProtection="1">
      <alignment vertical="center" wrapText="1"/>
    </xf>
    <xf numFmtId="0" fontId="58"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8" fillId="0" borderId="1"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3" fillId="6" borderId="4" xfId="0" applyFont="1" applyFill="1" applyBorder="1" applyAlignment="1" applyProtection="1">
      <alignment vertical="center"/>
    </xf>
    <xf numFmtId="0" fontId="58"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8" fillId="6" borderId="41" xfId="0" applyFont="1" applyFill="1" applyBorder="1" applyAlignment="1" applyProtection="1">
      <alignment horizontal="center" vertical="center" wrapText="1"/>
    </xf>
    <xf numFmtId="0" fontId="58" fillId="6" borderId="8" xfId="0" applyFont="1" applyFill="1" applyBorder="1" applyAlignment="1" applyProtection="1">
      <alignment horizontal="center" vertical="center" wrapText="1"/>
    </xf>
    <xf numFmtId="0" fontId="58" fillId="5" borderId="9" xfId="0" applyFont="1" applyFill="1" applyBorder="1" applyAlignment="1" applyProtection="1">
      <alignment horizontal="center" vertical="center" wrapText="1"/>
      <protection locked="0"/>
    </xf>
    <xf numFmtId="0" fontId="58" fillId="5" borderId="10" xfId="0" applyFont="1" applyFill="1" applyBorder="1" applyAlignment="1" applyProtection="1">
      <alignment horizontal="center" vertical="center" wrapText="1"/>
      <protection locked="0"/>
    </xf>
    <xf numFmtId="0" fontId="58" fillId="6" borderId="23" xfId="0" applyFont="1" applyFill="1" applyBorder="1" applyAlignment="1" applyProtection="1">
      <alignment horizontal="center" vertical="center" wrapText="1"/>
    </xf>
    <xf numFmtId="9" fontId="58" fillId="6" borderId="25"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xf>
    <xf numFmtId="49" fontId="55" fillId="6" borderId="26" xfId="0" applyNumberFormat="1" applyFont="1" applyFill="1" applyBorder="1" applyAlignment="1" applyProtection="1">
      <alignment horizontal="left" vertical="center" wrapText="1"/>
    </xf>
    <xf numFmtId="0" fontId="55" fillId="6" borderId="84" xfId="0" applyFont="1" applyFill="1" applyBorder="1" applyAlignment="1" applyProtection="1">
      <alignment horizontal="left" vertical="center" wrapText="1"/>
    </xf>
    <xf numFmtId="0" fontId="58" fillId="6" borderId="64" xfId="0" applyFont="1" applyFill="1" applyBorder="1" applyAlignment="1" applyProtection="1">
      <alignment vertical="center"/>
    </xf>
    <xf numFmtId="0" fontId="56" fillId="6" borderId="65" xfId="0" applyFont="1" applyFill="1" applyBorder="1" applyAlignment="1" applyProtection="1">
      <alignment vertical="center" wrapText="1"/>
    </xf>
    <xf numFmtId="0" fontId="58" fillId="0" borderId="0" xfId="0" applyFont="1" applyAlignment="1" applyProtection="1">
      <alignment horizontal="center" vertical="center" wrapText="1"/>
    </xf>
    <xf numFmtId="0" fontId="56" fillId="6" borderId="84" xfId="0" applyFont="1" applyFill="1" applyBorder="1" applyAlignment="1" applyProtection="1">
      <alignment horizontal="center" vertical="center" wrapText="1"/>
    </xf>
    <xf numFmtId="0" fontId="56" fillId="5" borderId="84" xfId="8" applyFont="1" applyFill="1" applyBorder="1" applyAlignment="1" applyProtection="1">
      <alignment horizontal="center" vertical="center" wrapText="1"/>
      <protection locked="0"/>
    </xf>
    <xf numFmtId="0" fontId="56" fillId="6" borderId="6" xfId="0" applyFont="1" applyFill="1" applyBorder="1" applyAlignment="1" applyProtection="1">
      <alignment vertical="center" wrapText="1"/>
    </xf>
    <xf numFmtId="0" fontId="58" fillId="6" borderId="64" xfId="0" applyFont="1" applyFill="1" applyBorder="1" applyAlignment="1" applyProtection="1">
      <alignment horizontal="center" vertical="center" wrapText="1"/>
    </xf>
    <xf numFmtId="10" fontId="58" fillId="7" borderId="0" xfId="0" applyNumberFormat="1" applyFont="1" applyFill="1" applyAlignment="1" applyProtection="1">
      <alignment horizontal="center" vertical="center" wrapText="1"/>
    </xf>
    <xf numFmtId="10" fontId="58" fillId="0" borderId="0" xfId="0" applyNumberFormat="1" applyFont="1" applyAlignment="1" applyProtection="1">
      <alignment horizontal="center" vertical="center" wrapText="1"/>
    </xf>
    <xf numFmtId="0" fontId="56" fillId="0" borderId="0" xfId="0" applyFont="1" applyAlignment="1" applyProtection="1">
      <alignment horizontal="center" vertical="center" wrapText="1"/>
    </xf>
    <xf numFmtId="49" fontId="55" fillId="6" borderId="40" xfId="0" applyNumberFormat="1" applyFont="1" applyFill="1" applyBorder="1" applyAlignment="1" applyProtection="1">
      <alignment horizontal="left" vertical="center" wrapText="1"/>
    </xf>
    <xf numFmtId="0" fontId="55" fillId="6" borderId="17" xfId="0" applyFont="1" applyFill="1" applyBorder="1" applyAlignment="1" applyProtection="1">
      <alignment horizontal="left" vertical="center" wrapText="1"/>
    </xf>
    <xf numFmtId="0" fontId="58" fillId="6" borderId="17"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0" fontId="56" fillId="6" borderId="19" xfId="8" applyFont="1" applyFill="1" applyBorder="1" applyAlignment="1" applyProtection="1">
      <alignment horizontal="center" vertical="center" wrapText="1"/>
      <protection locked="0"/>
    </xf>
    <xf numFmtId="0" fontId="56" fillId="6" borderId="9" xfId="8" applyFont="1" applyFill="1" applyBorder="1" applyAlignment="1" applyProtection="1">
      <alignment vertical="center" wrapText="1"/>
      <protection locked="0"/>
    </xf>
    <xf numFmtId="0" fontId="56" fillId="6" borderId="31" xfId="8" applyFont="1" applyFill="1" applyBorder="1" applyAlignment="1" applyProtection="1">
      <alignment vertical="center"/>
      <protection locked="0"/>
    </xf>
    <xf numFmtId="49" fontId="55" fillId="6" borderId="6" xfId="0" applyNumberFormat="1" applyFont="1" applyFill="1" applyBorder="1" applyAlignment="1" applyProtection="1">
      <alignment horizontal="left" vertical="center" wrapText="1"/>
    </xf>
    <xf numFmtId="0" fontId="55" fillId="5"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vertical="center" wrapText="1"/>
    </xf>
    <xf numFmtId="0" fontId="56" fillId="6" borderId="10" xfId="0" applyFont="1" applyFill="1" applyBorder="1" applyAlignment="1" applyProtection="1">
      <alignment vertical="center" wrapText="1"/>
    </xf>
    <xf numFmtId="0" fontId="56" fillId="6" borderId="23" xfId="8" applyFont="1" applyFill="1" applyBorder="1" applyAlignment="1" applyProtection="1">
      <alignment horizontal="center" vertical="center" wrapText="1"/>
    </xf>
    <xf numFmtId="0" fontId="56" fillId="6" borderId="1"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187" fontId="58" fillId="6" borderId="15" xfId="0" applyNumberFormat="1" applyFont="1" applyFill="1" applyBorder="1" applyAlignment="1" applyProtection="1">
      <alignment horizontal="center" vertical="center" wrapText="1"/>
    </xf>
    <xf numFmtId="187" fontId="58" fillId="6" borderId="58" xfId="0" applyNumberFormat="1" applyFont="1" applyFill="1" applyBorder="1" applyAlignment="1" applyProtection="1">
      <alignment horizontal="center" vertical="center" wrapText="1"/>
    </xf>
    <xf numFmtId="0" fontId="58" fillId="6" borderId="22" xfId="0" applyFont="1" applyFill="1" applyBorder="1" applyAlignment="1" applyProtection="1">
      <alignment vertical="center" wrapText="1"/>
    </xf>
    <xf numFmtId="0" fontId="56" fillId="6" borderId="13" xfId="0" applyFont="1" applyFill="1" applyBorder="1" applyAlignment="1" applyProtection="1">
      <alignment vertical="center" wrapText="1"/>
    </xf>
    <xf numFmtId="0" fontId="56" fillId="6" borderId="61" xfId="0" applyFont="1" applyFill="1" applyBorder="1" applyAlignment="1" applyProtection="1">
      <alignment vertical="center" wrapText="1"/>
    </xf>
    <xf numFmtId="0" fontId="56" fillId="6" borderId="84" xfId="0" applyFont="1" applyFill="1" applyBorder="1" applyAlignment="1" applyProtection="1">
      <alignment vertical="center" wrapText="1"/>
    </xf>
    <xf numFmtId="0" fontId="56" fillId="6" borderId="67" xfId="0" applyFont="1" applyFill="1" applyBorder="1" applyAlignment="1" applyProtection="1">
      <alignment vertical="center" wrapText="1"/>
    </xf>
    <xf numFmtId="0" fontId="56" fillId="6" borderId="25" xfId="8" applyFont="1" applyFill="1" applyBorder="1" applyAlignment="1" applyProtection="1">
      <alignment horizontal="center" vertical="center" wrapText="1"/>
    </xf>
    <xf numFmtId="0" fontId="55" fillId="6" borderId="28" xfId="0" applyFont="1" applyFill="1" applyBorder="1" applyAlignment="1" applyProtection="1">
      <alignment horizontal="left" vertical="center" wrapText="1"/>
    </xf>
    <xf numFmtId="0" fontId="59" fillId="6" borderId="19" xfId="0" applyFont="1" applyFill="1" applyBorder="1" applyAlignment="1" applyProtection="1">
      <alignment vertical="center" wrapText="1"/>
    </xf>
    <xf numFmtId="0" fontId="56" fillId="6" borderId="26" xfId="8" applyFont="1" applyFill="1" applyBorder="1" applyAlignment="1" applyProtection="1">
      <alignment horizontal="center" vertical="center" wrapText="1"/>
      <protection locked="0"/>
    </xf>
    <xf numFmtId="49" fontId="55" fillId="6" borderId="14" xfId="0" applyNumberFormat="1" applyFont="1" applyFill="1" applyBorder="1" applyAlignment="1" applyProtection="1">
      <alignment horizontal="center" vertical="center" wrapText="1"/>
    </xf>
    <xf numFmtId="0" fontId="58" fillId="6" borderId="58" xfId="0" applyFont="1" applyFill="1" applyBorder="1" applyAlignment="1" applyProtection="1">
      <alignment vertical="center" wrapText="1"/>
    </xf>
    <xf numFmtId="0" fontId="59" fillId="6" borderId="0" xfId="0" applyFont="1" applyFill="1" applyBorder="1" applyAlignment="1" applyProtection="1">
      <alignment vertical="center" wrapText="1"/>
    </xf>
    <xf numFmtId="0" fontId="58" fillId="6" borderId="56" xfId="0" applyFont="1" applyFill="1" applyBorder="1" applyAlignment="1" applyProtection="1">
      <alignment vertical="center" wrapText="1"/>
    </xf>
    <xf numFmtId="0" fontId="56" fillId="6" borderId="0" xfId="0" applyFont="1" applyFill="1" applyBorder="1" applyAlignment="1" applyProtection="1">
      <alignment horizontal="left" vertical="center" wrapText="1"/>
    </xf>
    <xf numFmtId="0" fontId="58" fillId="6" borderId="75"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9" fillId="6" borderId="47" xfId="0" applyFont="1" applyFill="1" applyBorder="1" applyAlignment="1" applyProtection="1">
      <alignment vertical="center" wrapText="1"/>
    </xf>
    <xf numFmtId="0" fontId="58" fillId="6" borderId="43" xfId="0" applyFont="1" applyFill="1" applyBorder="1" applyAlignment="1" applyProtection="1">
      <alignment vertical="center" wrapText="1"/>
    </xf>
    <xf numFmtId="49" fontId="55" fillId="6" borderId="40" xfId="0" applyNumberFormat="1" applyFont="1" applyFill="1" applyBorder="1" applyAlignment="1" applyProtection="1">
      <alignment horizontal="center" vertical="center" wrapText="1"/>
    </xf>
    <xf numFmtId="0" fontId="59" fillId="6" borderId="30" xfId="0" applyFont="1" applyFill="1" applyBorder="1" applyAlignment="1" applyProtection="1">
      <alignment vertical="center" wrapText="1"/>
    </xf>
    <xf numFmtId="0" fontId="55" fillId="6" borderId="9"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9" fillId="6" borderId="28" xfId="0" applyFont="1" applyFill="1" applyBorder="1" applyAlignment="1" applyProtection="1">
      <alignment vertical="center" wrapText="1"/>
    </xf>
    <xf numFmtId="0" fontId="58" fillId="6" borderId="14" xfId="0" applyFont="1" applyFill="1" applyBorder="1" applyAlignment="1" applyProtection="1">
      <alignment horizontal="center" vertical="center" wrapText="1"/>
    </xf>
    <xf numFmtId="0" fontId="58" fillId="6" borderId="3" xfId="0" applyFont="1" applyFill="1" applyBorder="1" applyAlignment="1" applyProtection="1">
      <alignment horizontal="left" vertical="center" wrapText="1"/>
    </xf>
    <xf numFmtId="0" fontId="58"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9" fillId="6" borderId="12" xfId="0" applyFont="1" applyFill="1" applyBorder="1" applyAlignment="1" applyProtection="1">
      <alignment vertical="center" wrapText="1"/>
    </xf>
    <xf numFmtId="0" fontId="58" fillId="6" borderId="66" xfId="0" applyFont="1" applyFill="1" applyBorder="1" applyAlignment="1" applyProtection="1">
      <alignment horizontal="left" vertical="center" wrapText="1"/>
    </xf>
    <xf numFmtId="0" fontId="58" fillId="0" borderId="32" xfId="0" applyFont="1" applyBorder="1" applyAlignment="1" applyProtection="1">
      <alignment vertical="center" wrapText="1"/>
      <protection locked="0"/>
    </xf>
    <xf numFmtId="0" fontId="58" fillId="6" borderId="32" xfId="0" applyFont="1" applyFill="1" applyBorder="1" applyAlignment="1" applyProtection="1">
      <alignment vertical="center"/>
    </xf>
    <xf numFmtId="0" fontId="58" fillId="6" borderId="52" xfId="0" applyFont="1" applyFill="1" applyBorder="1" applyAlignment="1" applyProtection="1">
      <alignment vertical="center" wrapText="1"/>
    </xf>
    <xf numFmtId="0" fontId="58" fillId="6" borderId="68" xfId="0" applyFont="1" applyFill="1" applyBorder="1" applyAlignment="1" applyProtection="1">
      <alignment vertical="center" wrapText="1"/>
    </xf>
    <xf numFmtId="0" fontId="59" fillId="6" borderId="40" xfId="0" applyFont="1" applyFill="1" applyBorder="1" applyAlignment="1" applyProtection="1">
      <alignment vertical="center" wrapText="1"/>
    </xf>
    <xf numFmtId="0" fontId="59" fillId="6" borderId="39" xfId="0" applyFont="1" applyFill="1" applyBorder="1" applyAlignment="1" applyProtection="1">
      <alignment horizontal="left" vertical="center" wrapText="1"/>
    </xf>
    <xf numFmtId="0" fontId="58" fillId="6" borderId="20" xfId="0" applyFont="1" applyFill="1" applyBorder="1" applyAlignment="1" applyProtection="1">
      <alignment vertical="center"/>
    </xf>
    <xf numFmtId="0" fontId="58" fillId="6" borderId="30" xfId="0" applyFont="1" applyFill="1" applyBorder="1" applyAlignment="1" applyProtection="1">
      <alignment vertical="center"/>
    </xf>
    <xf numFmtId="0" fontId="59" fillId="6" borderId="7" xfId="0" applyFont="1" applyFill="1" applyBorder="1" applyAlignment="1" applyProtection="1">
      <alignment vertical="center" wrapText="1"/>
    </xf>
    <xf numFmtId="0" fontId="55"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8" fillId="6" borderId="56" xfId="0" applyFont="1" applyFill="1" applyBorder="1" applyAlignment="1" applyProtection="1">
      <alignment horizontal="center" vertical="center" wrapText="1"/>
    </xf>
    <xf numFmtId="0" fontId="59" fillId="6" borderId="14" xfId="0" applyFont="1" applyFill="1" applyBorder="1" applyAlignment="1" applyProtection="1">
      <alignment vertical="center" wrapText="1"/>
    </xf>
    <xf numFmtId="0" fontId="58" fillId="6" borderId="16" xfId="0" applyFont="1" applyFill="1" applyBorder="1" applyAlignment="1" applyProtection="1">
      <alignment vertical="center"/>
      <protection locked="0"/>
    </xf>
    <xf numFmtId="0" fontId="58" fillId="6" borderId="31" xfId="0" applyFont="1" applyFill="1" applyBorder="1" applyAlignment="1" applyProtection="1">
      <alignment vertical="center" wrapText="1"/>
      <protection locked="0"/>
    </xf>
    <xf numFmtId="9" fontId="58"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8" fillId="6" borderId="43" xfId="0" applyFont="1" applyFill="1" applyBorder="1" applyAlignment="1" applyProtection="1">
      <alignment horizontal="center" vertical="center" wrapText="1"/>
    </xf>
    <xf numFmtId="0" fontId="58" fillId="6" borderId="25" xfId="0" applyFont="1" applyFill="1" applyBorder="1" applyAlignment="1" applyProtection="1">
      <alignment vertical="center" wrapText="1"/>
    </xf>
    <xf numFmtId="9" fontId="58" fillId="6" borderId="49" xfId="0" applyNumberFormat="1" applyFont="1" applyFill="1" applyBorder="1" applyAlignment="1" applyProtection="1">
      <alignment horizontal="center" vertical="center" wrapText="1"/>
    </xf>
    <xf numFmtId="0" fontId="58"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8"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8" fillId="6" borderId="9"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wrapText="1"/>
    </xf>
    <xf numFmtId="0" fontId="58" fillId="6" borderId="17" xfId="3" applyNumberFormat="1" applyFont="1" applyFill="1" applyBorder="1" applyAlignment="1" applyProtection="1">
      <alignment horizontal="center" vertical="center"/>
    </xf>
    <xf numFmtId="0" fontId="58"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7" fillId="6" borderId="96" xfId="0" applyNumberFormat="1" applyFont="1" applyFill="1" applyBorder="1" applyAlignment="1" applyProtection="1">
      <alignment horizontal="center" vertical="center" wrapText="1"/>
    </xf>
    <xf numFmtId="0" fontId="52" fillId="10" borderId="16" xfId="0" applyNumberFormat="1" applyFont="1" applyFill="1" applyBorder="1" applyAlignment="1" applyProtection="1">
      <alignment horizontal="center" vertical="center" wrapText="1"/>
    </xf>
    <xf numFmtId="0" fontId="57" fillId="6" borderId="16" xfId="0" applyFont="1" applyFill="1" applyBorder="1" applyAlignment="1" applyProtection="1">
      <alignment horizontal="left" vertical="center"/>
      <protection locked="0"/>
    </xf>
    <xf numFmtId="0" fontId="59" fillId="5" borderId="38" xfId="1" applyFont="1" applyFill="1" applyBorder="1" applyAlignment="1" applyProtection="1">
      <alignment vertical="center"/>
      <protection locked="0"/>
    </xf>
    <xf numFmtId="0" fontId="62"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4"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1"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9" fillId="6" borderId="9" xfId="0" applyFont="1" applyFill="1" applyBorder="1" applyAlignment="1" applyProtection="1">
      <alignment horizontal="center" vertical="center" wrapText="1"/>
    </xf>
    <xf numFmtId="0" fontId="58" fillId="6" borderId="33" xfId="0" applyFont="1" applyFill="1" applyBorder="1" applyAlignment="1" applyProtection="1">
      <alignment horizontal="center" vertical="center" wrapText="1"/>
    </xf>
    <xf numFmtId="0" fontId="58" fillId="5" borderId="32" xfId="0" applyFont="1" applyFill="1" applyBorder="1" applyAlignment="1" applyProtection="1">
      <alignment horizontal="right" vertical="center" wrapText="1"/>
      <protection locked="0"/>
    </xf>
    <xf numFmtId="0" fontId="58" fillId="6" borderId="66" xfId="0" applyFont="1" applyFill="1" applyBorder="1" applyAlignment="1" applyProtection="1">
      <alignment horizontal="center" vertical="center" wrapText="1"/>
    </xf>
    <xf numFmtId="0" fontId="58" fillId="5" borderId="28" xfId="0" applyFont="1" applyFill="1" applyBorder="1" applyAlignment="1" applyProtection="1">
      <alignment horizontal="center" vertical="center" wrapText="1"/>
      <protection locked="0"/>
    </xf>
    <xf numFmtId="49" fontId="55" fillId="6" borderId="12" xfId="0" applyNumberFormat="1" applyFont="1" applyFill="1" applyBorder="1" applyAlignment="1" applyProtection="1">
      <alignment horizontal="left" vertical="center" wrapText="1"/>
    </xf>
    <xf numFmtId="0" fontId="55" fillId="6" borderId="74" xfId="0" applyFont="1" applyFill="1" applyBorder="1" applyAlignment="1" applyProtection="1">
      <alignment horizontal="left" vertical="center" wrapText="1"/>
    </xf>
    <xf numFmtId="0" fontId="55" fillId="6" borderId="75" xfId="0" applyFont="1" applyFill="1" applyBorder="1" applyAlignment="1" applyProtection="1">
      <alignment horizontal="center" vertical="center" wrapText="1"/>
    </xf>
    <xf numFmtId="0" fontId="58" fillId="6" borderId="75" xfId="0" applyFont="1" applyFill="1" applyBorder="1" applyAlignment="1" applyProtection="1">
      <alignment vertical="center"/>
    </xf>
    <xf numFmtId="0" fontId="55" fillId="6" borderId="47" xfId="0" applyFont="1" applyFill="1" applyBorder="1" applyAlignment="1" applyProtection="1">
      <alignment horizontal="center" vertical="center" wrapText="1"/>
    </xf>
    <xf numFmtId="0" fontId="56" fillId="6" borderId="43" xfId="0" applyFont="1" applyFill="1" applyBorder="1" applyAlignment="1" applyProtection="1">
      <alignment vertical="center" wrapText="1"/>
    </xf>
    <xf numFmtId="0" fontId="58" fillId="6" borderId="32" xfId="0" applyFont="1" applyFill="1" applyBorder="1" applyAlignment="1" applyProtection="1">
      <alignment horizontal="left" vertical="center"/>
    </xf>
    <xf numFmtId="0" fontId="58" fillId="6" borderId="74" xfId="0" applyFont="1" applyFill="1" applyBorder="1" applyAlignment="1" applyProtection="1">
      <alignment horizontal="center" vertical="center" wrapText="1"/>
    </xf>
    <xf numFmtId="0" fontId="58" fillId="6" borderId="75" xfId="0" applyFont="1" applyFill="1" applyBorder="1" applyAlignment="1" applyProtection="1">
      <alignment horizontal="center" vertical="center" wrapText="1"/>
    </xf>
    <xf numFmtId="0" fontId="58"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58" fillId="6" borderId="84" xfId="0" applyFont="1" applyFill="1" applyBorder="1" applyAlignment="1" applyProtection="1">
      <alignment horizontal="center" vertical="center"/>
    </xf>
    <xf numFmtId="0" fontId="153" fillId="17" borderId="124" xfId="16" applyFont="1" applyFill="1" applyBorder="1" applyAlignment="1" applyProtection="1">
      <alignment horizontal="center" vertical="center" wrapText="1"/>
    </xf>
    <xf numFmtId="0" fontId="153" fillId="17" borderId="125" xfId="16" applyFont="1" applyFill="1" applyBorder="1" applyAlignment="1" applyProtection="1">
      <alignment horizontal="center" vertical="center" wrapText="1"/>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91" fillId="7" borderId="54" xfId="0" applyFont="1" applyFill="1" applyBorder="1" applyAlignment="1" applyProtection="1">
      <alignment vertical="center" wrapText="1"/>
      <protection locked="0"/>
    </xf>
    <xf numFmtId="0" fontId="82" fillId="0" borderId="1" xfId="0" applyFont="1" applyBorder="1" applyAlignment="1" applyProtection="1">
      <alignment horizontal="center" vertical="center" wrapText="1"/>
      <protection locked="0"/>
    </xf>
    <xf numFmtId="177" fontId="82" fillId="0" borderId="1" xfId="1" applyNumberFormat="1" applyFont="1" applyFill="1" applyBorder="1" applyAlignment="1" applyProtection="1">
      <alignment vertical="center"/>
      <protection locked="0" hidden="1"/>
    </xf>
    <xf numFmtId="0" fontId="255" fillId="0" borderId="1" xfId="17" applyFont="1" applyBorder="1" applyAlignment="1">
      <alignment horizontal="center" vertical="center"/>
    </xf>
    <xf numFmtId="0" fontId="255" fillId="0" borderId="0" xfId="17" applyFont="1" applyAlignment="1">
      <alignment horizontal="center" vertical="center"/>
    </xf>
    <xf numFmtId="0" fontId="256" fillId="18" borderId="1" xfId="17" applyFont="1" applyFill="1" applyBorder="1" applyAlignment="1">
      <alignment horizontal="center" vertical="center"/>
    </xf>
    <xf numFmtId="14" fontId="255" fillId="18" borderId="1" xfId="17" applyNumberFormat="1" applyFont="1" applyFill="1" applyBorder="1" applyAlignment="1">
      <alignment horizontal="center" vertical="center"/>
    </xf>
    <xf numFmtId="14" fontId="255" fillId="0" borderId="1" xfId="17" applyNumberFormat="1" applyFont="1" applyBorder="1" applyAlignment="1">
      <alignment horizontal="center" vertical="center"/>
    </xf>
    <xf numFmtId="0" fontId="259" fillId="0" borderId="0" xfId="18" applyFont="1" applyFill="1" applyProtection="1">
      <alignment vertical="center"/>
      <protection locked="0"/>
    </xf>
    <xf numFmtId="43" fontId="259" fillId="0" borderId="0" xfId="18" applyNumberFormat="1" applyFont="1" applyFill="1" applyProtection="1">
      <alignment vertical="center"/>
      <protection locked="0"/>
    </xf>
    <xf numFmtId="0" fontId="260" fillId="0" borderId="0" xfId="18" applyFont="1" applyFill="1" applyBorder="1" applyProtection="1">
      <alignment vertical="center"/>
      <protection locked="0"/>
    </xf>
    <xf numFmtId="0" fontId="260" fillId="0" borderId="0" xfId="18" applyFont="1" applyFill="1" applyBorder="1" applyAlignment="1" applyProtection="1">
      <alignment horizontal="center" vertical="center"/>
      <protection locked="0"/>
    </xf>
    <xf numFmtId="190" fontId="260" fillId="0" borderId="87" xfId="18" applyNumberFormat="1" applyFont="1" applyFill="1" applyBorder="1" applyAlignment="1" applyProtection="1">
      <alignment horizontal="right" vertical="center"/>
      <protection locked="0"/>
    </xf>
    <xf numFmtId="190" fontId="260" fillId="0" borderId="87" xfId="18" applyNumberFormat="1" applyFont="1" applyFill="1" applyBorder="1" applyAlignment="1" applyProtection="1">
      <alignment horizontal="center" vertical="center"/>
      <protection locked="0"/>
    </xf>
    <xf numFmtId="190" fontId="260" fillId="0" borderId="87" xfId="18" applyNumberFormat="1" applyFont="1" applyFill="1" applyBorder="1" applyAlignment="1" applyProtection="1">
      <alignment vertical="center"/>
      <protection locked="0"/>
    </xf>
    <xf numFmtId="0" fontId="260" fillId="0" borderId="0" xfId="18" applyFont="1" applyFill="1" applyBorder="1" applyAlignment="1" applyProtection="1">
      <alignment vertical="center" wrapText="1"/>
      <protection locked="0"/>
    </xf>
    <xf numFmtId="0" fontId="260" fillId="0" borderId="0" xfId="18" applyFont="1" applyFill="1" applyProtection="1">
      <alignment vertical="center"/>
      <protection locked="0"/>
    </xf>
    <xf numFmtId="43" fontId="260" fillId="0" borderId="0" xfId="18" applyNumberFormat="1" applyFont="1" applyFill="1" applyProtection="1">
      <alignment vertical="center"/>
      <protection locked="0"/>
    </xf>
    <xf numFmtId="43" fontId="261" fillId="19" borderId="1" xfId="18" applyNumberFormat="1" applyFont="1" applyFill="1" applyBorder="1" applyAlignment="1" applyProtection="1">
      <alignment horizontal="center" vertical="center"/>
      <protection locked="0"/>
    </xf>
    <xf numFmtId="0" fontId="260" fillId="0" borderId="160" xfId="18" applyFont="1" applyFill="1" applyBorder="1" applyAlignment="1" applyProtection="1">
      <alignment horizontal="center" vertical="center"/>
    </xf>
    <xf numFmtId="43" fontId="260" fillId="0" borderId="13" xfId="18" applyNumberFormat="1" applyFont="1" applyFill="1" applyBorder="1" applyAlignment="1" applyProtection="1">
      <alignment horizontal="center" vertical="center"/>
    </xf>
    <xf numFmtId="197" fontId="260" fillId="0" borderId="1" xfId="18" applyNumberFormat="1" applyFont="1" applyFill="1" applyBorder="1" applyAlignment="1">
      <alignment vertical="center"/>
    </xf>
    <xf numFmtId="181" fontId="260" fillId="0" borderId="13" xfId="18" applyNumberFormat="1" applyFont="1" applyFill="1" applyBorder="1" applyAlignment="1" applyProtection="1">
      <alignment horizontal="center" vertical="center"/>
    </xf>
    <xf numFmtId="0" fontId="260" fillId="0" borderId="1" xfId="18" applyFont="1" applyFill="1" applyBorder="1" applyAlignment="1" applyProtection="1">
      <alignment vertical="center" wrapText="1"/>
      <protection locked="0"/>
    </xf>
    <xf numFmtId="0" fontId="260" fillId="0" borderId="1" xfId="18" applyFont="1" applyFill="1" applyBorder="1" applyAlignment="1" applyProtection="1">
      <alignment horizontal="center" vertical="center"/>
      <protection locked="0"/>
    </xf>
    <xf numFmtId="0" fontId="260" fillId="0" borderId="159" xfId="18" applyFont="1" applyFill="1" applyBorder="1" applyAlignment="1" applyProtection="1">
      <alignment horizontal="center" vertical="center"/>
      <protection locked="0"/>
    </xf>
    <xf numFmtId="43" fontId="262" fillId="0" borderId="1" xfId="18" applyNumberFormat="1" applyFont="1" applyFill="1" applyBorder="1" applyProtection="1">
      <alignment vertical="center"/>
      <protection locked="0"/>
    </xf>
    <xf numFmtId="0" fontId="260" fillId="0" borderId="158" xfId="18" applyFont="1" applyFill="1" applyBorder="1" applyAlignment="1" applyProtection="1">
      <alignment horizontal="center" vertical="center"/>
    </xf>
    <xf numFmtId="43" fontId="260" fillId="0" borderId="1" xfId="18" applyNumberFormat="1" applyFont="1" applyFill="1" applyBorder="1" applyAlignment="1" applyProtection="1">
      <alignment vertical="center"/>
    </xf>
    <xf numFmtId="43" fontId="260" fillId="0" borderId="1" xfId="18" applyNumberFormat="1" applyFont="1" applyFill="1" applyBorder="1" applyAlignment="1" applyProtection="1">
      <alignment horizontal="center" vertical="center"/>
    </xf>
    <xf numFmtId="181" fontId="260" fillId="0" borderId="1" xfId="18" applyNumberFormat="1" applyFont="1" applyFill="1" applyBorder="1" applyAlignment="1" applyProtection="1">
      <alignment horizontal="center" vertical="center"/>
    </xf>
    <xf numFmtId="0" fontId="260" fillId="0" borderId="159" xfId="18" applyFont="1" applyFill="1" applyBorder="1" applyAlignment="1" applyProtection="1">
      <alignment vertical="center"/>
      <protection locked="0"/>
    </xf>
    <xf numFmtId="0" fontId="262" fillId="0" borderId="160" xfId="18" applyFont="1" applyFill="1" applyBorder="1" applyAlignment="1" applyProtection="1">
      <alignment horizontal="center" vertical="center"/>
    </xf>
    <xf numFmtId="43" fontId="262" fillId="0" borderId="13" xfId="18" applyNumberFormat="1" applyFont="1" applyFill="1" applyBorder="1" applyAlignment="1" applyProtection="1">
      <alignment horizontal="center" vertical="center"/>
    </xf>
    <xf numFmtId="181" fontId="262" fillId="0" borderId="13" xfId="18" applyNumberFormat="1" applyFont="1" applyFill="1" applyBorder="1" applyAlignment="1" applyProtection="1">
      <alignment horizontal="center" vertical="center"/>
    </xf>
    <xf numFmtId="0" fontId="262" fillId="0" borderId="1" xfId="18" applyFont="1" applyFill="1" applyBorder="1" applyAlignment="1" applyProtection="1">
      <alignment vertical="center" wrapText="1"/>
      <protection locked="0"/>
    </xf>
    <xf numFmtId="0" fontId="262" fillId="0" borderId="1" xfId="18" applyFont="1" applyFill="1" applyBorder="1" applyAlignment="1" applyProtection="1">
      <alignment horizontal="center" vertical="center"/>
      <protection locked="0"/>
    </xf>
    <xf numFmtId="0" fontId="262" fillId="0" borderId="159" xfId="18" applyFont="1" applyFill="1" applyBorder="1" applyAlignment="1" applyProtection="1">
      <alignment vertical="center"/>
      <protection locked="0"/>
    </xf>
    <xf numFmtId="0" fontId="262" fillId="0" borderId="0" xfId="18" applyFont="1" applyFill="1" applyProtection="1">
      <alignment vertical="center"/>
      <protection locked="0"/>
    </xf>
    <xf numFmtId="43" fontId="262" fillId="0" borderId="0" xfId="18" applyNumberFormat="1" applyFont="1" applyFill="1" applyProtection="1">
      <alignment vertical="center"/>
      <protection locked="0"/>
    </xf>
    <xf numFmtId="0" fontId="262" fillId="0" borderId="13" xfId="18" applyFont="1" applyFill="1" applyBorder="1" applyAlignment="1" applyProtection="1">
      <alignment horizontal="center" vertical="center"/>
    </xf>
    <xf numFmtId="0" fontId="262" fillId="0" borderId="158" xfId="18" applyFont="1" applyFill="1" applyBorder="1" applyAlignment="1" applyProtection="1">
      <alignment horizontal="center" vertical="center"/>
    </xf>
    <xf numFmtId="43" fontId="262" fillId="0" borderId="1" xfId="18" applyNumberFormat="1" applyFont="1" applyFill="1" applyBorder="1" applyAlignment="1" applyProtection="1">
      <alignment horizontal="center" vertical="center"/>
    </xf>
    <xf numFmtId="181" fontId="262" fillId="0" borderId="1" xfId="18" applyNumberFormat="1" applyFont="1" applyFill="1" applyBorder="1" applyAlignment="1" applyProtection="1">
      <alignment horizontal="center" vertical="center"/>
    </xf>
    <xf numFmtId="0" fontId="260" fillId="0" borderId="159" xfId="18" applyFont="1" applyFill="1" applyBorder="1" applyAlignment="1" applyProtection="1">
      <alignment horizontal="center" vertical="center" wrapText="1"/>
      <protection locked="0"/>
    </xf>
    <xf numFmtId="0" fontId="262" fillId="0" borderId="13" xfId="18" applyFont="1" applyFill="1" applyBorder="1" applyAlignment="1" applyProtection="1">
      <alignment vertical="center" wrapText="1"/>
      <protection locked="0"/>
    </xf>
    <xf numFmtId="0" fontId="260" fillId="0" borderId="13" xfId="18" applyFont="1" applyFill="1" applyBorder="1" applyAlignment="1" applyProtection="1">
      <alignment horizontal="center" vertical="center"/>
      <protection locked="0"/>
    </xf>
    <xf numFmtId="0" fontId="260" fillId="0" borderId="161" xfId="18" applyFont="1" applyFill="1" applyBorder="1" applyAlignment="1" applyProtection="1">
      <alignment horizontal="center" vertical="center"/>
      <protection locked="0"/>
    </xf>
    <xf numFmtId="43" fontId="263" fillId="0" borderId="13" xfId="18" applyNumberFormat="1" applyFont="1" applyFill="1" applyBorder="1" applyProtection="1">
      <alignment vertical="center"/>
      <protection locked="0"/>
    </xf>
    <xf numFmtId="0" fontId="260" fillId="0" borderId="161" xfId="18" applyFont="1" applyFill="1" applyBorder="1" applyProtection="1">
      <alignment vertical="center"/>
      <protection locked="0"/>
    </xf>
    <xf numFmtId="0" fontId="260" fillId="0" borderId="162" xfId="18" applyFont="1" applyFill="1" applyBorder="1" applyAlignment="1" applyProtection="1">
      <alignment horizontal="centerContinuous" vertical="center"/>
    </xf>
    <xf numFmtId="43" fontId="260" fillId="0" borderId="78" xfId="18" applyNumberFormat="1" applyFont="1" applyFill="1" applyBorder="1" applyProtection="1">
      <alignment vertical="center"/>
    </xf>
    <xf numFmtId="43" fontId="260" fillId="0" borderId="78" xfId="18" applyNumberFormat="1" applyFont="1" applyFill="1" applyBorder="1" applyAlignment="1" applyProtection="1">
      <alignment horizontal="center" vertical="center"/>
    </xf>
    <xf numFmtId="10" fontId="260" fillId="0" borderId="78" xfId="18" applyNumberFormat="1" applyFont="1" applyFill="1" applyBorder="1" applyProtection="1">
      <alignment vertical="center"/>
    </xf>
    <xf numFmtId="0" fontId="260" fillId="0" borderId="78" xfId="18" applyFont="1" applyFill="1" applyBorder="1" applyAlignment="1" applyProtection="1">
      <alignment vertical="center" wrapText="1"/>
      <protection locked="0"/>
    </xf>
    <xf numFmtId="0" fontId="260" fillId="0" borderId="78" xfId="18" applyFont="1" applyFill="1" applyBorder="1" applyProtection="1">
      <alignment vertical="center"/>
      <protection locked="0"/>
    </xf>
    <xf numFmtId="0" fontId="260" fillId="0" borderId="163" xfId="18" applyFont="1" applyFill="1" applyBorder="1" applyProtection="1">
      <alignment vertical="center"/>
      <protection locked="0"/>
    </xf>
    <xf numFmtId="43" fontId="260" fillId="0" borderId="78" xfId="18" applyNumberFormat="1" applyFont="1" applyFill="1" applyBorder="1" applyProtection="1">
      <alignment vertical="center"/>
      <protection locked="0"/>
    </xf>
    <xf numFmtId="10" fontId="260" fillId="0" borderId="0" xfId="18" applyNumberFormat="1" applyFont="1" applyFill="1" applyAlignment="1" applyProtection="1">
      <alignment horizontal="center" vertical="center"/>
      <protection locked="0"/>
    </xf>
    <xf numFmtId="10" fontId="260" fillId="0" borderId="0" xfId="18" applyNumberFormat="1" applyFont="1" applyFill="1" applyProtection="1">
      <alignment vertical="center"/>
      <protection locked="0"/>
    </xf>
    <xf numFmtId="0" fontId="260" fillId="0" borderId="0" xfId="18" applyFont="1" applyFill="1" applyAlignment="1" applyProtection="1">
      <alignment vertical="center" wrapText="1"/>
      <protection locked="0"/>
    </xf>
    <xf numFmtId="0" fontId="260" fillId="0" borderId="0" xfId="18" applyFont="1" applyFill="1" applyAlignment="1" applyProtection="1">
      <alignment horizontal="left" vertical="center"/>
      <protection locked="0"/>
    </xf>
    <xf numFmtId="43" fontId="260" fillId="0" borderId="0" xfId="18" applyNumberFormat="1" applyFont="1" applyFill="1" applyAlignment="1" applyProtection="1">
      <alignment horizontal="left" vertical="center"/>
      <protection locked="0"/>
    </xf>
    <xf numFmtId="43" fontId="260" fillId="0" borderId="0" xfId="18" applyNumberFormat="1" applyFont="1" applyFill="1" applyAlignment="1" applyProtection="1">
      <alignment vertical="center"/>
      <protection locked="0"/>
    </xf>
    <xf numFmtId="43" fontId="260" fillId="0" borderId="0" xfId="18" applyNumberFormat="1" applyFont="1" applyFill="1" applyAlignment="1" applyProtection="1">
      <alignment horizontal="center" vertical="center"/>
      <protection locked="0"/>
    </xf>
    <xf numFmtId="43" fontId="260" fillId="0" borderId="0" xfId="19" applyFont="1" applyFill="1" applyAlignment="1" applyProtection="1">
      <alignment horizontal="center" vertical="center"/>
      <protection locked="0"/>
    </xf>
    <xf numFmtId="43" fontId="260" fillId="0" borderId="0" xfId="19" applyFont="1" applyFill="1" applyProtection="1">
      <alignment vertical="center"/>
      <protection locked="0"/>
    </xf>
    <xf numFmtId="43" fontId="49" fillId="0" borderId="23" xfId="0" applyNumberFormat="1" applyFont="1" applyBorder="1" applyAlignment="1" applyProtection="1">
      <alignment vertical="center"/>
      <protection locked="0"/>
    </xf>
    <xf numFmtId="2" fontId="255" fillId="0" borderId="0" xfId="17" applyNumberFormat="1" applyFont="1" applyAlignment="1">
      <alignment horizontal="center" vertical="center"/>
    </xf>
    <xf numFmtId="179" fontId="255" fillId="0" borderId="0" xfId="17" applyNumberFormat="1" applyFont="1" applyAlignment="1">
      <alignment horizontal="center" vertical="center"/>
    </xf>
    <xf numFmtId="43" fontId="260" fillId="0" borderId="159" xfId="18" applyNumberFormat="1" applyFont="1" applyFill="1" applyBorder="1" applyProtection="1">
      <alignment vertical="center"/>
      <protection locked="0"/>
    </xf>
    <xf numFmtId="43" fontId="260" fillId="0" borderId="163" xfId="18" applyNumberFormat="1" applyFont="1" applyFill="1" applyBorder="1" applyProtection="1">
      <alignment vertical="center"/>
      <protection locked="0"/>
    </xf>
    <xf numFmtId="0" fontId="21" fillId="7" borderId="0" xfId="0" applyFont="1" applyFill="1" applyAlignment="1" applyProtection="1">
      <alignment vertical="center" wrapText="1"/>
      <protection locked="0"/>
    </xf>
    <xf numFmtId="0" fontId="21" fillId="7" borderId="0" xfId="0" applyFont="1" applyFill="1" applyAlignment="1" applyProtection="1">
      <alignment horizontal="center" vertical="center" wrapText="1"/>
      <protection locked="0"/>
    </xf>
    <xf numFmtId="176" fontId="52" fillId="9" borderId="1" xfId="0" applyNumberFormat="1" applyFont="1" applyFill="1" applyBorder="1" applyAlignment="1" applyProtection="1">
      <alignment horizontal="center" vertical="center" wrapText="1"/>
      <protection locked="0"/>
    </xf>
    <xf numFmtId="0" fontId="59" fillId="9" borderId="24" xfId="1" applyFont="1" applyFill="1" applyBorder="1" applyAlignment="1" applyProtection="1">
      <alignment horizontal="left" vertical="center"/>
      <protection locked="0"/>
    </xf>
    <xf numFmtId="0" fontId="58" fillId="9" borderId="49" xfId="1" applyNumberFormat="1" applyFont="1" applyFill="1" applyBorder="1" applyAlignment="1" applyProtection="1">
      <alignment horizontal="center" vertical="center"/>
      <protection locked="0"/>
    </xf>
    <xf numFmtId="0" fontId="106" fillId="9" borderId="1" xfId="0" applyFont="1" applyFill="1" applyBorder="1" applyAlignment="1" applyProtection="1">
      <alignment horizontal="center" vertical="center" wrapText="1"/>
      <protection locked="0"/>
    </xf>
    <xf numFmtId="0" fontId="58" fillId="9" borderId="1" xfId="0" applyFont="1" applyFill="1" applyBorder="1" applyAlignment="1" applyProtection="1">
      <alignment vertical="center" wrapText="1"/>
      <protection locked="0"/>
    </xf>
    <xf numFmtId="177" fontId="52" fillId="9" borderId="1" xfId="1"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50" fillId="0" borderId="13" xfId="7" applyFont="1" applyFill="1" applyBorder="1" applyAlignment="1" applyProtection="1">
      <alignment horizontal="left" vertical="center" wrapText="1"/>
    </xf>
    <xf numFmtId="0" fontId="50" fillId="0" borderId="15" xfId="7" applyFont="1" applyFill="1" applyBorder="1" applyAlignment="1" applyProtection="1">
      <alignment horizontal="left" vertical="center" wrapText="1"/>
    </xf>
    <xf numFmtId="0" fontId="50"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50" fillId="0" borderId="2" xfId="7" applyFont="1" applyFill="1" applyBorder="1" applyAlignment="1" applyProtection="1">
      <alignment horizontal="left" vertical="center" wrapText="1"/>
    </xf>
    <xf numFmtId="0" fontId="50" fillId="0" borderId="13" xfId="7" applyFont="1" applyFill="1" applyBorder="1" applyAlignment="1" applyProtection="1">
      <alignment vertical="center" wrapText="1"/>
    </xf>
    <xf numFmtId="0" fontId="50" fillId="0" borderId="15" xfId="7" applyFont="1" applyFill="1" applyBorder="1" applyAlignment="1" applyProtection="1">
      <alignment vertical="center" wrapText="1"/>
    </xf>
    <xf numFmtId="0" fontId="50" fillId="0" borderId="2" xfId="7" applyFont="1" applyFill="1" applyBorder="1" applyAlignment="1" applyProtection="1">
      <alignment vertical="center" wrapText="1"/>
    </xf>
    <xf numFmtId="0" fontId="66" fillId="0" borderId="78" xfId="0" applyFont="1" applyFill="1" applyBorder="1" applyAlignment="1" applyProtection="1">
      <alignment horizontal="center" vertical="center" wrapText="1"/>
    </xf>
    <xf numFmtId="182" fontId="66" fillId="0" borderId="78"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left" vertical="center"/>
    </xf>
    <xf numFmtId="0" fontId="50"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182" fontId="66" fillId="0" borderId="1" xfId="0" applyNumberFormat="1" applyFont="1" applyFill="1" applyBorder="1" applyAlignment="1" applyProtection="1">
      <alignment horizontal="center" vertical="center" wrapText="1"/>
    </xf>
    <xf numFmtId="182" fontId="66" fillId="0" borderId="5" xfId="0" applyNumberFormat="1" applyFont="1" applyFill="1" applyBorder="1" applyAlignment="1" applyProtection="1">
      <alignment horizontal="center" vertical="center" wrapText="1"/>
    </xf>
    <xf numFmtId="182" fontId="66" fillId="0" borderId="54" xfId="0" applyNumberFormat="1" applyFont="1" applyFill="1" applyBorder="1" applyAlignment="1" applyProtection="1">
      <alignment horizontal="center" vertical="center" wrapText="1"/>
    </xf>
    <xf numFmtId="182" fontId="66"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6"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6"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6" borderId="2" xfId="0" applyFont="1" applyFill="1" applyBorder="1" applyAlignment="1" applyProtection="1">
      <alignment horizontal="left" vertical="center"/>
    </xf>
    <xf numFmtId="0" fontId="66" fillId="0" borderId="5" xfId="0" applyFont="1" applyBorder="1" applyAlignment="1" applyProtection="1">
      <alignment horizontal="left" vertical="center" wrapText="1"/>
      <protection locked="0"/>
    </xf>
    <xf numFmtId="0" fontId="66" fillId="0" borderId="3" xfId="0" applyFont="1" applyBorder="1" applyAlignment="1" applyProtection="1">
      <alignment horizontal="left" vertical="center" wrapText="1"/>
      <protection locked="0"/>
    </xf>
    <xf numFmtId="0" fontId="66" fillId="6" borderId="22" xfId="0" applyFont="1" applyFill="1" applyBorder="1" applyAlignment="1" applyProtection="1">
      <alignment horizontal="left" vertical="center"/>
    </xf>
    <xf numFmtId="0" fontId="66" fillId="6" borderId="35" xfId="0" applyFont="1" applyFill="1" applyBorder="1" applyAlignment="1" applyProtection="1">
      <alignment horizontal="left" vertical="center"/>
    </xf>
    <xf numFmtId="0" fontId="66" fillId="6" borderId="1" xfId="0" applyNumberFormat="1" applyFont="1" applyFill="1" applyBorder="1" applyAlignment="1" applyProtection="1">
      <alignment horizontal="center" vertical="center" wrapText="1"/>
    </xf>
    <xf numFmtId="0" fontId="66" fillId="6" borderId="34" xfId="0" applyFont="1" applyFill="1" applyBorder="1" applyAlignment="1" applyProtection="1">
      <alignment horizontal="left" vertical="center" wrapText="1"/>
    </xf>
    <xf numFmtId="0" fontId="66" fillId="6" borderId="64" xfId="0" applyFont="1" applyFill="1" applyBorder="1" applyAlignment="1" applyProtection="1">
      <alignment horizontal="left" vertical="center" wrapText="1"/>
    </xf>
    <xf numFmtId="0" fontId="66" fillId="6" borderId="65" xfId="0" applyFont="1" applyFill="1" applyBorder="1" applyAlignment="1" applyProtection="1">
      <alignment horizontal="left" vertical="center" wrapText="1"/>
    </xf>
    <xf numFmtId="0" fontId="66" fillId="6" borderId="13" xfId="0" applyFont="1" applyFill="1" applyBorder="1" applyAlignment="1" applyProtection="1">
      <alignment horizontal="center" vertical="center" wrapText="1"/>
    </xf>
    <xf numFmtId="0" fontId="66" fillId="6" borderId="104"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2" fillId="6" borderId="51" xfId="0" applyFont="1" applyFill="1" applyBorder="1" applyAlignment="1" applyProtection="1">
      <alignment horizontal="center" vertical="center"/>
    </xf>
    <xf numFmtId="0" fontId="52"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5"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9" fillId="6" borderId="6"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51" fillId="6" borderId="40"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0" fontId="51"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8" fillId="6" borderId="106" xfId="0" applyFont="1" applyFill="1" applyBorder="1" applyAlignment="1" applyProtection="1">
      <alignment horizontal="center" vertical="center"/>
    </xf>
    <xf numFmtId="0" fontId="48" fillId="6" borderId="102" xfId="0" applyFont="1" applyFill="1" applyBorder="1" applyAlignment="1" applyProtection="1">
      <alignment horizontal="center" vertical="center"/>
    </xf>
    <xf numFmtId="0" fontId="52" fillId="6" borderId="54" xfId="0" applyFont="1" applyFill="1" applyBorder="1" applyAlignment="1" applyProtection="1">
      <alignment horizontal="left" vertical="center" wrapText="1"/>
    </xf>
    <xf numFmtId="0" fontId="57" fillId="6" borderId="51" xfId="0"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21" xfId="0" applyFont="1" applyFill="1" applyBorder="1" applyAlignment="1" applyProtection="1">
      <alignment horizontal="center" vertical="center" wrapText="1"/>
    </xf>
    <xf numFmtId="0" fontId="57" fillId="6" borderId="46" xfId="0" applyFont="1" applyFill="1" applyBorder="1" applyAlignment="1" applyProtection="1">
      <alignment horizontal="left" vertical="center" wrapText="1"/>
    </xf>
    <xf numFmtId="0" fontId="57" fillId="6" borderId="36" xfId="0" applyFont="1" applyFill="1" applyBorder="1" applyAlignment="1" applyProtection="1">
      <alignment horizontal="left" vertical="center" wrapText="1"/>
    </xf>
    <xf numFmtId="0" fontId="57" fillId="6" borderId="22" xfId="0" applyFont="1" applyFill="1" applyBorder="1" applyAlignment="1" applyProtection="1">
      <alignment horizontal="left" vertical="center" wrapText="1"/>
    </xf>
    <xf numFmtId="0" fontId="51" fillId="6" borderId="40" xfId="0" applyFont="1" applyFill="1" applyBorder="1" applyAlignment="1" applyProtection="1">
      <alignment horizontal="left" vertical="center" wrapText="1"/>
    </xf>
    <xf numFmtId="0" fontId="51" fillId="6" borderId="41" xfId="0"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51" fillId="6" borderId="21" xfId="0" applyFont="1" applyFill="1" applyBorder="1" applyAlignment="1" applyProtection="1">
      <alignment horizontal="center" vertical="center"/>
    </xf>
    <xf numFmtId="0" fontId="57" fillId="6" borderId="47" xfId="0" applyFont="1" applyFill="1" applyBorder="1" applyAlignment="1" applyProtection="1">
      <alignment horizontal="center" vertical="center"/>
    </xf>
    <xf numFmtId="0" fontId="49" fillId="6" borderId="1"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9" fillId="9" borderId="13" xfId="0" applyFont="1" applyFill="1" applyBorder="1" applyAlignment="1" applyProtection="1">
      <alignment horizontal="center" vertical="center"/>
      <protection locked="0"/>
    </xf>
    <xf numFmtId="0" fontId="49" fillId="9" borderId="15" xfId="0" applyFont="1" applyFill="1" applyBorder="1" applyAlignment="1" applyProtection="1">
      <alignment horizontal="center" vertical="center"/>
      <protection locked="0"/>
    </xf>
    <xf numFmtId="0" fontId="49" fillId="9" borderId="2" xfId="0" applyFont="1" applyFill="1" applyBorder="1" applyAlignment="1" applyProtection="1">
      <alignment horizontal="center" vertical="center"/>
      <protection locked="0"/>
    </xf>
    <xf numFmtId="10" fontId="52"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3" xfId="0" applyFont="1" applyFill="1" applyBorder="1" applyAlignment="1" applyProtection="1">
      <alignment horizontal="left" vertical="center" wrapText="1"/>
    </xf>
    <xf numFmtId="0" fontId="51" fillId="6" borderId="40"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2" xfId="0" applyFont="1" applyFill="1" applyBorder="1" applyAlignment="1" applyProtection="1">
      <alignment horizontal="center" vertical="center" wrapText="1"/>
    </xf>
    <xf numFmtId="0" fontId="59" fillId="6" borderId="6" xfId="0" applyFont="1" applyFill="1" applyBorder="1" applyAlignment="1" applyProtection="1">
      <alignment horizontal="center" vertical="center" wrapText="1"/>
    </xf>
    <xf numFmtId="0" fontId="59" fillId="6" borderId="9"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52"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52" fillId="6" borderId="69" xfId="0"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0" fontId="49" fillId="0" borderId="13" xfId="0" applyFont="1" applyBorder="1" applyAlignment="1" applyProtection="1">
      <alignment horizontal="center" vertical="center"/>
      <protection locked="0"/>
    </xf>
    <xf numFmtId="0" fontId="49" fillId="0" borderId="2" xfId="0" applyFont="1" applyBorder="1" applyAlignment="1" applyProtection="1">
      <alignment horizontal="center" vertical="center"/>
      <protection locked="0"/>
    </xf>
    <xf numFmtId="0" fontId="49" fillId="0" borderId="15" xfId="0" applyFont="1" applyBorder="1" applyAlignment="1" applyProtection="1">
      <alignment horizontal="center" vertical="center"/>
      <protection locked="0"/>
    </xf>
    <xf numFmtId="0" fontId="52" fillId="6" borderId="3" xfId="0" applyFont="1" applyFill="1" applyBorder="1" applyAlignment="1" applyProtection="1">
      <alignment horizontal="center" vertical="center" wrapText="1"/>
    </xf>
    <xf numFmtId="0" fontId="51" fillId="6" borderId="23"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2" fillId="6" borderId="19" xfId="0" applyFont="1" applyFill="1" applyBorder="1" applyAlignment="1" applyProtection="1">
      <alignment horizontal="left" vertical="center" wrapText="1"/>
    </xf>
    <xf numFmtId="0" fontId="49" fillId="5" borderId="13" xfId="0" applyFont="1" applyFill="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left" vertical="center" wrapText="1"/>
    </xf>
    <xf numFmtId="0" fontId="59" fillId="6" borderId="18"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182" fontId="49" fillId="6" borderId="5" xfId="0" applyNumberFormat="1" applyFont="1" applyFill="1" applyBorder="1" applyAlignment="1" applyProtection="1">
      <alignment horizontal="center" vertical="center" wrapText="1"/>
    </xf>
    <xf numFmtId="182" fontId="49" fillId="6" borderId="54" xfId="0" applyNumberFormat="1" applyFont="1" applyFill="1" applyBorder="1" applyAlignment="1" applyProtection="1">
      <alignment horizontal="center" vertical="center" wrapText="1"/>
    </xf>
    <xf numFmtId="182" fontId="49" fillId="6" borderId="3"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9" borderId="1" xfId="0" applyFont="1" applyFill="1" applyBorder="1" applyAlignment="1" applyProtection="1">
      <alignment horizontal="center" vertical="center"/>
      <protection locked="0"/>
    </xf>
    <xf numFmtId="0" fontId="52" fillId="6" borderId="36" xfId="0" applyFont="1" applyFill="1" applyBorder="1" applyAlignment="1" applyProtection="1">
      <alignment horizontal="left" vertical="center"/>
    </xf>
    <xf numFmtId="0" fontId="49" fillId="5" borderId="5" xfId="0" applyFont="1" applyFill="1" applyBorder="1" applyAlignment="1" applyProtection="1">
      <alignment horizontal="center" vertical="center" wrapText="1"/>
      <protection locked="0"/>
    </xf>
    <xf numFmtId="0" fontId="49"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2" fillId="6" borderId="25" xfId="0"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2" fillId="6" borderId="61"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1" fillId="5" borderId="37"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1" fillId="6" borderId="3" xfId="0" applyFont="1" applyFill="1" applyBorder="1" applyAlignment="1" applyProtection="1">
      <alignment horizontal="left" vertical="center"/>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58" fillId="6" borderId="61" xfId="0" applyFont="1" applyFill="1" applyBorder="1" applyAlignment="1" applyProtection="1">
      <alignment horizontal="left" vertical="center"/>
    </xf>
    <xf numFmtId="0" fontId="58" fillId="6" borderId="53" xfId="0" applyFont="1" applyFill="1" applyBorder="1" applyAlignment="1" applyProtection="1">
      <alignment horizontal="left" vertical="center"/>
    </xf>
    <xf numFmtId="0" fontId="58" fillId="6" borderId="8" xfId="0" applyFont="1" applyFill="1" applyBorder="1" applyAlignment="1" applyProtection="1">
      <alignment horizontal="left" vertical="center"/>
    </xf>
    <xf numFmtId="0" fontId="58" fillId="6" borderId="54"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center" vertical="center" wrapText="1"/>
      <protection locked="0"/>
    </xf>
    <xf numFmtId="0" fontId="62" fillId="6" borderId="5" xfId="0" applyFont="1" applyFill="1" applyBorder="1" applyAlignment="1" applyProtection="1">
      <alignment horizontal="center" vertical="center" wrapText="1"/>
    </xf>
    <xf numFmtId="0" fontId="62" fillId="6" borderId="54" xfId="0" applyFont="1" applyFill="1" applyBorder="1" applyAlignment="1" applyProtection="1">
      <alignment horizontal="center" vertical="center" wrapText="1"/>
    </xf>
    <xf numFmtId="0" fontId="62" fillId="6" borderId="0" xfId="0" applyFont="1" applyFill="1" applyBorder="1" applyAlignment="1" applyProtection="1">
      <alignment horizontal="center" vertical="center" wrapText="1"/>
    </xf>
    <xf numFmtId="0" fontId="62" fillId="6" borderId="22" xfId="0" applyFont="1" applyFill="1" applyBorder="1" applyAlignment="1" applyProtection="1">
      <alignment horizontal="center" vertical="center" wrapText="1"/>
    </xf>
    <xf numFmtId="49" fontId="58" fillId="6" borderId="40" xfId="0" applyNumberFormat="1" applyFont="1" applyFill="1" applyBorder="1" applyAlignment="1" applyProtection="1">
      <alignment horizontal="center" vertical="center" wrapText="1"/>
    </xf>
    <xf numFmtId="49" fontId="58"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49" fontId="58"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8" fillId="6" borderId="29" xfId="0" applyFont="1" applyFill="1" applyBorder="1" applyAlignment="1" applyProtection="1">
      <alignment horizontal="center" vertical="center" wrapText="1"/>
    </xf>
    <xf numFmtId="0" fontId="58" fillId="6" borderId="39" xfId="0" applyFont="1" applyFill="1" applyBorder="1" applyAlignment="1" applyProtection="1">
      <alignment horizontal="center" vertical="center"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2" fillId="6" borderId="13" xfId="0" applyFont="1" applyFill="1" applyBorder="1" applyAlignment="1" applyProtection="1">
      <alignment vertical="top" wrapText="1"/>
    </xf>
    <xf numFmtId="0" fontId="52" fillId="6" borderId="15" xfId="0" applyFont="1" applyFill="1" applyBorder="1" applyAlignment="1" applyProtection="1">
      <alignment vertical="top" wrapText="1"/>
    </xf>
    <xf numFmtId="0" fontId="52"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6" fillId="11" borderId="1" xfId="0" applyFont="1" applyFill="1" applyBorder="1" applyAlignment="1">
      <alignment horizontal="center" vertical="center"/>
    </xf>
    <xf numFmtId="0" fontId="21" fillId="0" borderId="1" xfId="0" applyFont="1" applyBorder="1" applyAlignment="1">
      <alignment horizontal="center"/>
    </xf>
    <xf numFmtId="0" fontId="21" fillId="0" borderId="1" xfId="0" applyFont="1" applyBorder="1" applyAlignment="1"/>
    <xf numFmtId="0" fontId="86"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86" fillId="0" borderId="1" xfId="0" applyFont="1" applyFill="1" applyBorder="1" applyAlignment="1">
      <alignment horizontal="center" vertical="center"/>
    </xf>
    <xf numFmtId="0" fontId="86"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6" fillId="6" borderId="5" xfId="0" applyFont="1" applyFill="1" applyBorder="1" applyAlignment="1" applyProtection="1">
      <alignment horizontal="center" vertical="center" wrapText="1"/>
    </xf>
    <xf numFmtId="0" fontId="56" fillId="6" borderId="3"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11" xfId="0" applyFont="1" applyFill="1" applyBorder="1" applyAlignment="1" applyProtection="1">
      <alignment horizontal="center" vertical="center" textRotation="255" wrapText="1"/>
    </xf>
    <xf numFmtId="0" fontId="56" fillId="6" borderId="14" xfId="0" applyFont="1" applyFill="1" applyBorder="1" applyAlignment="1" applyProtection="1">
      <alignment horizontal="center" vertical="center" textRotation="255" wrapText="1"/>
    </xf>
    <xf numFmtId="0" fontId="56" fillId="6" borderId="41" xfId="0" applyFont="1" applyFill="1" applyBorder="1" applyAlignment="1" applyProtection="1">
      <alignment horizontal="center" vertical="center" textRotation="255" wrapText="1"/>
    </xf>
    <xf numFmtId="0" fontId="56" fillId="6" borderId="15" xfId="0" applyFont="1" applyFill="1" applyBorder="1" applyAlignment="1" applyProtection="1">
      <alignment horizontal="center" vertical="center" textRotation="255" wrapText="1"/>
    </xf>
    <xf numFmtId="0" fontId="56" fillId="6" borderId="2" xfId="0" applyFont="1" applyFill="1" applyBorder="1" applyAlignment="1" applyProtection="1">
      <alignment horizontal="center" vertical="center" textRotation="255" wrapText="1"/>
    </xf>
    <xf numFmtId="0" fontId="56" fillId="6" borderId="11" xfId="0" applyFont="1" applyFill="1" applyBorder="1" applyAlignment="1" applyProtection="1">
      <alignment horizontal="center" vertical="center" wrapText="1"/>
    </xf>
    <xf numFmtId="0" fontId="56" fillId="6" borderId="14"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xf>
    <xf numFmtId="0" fontId="56" fillId="6" borderId="15" xfId="0" applyFont="1" applyFill="1" applyBorder="1" applyAlignment="1" applyProtection="1">
      <alignment horizontal="center" vertical="center"/>
    </xf>
    <xf numFmtId="0" fontId="56" fillId="6" borderId="2" xfId="0" applyFont="1" applyFill="1" applyBorder="1" applyAlignment="1" applyProtection="1">
      <alignment horizontal="center" vertical="center"/>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30" xfId="0" applyFont="1" applyFill="1" applyBorder="1" applyAlignment="1" applyProtection="1">
      <alignment horizontal="center" vertical="center" wrapText="1"/>
    </xf>
    <xf numFmtId="0" fontId="56" fillId="6" borderId="28" xfId="0" applyFont="1" applyFill="1" applyBorder="1" applyAlignment="1" applyProtection="1">
      <alignment horizontal="center" vertical="center" wrapText="1"/>
    </xf>
    <xf numFmtId="0" fontId="56" fillId="6" borderId="46" xfId="0" applyFont="1" applyFill="1" applyBorder="1" applyAlignment="1" applyProtection="1">
      <alignment horizontal="center" vertical="center" wrapText="1"/>
    </xf>
    <xf numFmtId="0" fontId="56" fillId="6" borderId="22" xfId="0"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7" xfId="0" applyFont="1" applyFill="1" applyBorder="1" applyAlignment="1" applyProtection="1">
      <alignment horizontal="center" vertical="center" wrapText="1"/>
    </xf>
    <xf numFmtId="0" fontId="56" fillId="6" borderId="46" xfId="0" applyFont="1" applyFill="1" applyBorder="1" applyAlignment="1" applyProtection="1">
      <alignment horizontal="center" vertical="center"/>
    </xf>
    <xf numFmtId="0" fontId="56" fillId="6" borderId="22"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0" fontId="56" fillId="6" borderId="35" xfId="0" applyFont="1" applyFill="1" applyBorder="1" applyAlignment="1" applyProtection="1">
      <alignment horizontal="center" vertical="center"/>
    </xf>
    <xf numFmtId="0" fontId="56" fillId="6" borderId="4" xfId="0" applyFont="1" applyFill="1" applyBorder="1" applyAlignment="1" applyProtection="1">
      <alignment horizontal="center" vertical="center"/>
    </xf>
    <xf numFmtId="0" fontId="56" fillId="6" borderId="7"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6" fillId="6" borderId="38" xfId="0" applyFont="1" applyFill="1" applyBorder="1" applyAlignment="1" applyProtection="1">
      <alignment horizontal="center" vertical="center" wrapText="1"/>
    </xf>
    <xf numFmtId="0" fontId="56" fillId="6" borderId="66" xfId="0" applyFont="1" applyFill="1" applyBorder="1" applyAlignment="1" applyProtection="1">
      <alignment horizontal="center" vertical="center" wrapText="1"/>
    </xf>
    <xf numFmtId="0" fontId="55" fillId="6" borderId="32" xfId="0" applyNumberFormat="1" applyFont="1" applyFill="1" applyBorder="1" applyAlignment="1" applyProtection="1">
      <alignment horizontal="center" vertical="center"/>
    </xf>
    <xf numFmtId="0" fontId="56" fillId="6" borderId="62" xfId="0" applyFont="1" applyFill="1" applyBorder="1" applyAlignment="1" applyProtection="1">
      <alignment horizontal="center" vertical="center"/>
    </xf>
    <xf numFmtId="0" fontId="56" fillId="6" borderId="53" xfId="0" applyFont="1" applyFill="1" applyBorder="1" applyAlignment="1" applyProtection="1">
      <alignment horizontal="center" vertical="center"/>
    </xf>
    <xf numFmtId="0" fontId="56" fillId="6" borderId="8" xfId="0" applyFont="1" applyFill="1" applyBorder="1" applyAlignment="1" applyProtection="1">
      <alignment horizontal="center" vertical="center"/>
    </xf>
    <xf numFmtId="0" fontId="56" fillId="6" borderId="16"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18" xfId="0" applyFont="1" applyFill="1" applyBorder="1" applyAlignment="1" applyProtection="1">
      <alignment horizontal="center" vertical="center" wrapText="1"/>
    </xf>
    <xf numFmtId="0" fontId="56" fillId="6" borderId="69" xfId="0"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xf>
    <xf numFmtId="0" fontId="56" fillId="6" borderId="39" xfId="0"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49" fillId="6" borderId="37" xfId="0" applyFont="1" applyFill="1" applyBorder="1" applyAlignment="1" applyProtection="1">
      <alignment horizontal="center" vertical="center"/>
    </xf>
    <xf numFmtId="0" fontId="56" fillId="6" borderId="17" xfId="0" applyFont="1" applyFill="1" applyBorder="1" applyAlignment="1" applyProtection="1">
      <alignment horizontal="center" vertical="center"/>
    </xf>
    <xf numFmtId="0" fontId="56" fillId="6" borderId="13" xfId="0" applyFont="1" applyFill="1" applyBorder="1" applyAlignment="1" applyProtection="1">
      <alignment horizontal="center" vertical="center" textRotation="255" wrapText="1"/>
    </xf>
    <xf numFmtId="0" fontId="257" fillId="0" borderId="0" xfId="18" applyFont="1" applyFill="1" applyBorder="1" applyAlignment="1" applyProtection="1">
      <alignment horizontal="center" vertical="center"/>
      <protection locked="0"/>
    </xf>
    <xf numFmtId="0" fontId="261" fillId="19" borderId="156" xfId="18" applyFont="1" applyFill="1" applyBorder="1" applyAlignment="1" applyProtection="1">
      <alignment horizontal="center" vertical="center"/>
      <protection locked="0"/>
    </xf>
    <xf numFmtId="0" fontId="261" fillId="19" borderId="158" xfId="18" applyFont="1" applyFill="1" applyBorder="1" applyAlignment="1" applyProtection="1">
      <alignment horizontal="center" vertical="center"/>
      <protection locked="0"/>
    </xf>
    <xf numFmtId="43" fontId="261" fillId="19" borderId="44" xfId="18" applyNumberFormat="1" applyFont="1" applyFill="1" applyBorder="1" applyAlignment="1" applyProtection="1">
      <alignment horizontal="center" vertical="center" wrapText="1"/>
      <protection locked="0"/>
    </xf>
    <xf numFmtId="43" fontId="261" fillId="19" borderId="1" xfId="18" applyNumberFormat="1" applyFont="1" applyFill="1" applyBorder="1" applyAlignment="1" applyProtection="1">
      <alignment horizontal="center" vertical="center" wrapText="1"/>
      <protection locked="0"/>
    </xf>
    <xf numFmtId="43" fontId="261" fillId="19" borderId="44" xfId="18" applyNumberFormat="1" applyFont="1" applyFill="1" applyBorder="1" applyAlignment="1" applyProtection="1">
      <alignment horizontal="center" vertical="center"/>
      <protection locked="0"/>
    </xf>
    <xf numFmtId="10" fontId="261" fillId="19" borderId="44" xfId="18" applyNumberFormat="1" applyFont="1" applyFill="1" applyBorder="1" applyAlignment="1" applyProtection="1">
      <alignment horizontal="center" vertical="center"/>
      <protection locked="0"/>
    </xf>
    <xf numFmtId="10" fontId="261" fillId="19" borderId="1" xfId="18" applyNumberFormat="1" applyFont="1" applyFill="1" applyBorder="1" applyAlignment="1" applyProtection="1">
      <alignment horizontal="center" vertical="center"/>
      <protection locked="0"/>
    </xf>
    <xf numFmtId="0" fontId="261" fillId="19" borderId="44" xfId="18" applyFont="1" applyFill="1" applyBorder="1" applyAlignment="1" applyProtection="1">
      <alignment horizontal="center" vertical="center" wrapText="1"/>
      <protection locked="0"/>
    </xf>
    <xf numFmtId="0" fontId="261" fillId="19" borderId="1" xfId="18" applyFont="1" applyFill="1" applyBorder="1" applyAlignment="1" applyProtection="1">
      <alignment horizontal="center" vertical="center" wrapText="1"/>
      <protection locked="0"/>
    </xf>
    <xf numFmtId="0" fontId="261" fillId="19" borderId="44" xfId="18" applyFont="1" applyFill="1" applyBorder="1" applyAlignment="1" applyProtection="1">
      <alignment horizontal="center" vertical="center"/>
      <protection locked="0"/>
    </xf>
    <xf numFmtId="0" fontId="261" fillId="19" borderId="1" xfId="18" applyFont="1" applyFill="1" applyBorder="1" applyAlignment="1" applyProtection="1">
      <alignment horizontal="center" vertical="center"/>
      <protection locked="0"/>
    </xf>
    <xf numFmtId="0" fontId="261" fillId="19" borderId="157" xfId="18" applyFont="1" applyFill="1" applyBorder="1" applyAlignment="1" applyProtection="1">
      <alignment horizontal="center" vertical="center"/>
      <protection locked="0"/>
    </xf>
    <xf numFmtId="0" fontId="261" fillId="19" borderId="159" xfId="18" applyFont="1" applyFill="1" applyBorder="1" applyAlignment="1" applyProtection="1">
      <alignment horizontal="center" vertical="center"/>
      <protection locked="0"/>
    </xf>
    <xf numFmtId="181" fontId="260" fillId="0" borderId="1" xfId="18" applyNumberFormat="1" applyFont="1" applyFill="1" applyBorder="1" applyAlignment="1" applyProtection="1">
      <alignment horizontal="center" vertical="center"/>
    </xf>
    <xf numFmtId="186" fontId="56" fillId="6" borderId="1" xfId="0" applyNumberFormat="1" applyFont="1" applyFill="1" applyBorder="1" applyAlignment="1" applyProtection="1">
      <alignment horizontal="center" vertical="center"/>
    </xf>
    <xf numFmtId="186" fontId="55" fillId="6" borderId="1"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6" fillId="0" borderId="11" xfId="0" applyFont="1" applyFill="1" applyBorder="1" applyAlignment="1" applyProtection="1">
      <alignment horizontal="center" vertical="center" wrapText="1"/>
      <protection locked="0"/>
    </xf>
    <xf numFmtId="0" fontId="56" fillId="0" borderId="61" xfId="0" applyFont="1" applyFill="1" applyBorder="1" applyAlignment="1" applyProtection="1">
      <alignment horizontal="center" vertical="center" wrapText="1"/>
      <protection locked="0"/>
    </xf>
    <xf numFmtId="0" fontId="56" fillId="0" borderId="22" xfId="0" applyFont="1" applyFill="1" applyBorder="1" applyAlignment="1" applyProtection="1">
      <alignment horizontal="center" vertical="center" wrapText="1"/>
      <protection locked="0"/>
    </xf>
    <xf numFmtId="0" fontId="56"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xf>
    <xf numFmtId="0" fontId="52" fillId="6" borderId="75" xfId="0" applyFont="1" applyFill="1" applyBorder="1" applyAlignment="1" applyProtection="1">
      <alignment horizontal="center" vertical="center"/>
      <protection locked="0"/>
    </xf>
    <xf numFmtId="0" fontId="52" fillId="6" borderId="47" xfId="0" applyFont="1" applyFill="1" applyBorder="1" applyAlignment="1" applyProtection="1">
      <alignment horizontal="center" vertical="center"/>
      <protection locked="0"/>
    </xf>
    <xf numFmtId="0" fontId="52"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20">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9"/>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8.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hartsheet" Target="chartsheets/sheet1.xml"/><Relationship Id="rId42" Type="http://schemas.openxmlformats.org/officeDocument/2006/relationships/worksheet" Target="worksheets/sheet41.xml"/><Relationship Id="rId47" Type="http://schemas.openxmlformats.org/officeDocument/2006/relationships/worksheet" Target="worksheets/sheet46.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7.xml"/><Relationship Id="rId46" Type="http://schemas.openxmlformats.org/officeDocument/2006/relationships/worksheet" Target="worksheets/sheet4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5.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val>
            <c:numRef>
              <c:f>租赁情况核对!$O$30:$P$30</c:f>
              <c:numCache>
                <c:formatCode>_(* #,##0.00_);_(* \(#,##0.00\);_(* "-"??_);_(@_)</c:formatCode>
                <c:ptCount val="2"/>
                <c:pt idx="1">
                  <c:v>0.76909090909090916</c:v>
                </c:pt>
              </c:numCache>
            </c:numRef>
          </c:val>
          <c:extLst xmlns:c16r2="http://schemas.microsoft.com/office/drawing/2015/06/chart">
            <c:ext xmlns:c16="http://schemas.microsoft.com/office/drawing/2014/chart" uri="{C3380CC4-5D6E-409C-BE32-E72D297353CC}">
              <c16:uniqueId val="{00000000-CFD1-447B-854E-9197E60A997D}"/>
            </c:ext>
          </c:extLst>
        </c:ser>
        <c:dLbls>
          <c:showLegendKey val="0"/>
          <c:showVal val="0"/>
          <c:showCatName val="0"/>
          <c:showSerName val="0"/>
          <c:showPercent val="0"/>
          <c:showBubbleSize val="0"/>
        </c:dLbls>
        <c:gapWidth val="150"/>
        <c:axId val="276651008"/>
        <c:axId val="276656896"/>
      </c:barChart>
      <c:catAx>
        <c:axId val="276651008"/>
        <c:scaling>
          <c:orientation val="minMax"/>
        </c:scaling>
        <c:delete val="0"/>
        <c:axPos val="b"/>
        <c:majorTickMark val="out"/>
        <c:minorTickMark val="none"/>
        <c:tickLblPos val="nextTo"/>
        <c:crossAx val="276656896"/>
        <c:crosses val="autoZero"/>
        <c:auto val="1"/>
        <c:lblAlgn val="ctr"/>
        <c:lblOffset val="100"/>
        <c:noMultiLvlLbl val="0"/>
      </c:catAx>
      <c:valAx>
        <c:axId val="276656896"/>
        <c:scaling>
          <c:orientation val="minMax"/>
        </c:scaling>
        <c:delete val="0"/>
        <c:axPos val="l"/>
        <c:majorGridlines/>
        <c:numFmt formatCode="General" sourceLinked="1"/>
        <c:majorTickMark val="out"/>
        <c:minorTickMark val="none"/>
        <c:tickLblPos val="nextTo"/>
        <c:crossAx val="276651008"/>
        <c:crosses val="autoZero"/>
        <c:crossBetween val="between"/>
      </c:valAx>
    </c:plotArea>
    <c:legend>
      <c:legendPos val="r"/>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sheetViews>
    <sheetView zoomScale="119"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absoluteAnchor>
    <xdr:pos x="0" y="0"/>
    <xdr:ext cx="9300882" cy="6075189"/>
    <xdr:graphicFrame macro="">
      <xdr:nvGraphicFramePr>
        <xdr:cNvPr id="2" name="图表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北京市通州区永乐南一街9号院1号楼等7幢楼房地产抵押价值预评估</v>
      </c>
    </row>
    <row r="3" spans="1:2" s="1592" customFormat="1">
      <c r="A3" s="1590" t="s">
        <v>1217</v>
      </c>
      <c r="B3" s="1591" t="str">
        <f>'预评函-封皮'!B40</f>
        <v>北京林海滩商贸有限公司</v>
      </c>
    </row>
    <row r="4" spans="1:2" s="1592" customFormat="1">
      <c r="A4" s="1590" t="s">
        <v>1218</v>
      </c>
      <c r="B4" s="1591" t="str">
        <f ca="1">'预评函-封皮'!B46</f>
        <v>郑燚（注册号：1120070131)、王鹏（注册号：1120050019)</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受贵公司委托，我公司对北京市通州区永乐南一街9号院1号楼等7幢楼房地产抵押价值进行了预评估。</v>
      </c>
    </row>
    <row r="7" spans="1:2" s="1592" customFormat="1">
      <c r="A7" s="1590" t="s">
        <v>1260</v>
      </c>
      <c r="B7" s="1591" t="str">
        <f>'预评函-1'!A7</f>
        <v>估价对象为北京市通州区永乐南一街9号院1号楼等7幢楼房地产，为北京林海滩商贸有限公司所有。根据《国有土地使用证》[]，估价对象（分摊）出让国有建设用地使用权面积为86905.92平方米，建筑面积为83329.15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通州区永乐南一街9号院1号楼等7幢楼房地产,属北京林海滩商贸有限公司开发建设的，该项目尚在开发建设中。根据《国有土地使用证》[]，估价对象（分摊）出让国有建设用地使用权面积为86905.92平方米，规划建筑面积为83329.15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为估价委托人在向招商银行办理贷款手续过程中，确定房地产抵押贷款额度提供参考依据而评估房地产抵押价值。</v>
      </c>
    </row>
    <row r="12" spans="1:2" s="1592" customFormat="1">
      <c r="A12" s="1590" t="s">
        <v>1222</v>
      </c>
      <c r="B12" s="1591" t="str">
        <f>'预评函-1'!A15</f>
        <v>2019年8月14日（评估专业人员实地查勘之日）</v>
      </c>
    </row>
    <row r="13" spans="1:2" s="1592" customFormat="1">
      <c r="A13" s="1590" t="s">
        <v>1223</v>
      </c>
      <c r="B13" s="1591" t="str">
        <f>'预评函-1'!A18</f>
        <v>本次估价的“房地产价值”是指在正常市场情况下，在价值时点2019年8月14日，估价对象规划用途为工业厂房，土地取得方式为出让，出让国有建设用地使用权剩余土地使用年限为工业28.36年，假定未设立法定优先受偿款下的房地产市场价值。</v>
      </c>
    </row>
    <row r="14" spans="1:2" s="1592" customFormat="1">
      <c r="A14" s="1590" t="s">
        <v>1224</v>
      </c>
      <c r="B14" s="1591" t="str">
        <f>'预评函-1'!A19</f>
        <v>其中，“出让国有建设用地使用权价值”是指估价对象用途为工业厂房，实际开发程度为宗地红线外“七通”（即、、、、、、）、红线内场地平整条件下，剩余土地使用年限为工业28.36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本次评估采用的主估价方法为成本法和收益法。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41557</v>
      </c>
    </row>
    <row r="21" spans="1:2" s="1592" customFormat="1">
      <c r="A21" s="1590" t="s">
        <v>1231</v>
      </c>
      <c r="B21" s="1591">
        <f ca="1">'预评函-2'!D7</f>
        <v>4987</v>
      </c>
    </row>
    <row r="22" spans="1:2" s="1592" customFormat="1">
      <c r="A22" s="1590" t="s">
        <v>1232</v>
      </c>
      <c r="B22" s="1591" t="str">
        <f ca="1">'预评函-2'!D6</f>
        <v>肆亿壹仟伍佰伍拾柒万元整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41557</v>
      </c>
    </row>
    <row r="31" spans="1:2" s="1592" customFormat="1">
      <c r="A31" s="1590" t="s">
        <v>1270</v>
      </c>
      <c r="B31" s="1591">
        <f ca="1">'预评函-2'!D15</f>
        <v>4987</v>
      </c>
    </row>
    <row r="32" spans="1:2" s="1592" customFormat="1">
      <c r="A32" s="1590" t="s">
        <v>1237</v>
      </c>
      <c r="B32" s="1591" t="str">
        <f ca="1">'预评函-2'!D14</f>
        <v>肆亿壹仟伍佰伍拾柒万元整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4.抵押净值</v>
      </c>
    </row>
    <row r="38" spans="1:2" s="1592" customFormat="1">
      <c r="A38" s="1590" t="s">
        <v>1291</v>
      </c>
      <c r="B38" s="1591">
        <f ca="1">'预评函-2'!D19</f>
        <v>40239</v>
      </c>
    </row>
    <row r="39" spans="1:2" s="1592" customFormat="1">
      <c r="A39" s="1590" t="s">
        <v>1239</v>
      </c>
      <c r="B39" s="1591">
        <f ca="1">'预评函-2'!D21</f>
        <v>4829</v>
      </c>
    </row>
    <row r="40" spans="1:2" s="1592" customFormat="1">
      <c r="A40" s="1590" t="s">
        <v>1240</v>
      </c>
      <c r="B40" s="1591" t="str">
        <f ca="1">'预评函-2'!D20</f>
        <v>肆亿零贰佰叁拾玖万元整</v>
      </c>
    </row>
    <row r="41" spans="1:2" s="1592" customFormat="1">
      <c r="A41" s="1590" t="s">
        <v>1286</v>
      </c>
      <c r="B41" s="1591" t="str">
        <f>'预评函-3'!A4</f>
        <v>北京市通州区永乐南一街9号院1号楼等7幢楼房地产</v>
      </c>
    </row>
    <row r="42" spans="1:2" s="1592" customFormat="1">
      <c r="A42" s="1590" t="s">
        <v>1284</v>
      </c>
      <c r="B42" s="1591" t="str">
        <f>'预评函-3'!B2</f>
        <v>建筑面积</v>
      </c>
    </row>
    <row r="43" spans="1:2" s="1592" customFormat="1">
      <c r="A43" s="1590" t="s">
        <v>1285</v>
      </c>
      <c r="B43" s="1591">
        <f>'预评函-3'!B4</f>
        <v>83329.149999999994</v>
      </c>
    </row>
    <row r="44" spans="1:2" s="1592" customFormat="1">
      <c r="A44" s="1590" t="s">
        <v>1269</v>
      </c>
      <c r="B44" s="1591" t="str">
        <f>'预评函-3'!C2</f>
        <v>(分摊)土地面积</v>
      </c>
    </row>
    <row r="45" spans="1:2" s="1592" customFormat="1">
      <c r="A45" s="1590" t="s">
        <v>1241</v>
      </c>
      <c r="B45" s="1591">
        <f>'预评函-3'!C4</f>
        <v>86905.919999999998</v>
      </c>
    </row>
    <row r="46" spans="1:2" s="1592" customFormat="1">
      <c r="A46" s="1590" t="s">
        <v>1267</v>
      </c>
      <c r="B46" s="1591" t="str">
        <f>'预评函-3'!D2</f>
        <v>出让国有建设用地使用权价值</v>
      </c>
    </row>
    <row r="47" spans="1:2" s="1592" customFormat="1">
      <c r="A47" s="1590" t="s">
        <v>1242</v>
      </c>
      <c r="B47" s="1591">
        <f ca="1">'预评函-3'!D4</f>
        <v>11096</v>
      </c>
    </row>
    <row r="48" spans="1:2" s="1592" customFormat="1">
      <c r="A48" s="1590" t="s">
        <v>1243</v>
      </c>
      <c r="B48" s="1591">
        <f ca="1">'预评函-3'!E4</f>
        <v>1331</v>
      </c>
    </row>
    <row r="49" spans="1:2" s="1592" customFormat="1">
      <c r="A49" s="1590" t="s">
        <v>1244</v>
      </c>
      <c r="B49" s="1591" t="str">
        <f ca="1">'预评函-3'!D5</f>
        <v>壹亿壹仟零玖拾陆万元整</v>
      </c>
    </row>
    <row r="50" spans="1:2" s="1592" customFormat="1">
      <c r="A50" s="1590" t="s">
        <v>1268</v>
      </c>
      <c r="B50" s="1591" t="str">
        <f>'预评函-3'!F2</f>
        <v>建筑物价值</v>
      </c>
    </row>
    <row r="51" spans="1:2" s="1592" customFormat="1">
      <c r="A51" s="1590" t="s">
        <v>1245</v>
      </c>
      <c r="B51" s="1591">
        <f ca="1">'预评函-3'!F4</f>
        <v>30461</v>
      </c>
    </row>
    <row r="52" spans="1:2" s="1592" customFormat="1">
      <c r="A52" s="1590" t="s">
        <v>1246</v>
      </c>
      <c r="B52" s="1591">
        <f ca="1">'预评函-3'!G4</f>
        <v>3656</v>
      </c>
    </row>
    <row r="53" spans="1:2" s="1592" customFormat="1">
      <c r="A53" s="1590" t="s">
        <v>1274</v>
      </c>
      <c r="B53" s="1591" t="str">
        <f ca="1">'预评函-3'!F5</f>
        <v>叁亿零肆佰陆拾壹万元整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抵押净值</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已设定抵押。上述权属证件中未登记该抵押权的具体情况（债权数额、期限等）。根据《房屋他项权利证书》原件，估价对象已抵押给，权利范围为，权利价值为。</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郑燚</v>
      </c>
    </row>
    <row r="71" spans="1:2">
      <c r="A71" s="1590" t="s">
        <v>1257</v>
      </c>
      <c r="B71" s="1591">
        <f ca="1">'预评函-4'!B4</f>
        <v>1120070131</v>
      </c>
    </row>
    <row r="72" spans="1:2">
      <c r="A72" s="1590" t="s">
        <v>1258</v>
      </c>
      <c r="B72" s="1599" t="str">
        <f>'预评函-4'!A5</f>
        <v>王鹏</v>
      </c>
    </row>
    <row r="73" spans="1:2" s="1586" customFormat="1" ht="15" thickBot="1">
      <c r="A73" s="1593" t="s">
        <v>1259</v>
      </c>
      <c r="B73" s="1594">
        <f ca="1">'预评函-4'!B5</f>
        <v>1120050019</v>
      </c>
    </row>
    <row r="74" spans="1:2" ht="15" thickTop="1">
      <c r="A74" s="1583" t="s">
        <v>1295</v>
      </c>
      <c r="B74" s="1600"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1141</v>
      </c>
      <c r="R1" s="2008" t="s">
        <v>1135</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1137</v>
      </c>
      <c r="S2" s="2014" t="s">
        <v>1707</v>
      </c>
      <c r="T2" s="2014" t="s">
        <v>1708</v>
      </c>
      <c r="U2" s="2014" t="s">
        <v>1707</v>
      </c>
      <c r="V2" s="2014" t="s">
        <v>1709</v>
      </c>
      <c r="W2" s="2014" t="s">
        <v>1707</v>
      </c>
    </row>
    <row r="3" spans="1:23">
      <c r="A3" s="2012" t="s">
        <v>1710</v>
      </c>
      <c r="B3" s="2015" t="s">
        <v>1142</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1136</v>
      </c>
      <c r="S3" s="2014" t="s">
        <v>1715</v>
      </c>
      <c r="T3" s="2014" t="s">
        <v>1716</v>
      </c>
      <c r="U3" s="2014" t="s">
        <v>1715</v>
      </c>
      <c r="V3" s="2014" t="s">
        <v>1717</v>
      </c>
      <c r="W3" s="2014" t="s">
        <v>1715</v>
      </c>
    </row>
    <row r="4" spans="1:23">
      <c r="A4" s="2012" t="s">
        <v>1718</v>
      </c>
      <c r="B4" s="2012" t="s">
        <v>1719</v>
      </c>
      <c r="C4" s="2013" t="s">
        <v>762</v>
      </c>
      <c r="D4" s="2014" t="s">
        <v>865</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1138</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1139</v>
      </c>
      <c r="S5" s="2014" t="s">
        <v>1730</v>
      </c>
      <c r="T5" s="2014" t="s">
        <v>1731</v>
      </c>
      <c r="U5" s="2014" t="s">
        <v>1730</v>
      </c>
      <c r="W5" s="2014" t="s">
        <v>1730</v>
      </c>
    </row>
    <row r="6" spans="1:23">
      <c r="A6" s="2012" t="s">
        <v>1732</v>
      </c>
      <c r="B6" s="2015" t="s">
        <v>1143</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1140</v>
      </c>
      <c r="S6" s="2014" t="s">
        <v>1735</v>
      </c>
      <c r="T6" s="2014"/>
      <c r="U6" s="2014" t="s">
        <v>1735</v>
      </c>
      <c r="W6" s="2014" t="s">
        <v>1735</v>
      </c>
    </row>
    <row r="7" spans="1:23">
      <c r="A7" s="2012" t="s">
        <v>1736</v>
      </c>
      <c r="B7" s="2015" t="s">
        <v>1144</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757</v>
      </c>
      <c r="C17" s="2013"/>
    </row>
    <row r="18" spans="1:3">
      <c r="A18" s="2012" t="s">
        <v>1761</v>
      </c>
      <c r="B18" s="2012" t="s">
        <v>757</v>
      </c>
      <c r="C18" s="2013"/>
    </row>
    <row r="19" spans="1:3">
      <c r="A19" s="2012" t="s">
        <v>1762</v>
      </c>
      <c r="B19" s="2012" t="s">
        <v>757</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为估价委托人在向招商银行办理贷款手续过程中，确定房地产抵押贷款额度提供参考依据而评估房地产抵押价值。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林海滩商贸有限公司拟使用北京市通州区永乐南一街9号院1号楼等7幢楼房地产作为抵押担保物，向招商银行办理贷款手续。招商银行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76"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14日，估价对象规划用途为工业厂房土地取得方式为出让，出让国有建设用地使用权剩余土地使用年限为XX年(多用途剩余年限尾数不同时，可只体现小数点后一位)，假定未设立法定优先受偿款下的房地产市场价值。</v>
      </c>
    </row>
    <row r="54" spans="1:4">
      <c r="A54" s="3076"/>
      <c r="B54" s="2020" t="s">
        <v>861</v>
      </c>
      <c r="C54" s="2017" t="s">
        <v>1277</v>
      </c>
    </row>
    <row r="55" spans="1:4">
      <c r="A55" s="3076"/>
      <c r="B55" s="2020" t="s">
        <v>862</v>
      </c>
      <c r="C55" s="2017" t="s">
        <v>1278</v>
      </c>
    </row>
    <row r="56" spans="1:4">
      <c r="A56" s="3076"/>
      <c r="B56" s="2020" t="s">
        <v>863</v>
      </c>
      <c r="C56" s="2017" t="s">
        <v>1282</v>
      </c>
    </row>
    <row r="57" spans="1:4">
      <c r="A57" s="3076"/>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13" sqref="K13"/>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4" customWidth="1"/>
    <col min="10" max="10" width="10" style="2030" customWidth="1"/>
    <col min="11" max="11" width="10" style="2155" customWidth="1"/>
    <col min="12" max="13" width="10" style="2156" customWidth="1"/>
    <col min="14" max="14" width="10" style="2030" customWidth="1"/>
    <col min="15" max="15" width="10" style="2154" customWidth="1"/>
    <col min="16" max="17" width="10" style="2030"/>
    <col min="18" max="18" width="10" style="2030" customWidth="1"/>
    <col min="19" max="16384" width="10" style="2030"/>
  </cols>
  <sheetData>
    <row r="1" spans="1:19" ht="38.25" customHeight="1" thickBot="1">
      <c r="A1" s="2023" t="s">
        <v>1770</v>
      </c>
      <c r="B1" s="3085" t="str">
        <f>IF(B10="北京市","北京市",C10)&amp;F10&amp;IF(结果表!G1="在建","出让国有建设用地使用权及在建建筑物",IF(结果表!G1="土地","出让国有建设用地使用权",))&amp;B9&amp;"预评估"</f>
        <v>北京市通州区永乐南一街9号院1号楼等7幢楼房地产抵押价值预评估</v>
      </c>
      <c r="C1" s="3086"/>
      <c r="D1" s="3086"/>
      <c r="E1" s="3086"/>
      <c r="F1" s="3086"/>
      <c r="G1" s="3086"/>
      <c r="H1" s="3086"/>
      <c r="I1" s="3087"/>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北京市通州区永乐南一街9号院1号楼等7幢楼房地产抵押价值</v>
      </c>
    </row>
    <row r="2" spans="1:19" ht="18" customHeight="1">
      <c r="A2" s="2024" t="s">
        <v>1771</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北京市通州区永乐南一街9号院1号楼等7幢楼房地产</v>
      </c>
    </row>
    <row r="3" spans="1:19" ht="18" customHeight="1">
      <c r="A3" s="2033" t="s">
        <v>1772</v>
      </c>
      <c r="B3" s="2034">
        <v>43691</v>
      </c>
      <c r="C3" s="2035" t="s">
        <v>1773</v>
      </c>
      <c r="D3" s="2034">
        <f>B3</f>
        <v>43691</v>
      </c>
      <c r="E3" s="2024"/>
      <c r="F3" s="2024"/>
      <c r="G3" s="2024"/>
      <c r="H3" s="2024"/>
      <c r="I3" s="2024"/>
      <c r="J3" s="2024"/>
      <c r="K3" s="2025"/>
      <c r="L3" s="2026"/>
      <c r="M3" s="2026"/>
      <c r="N3" s="2027"/>
      <c r="O3" s="2028"/>
      <c r="P3" s="2027"/>
      <c r="Q3" s="2027"/>
      <c r="R3" s="2027"/>
      <c r="S3" s="2029"/>
    </row>
    <row r="4" spans="1:19" ht="18" customHeight="1" thickBot="1">
      <c r="A4" s="2036" t="s">
        <v>1774</v>
      </c>
      <c r="B4" s="2037" t="s">
        <v>3049</v>
      </c>
      <c r="C4" s="1036">
        <f ca="1">SUMIF(注册房地产估价师,B4,估价师及机构信息!B3:B24)</f>
        <v>1120070131</v>
      </c>
      <c r="D4" s="2037" t="s">
        <v>3050</v>
      </c>
      <c r="E4" s="1037">
        <f ca="1">SUMIF(注册房地产估价师,D4,估价师及机构信息!B3:B24)</f>
        <v>1120050019</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郑燚（注册号：1120070131)、王鹏（注册号：1120050019)</v>
      </c>
      <c r="L4" s="2026"/>
      <c r="M4" s="2026"/>
      <c r="N4" s="2027"/>
      <c r="O4" s="2028"/>
      <c r="P4" s="2027"/>
      <c r="Q4" s="2027"/>
      <c r="R4" s="2027"/>
      <c r="S4" s="2029"/>
    </row>
    <row r="5" spans="1:19" ht="18" customHeight="1" thickTop="1">
      <c r="A5" s="2042" t="s">
        <v>1775</v>
      </c>
      <c r="B5" s="2951" t="s">
        <v>3058</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thickBot="1">
      <c r="A6" s="2045" t="s">
        <v>1776</v>
      </c>
      <c r="B6" s="2952" t="s">
        <v>3052</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thickTop="1">
      <c r="A7" s="2045" t="s">
        <v>1777</v>
      </c>
      <c r="B7" s="2951" t="s">
        <v>3051</v>
      </c>
      <c r="C7" s="2046"/>
      <c r="D7" s="2047"/>
      <c r="E7" s="2032"/>
      <c r="F7" s="2040"/>
      <c r="G7" s="2040"/>
      <c r="H7" s="2040"/>
      <c r="I7" s="2040"/>
      <c r="J7" s="2040"/>
      <c r="K7" s="2049"/>
      <c r="L7" s="2026"/>
      <c r="M7" s="2026"/>
      <c r="N7" s="2027"/>
      <c r="O7" s="2028"/>
      <c r="P7" s="2027"/>
      <c r="Q7" s="2027"/>
      <c r="R7" s="2027"/>
    </row>
    <row r="8" spans="1:19" ht="18" customHeight="1">
      <c r="A8" s="2045" t="s">
        <v>1778</v>
      </c>
      <c r="B8" s="2050" t="s">
        <v>3053</v>
      </c>
      <c r="C8" s="2051"/>
      <c r="D8" s="3088" t="s">
        <v>1779</v>
      </c>
      <c r="E8" s="2052" t="s">
        <v>3054</v>
      </c>
      <c r="F8" s="2053"/>
      <c r="G8" s="2024"/>
      <c r="H8" s="2024"/>
      <c r="I8" s="2024"/>
      <c r="J8" s="2040"/>
      <c r="K8" s="2041"/>
      <c r="L8" s="2026"/>
      <c r="M8" s="2026"/>
      <c r="N8" s="2027"/>
      <c r="O8" s="2028"/>
      <c r="P8" s="2027"/>
      <c r="Q8" s="2027"/>
      <c r="R8" s="2027"/>
    </row>
    <row r="9" spans="1:19" ht="18" customHeight="1" thickBot="1">
      <c r="A9" s="2038" t="s">
        <v>1780</v>
      </c>
      <c r="B9" s="2054" t="s">
        <v>3054</v>
      </c>
      <c r="C9" s="2055"/>
      <c r="D9" s="3089"/>
      <c r="E9" s="2054" t="s">
        <v>1281</v>
      </c>
      <c r="F9" s="2056"/>
      <c r="G9" s="2057"/>
      <c r="H9" s="2057"/>
      <c r="I9" s="2057"/>
      <c r="J9" s="2040"/>
      <c r="K9" s="2049"/>
      <c r="L9" s="2026"/>
      <c r="M9" s="2026"/>
      <c r="N9" s="2027"/>
      <c r="O9" s="2028"/>
      <c r="P9" s="2027"/>
      <c r="Q9" s="2027"/>
      <c r="R9" s="2027"/>
    </row>
    <row r="10" spans="1:19" ht="18" customHeight="1" thickTop="1">
      <c r="A10" s="2058" t="s">
        <v>1781</v>
      </c>
      <c r="B10" s="2059" t="s">
        <v>3055</v>
      </c>
      <c r="C10" s="2060"/>
      <c r="D10" s="2044"/>
      <c r="E10" s="2061" t="s">
        <v>1782</v>
      </c>
      <c r="F10" s="2062" t="s">
        <v>3056</v>
      </c>
      <c r="G10" s="2063"/>
      <c r="H10" s="2064"/>
      <c r="I10" s="2044"/>
      <c r="J10" s="2040"/>
      <c r="K10" s="2049"/>
      <c r="L10" s="2026"/>
      <c r="M10" s="2026"/>
      <c r="N10" s="2027"/>
      <c r="O10" s="2028"/>
      <c r="P10" s="2027"/>
      <c r="Q10" s="2027"/>
      <c r="R10" s="2027"/>
    </row>
    <row r="11" spans="1:19" ht="18" customHeight="1">
      <c r="A11" s="2065" t="s">
        <v>1783</v>
      </c>
      <c r="B11" s="2066" t="s">
        <v>3057</v>
      </c>
      <c r="C11" s="2953" t="s">
        <v>3051</v>
      </c>
      <c r="D11" s="2067"/>
      <c r="E11" s="2040"/>
      <c r="F11" s="2040"/>
      <c r="G11" s="2040"/>
      <c r="H11" s="2040"/>
      <c r="I11" s="2040"/>
      <c r="J11" s="2040"/>
      <c r="K11" s="2049"/>
      <c r="L11" s="2026"/>
      <c r="M11" s="2026"/>
      <c r="N11" s="2027"/>
      <c r="O11" s="2028"/>
      <c r="P11" s="2027"/>
      <c r="Q11" s="2027"/>
      <c r="R11" s="2027"/>
    </row>
    <row r="12" spans="1:19" ht="18" customHeight="1">
      <c r="A12" s="2068" t="s">
        <v>1784</v>
      </c>
      <c r="B12" s="2066" t="s">
        <v>3059</v>
      </c>
      <c r="C12" s="2069" t="s">
        <v>1785</v>
      </c>
      <c r="D12" s="2070" t="s">
        <v>1786</v>
      </c>
      <c r="E12" s="2070" t="s">
        <v>1787</v>
      </c>
      <c r="F12" s="2070" t="s">
        <v>1788</v>
      </c>
      <c r="G12" s="2070" t="s">
        <v>1789</v>
      </c>
      <c r="H12" s="2070" t="s">
        <v>1790</v>
      </c>
      <c r="I12" s="2070" t="s">
        <v>1791</v>
      </c>
      <c r="J12" s="2040"/>
      <c r="K12" s="2049"/>
      <c r="L12" s="2026"/>
      <c r="M12" s="2026"/>
      <c r="N12" s="2027"/>
      <c r="O12" s="2028"/>
      <c r="P12" s="2027"/>
      <c r="Q12" s="2027"/>
      <c r="R12" s="2027"/>
    </row>
    <row r="13" spans="1:19" ht="18" customHeight="1">
      <c r="A13" s="2071"/>
      <c r="B13" s="2072"/>
      <c r="C13" s="2073" t="s">
        <v>1792</v>
      </c>
      <c r="D13" s="2074"/>
      <c r="E13" s="2074"/>
      <c r="F13" s="2074"/>
      <c r="G13" s="2074"/>
      <c r="H13" s="2074"/>
      <c r="I13" s="1046">
        <v>54045</v>
      </c>
      <c r="J13" s="2040"/>
      <c r="K13" s="2049"/>
      <c r="L13" s="2026"/>
      <c r="M13" s="2026"/>
      <c r="N13" s="2027"/>
      <c r="O13" s="2028"/>
      <c r="P13" s="2027"/>
      <c r="Q13" s="2027"/>
      <c r="R13" s="2027"/>
    </row>
    <row r="14" spans="1:19" ht="18" customHeight="1">
      <c r="A14" s="2071"/>
      <c r="B14" s="2072"/>
      <c r="C14" s="2073" t="s">
        <v>1793</v>
      </c>
      <c r="D14" s="1049"/>
      <c r="E14" s="1049"/>
      <c r="F14" s="1049"/>
      <c r="G14" s="1049"/>
      <c r="H14" s="1049"/>
      <c r="I14" s="1049">
        <v>50</v>
      </c>
      <c r="J14" s="2040"/>
      <c r="K14" s="2075"/>
      <c r="L14" s="2026"/>
      <c r="M14" s="2026"/>
      <c r="N14" s="2027"/>
      <c r="O14" s="2028"/>
      <c r="P14" s="2027"/>
      <c r="Q14" s="2027"/>
      <c r="R14" s="2027"/>
    </row>
    <row r="15" spans="1:19" ht="18" customHeight="1">
      <c r="A15" s="2058"/>
      <c r="B15" s="2076"/>
      <c r="C15" s="2073" t="s">
        <v>1794</v>
      </c>
      <c r="D15" s="1048" t="str">
        <f>IF(B12="出让",IF(D13="","",ROUNDDOWN(MIN((D13-$D$3)/365,D14),2)),D14)</f>
        <v/>
      </c>
      <c r="E15" s="1048" t="str">
        <f>IF(B12="出让",IF(E13="","",ROUNDDOWN(MIN((E13-$D$3)/365,E14),2)),E14)</f>
        <v/>
      </c>
      <c r="F15" s="1048" t="str">
        <f>IF(B12="出让",IF(F13="","",ROUNDDOWN(MIN((F13-$D$3)/365,F14),2)),F14)</f>
        <v/>
      </c>
      <c r="G15" s="1048" t="str">
        <f>IF(B12="出让",IF(G13="","",ROUNDDOWN(MIN((G13-$D$3)/365,G14),2)),G14)</f>
        <v/>
      </c>
      <c r="H15" s="1048" t="str">
        <f>IF(B12="出让",IF(H13="","",ROUNDDOWN(MIN((H13-$D$3)/365,H14),2)),H14)</f>
        <v/>
      </c>
      <c r="I15" s="1048">
        <f>IF(B12="出让",IF(I13="","",ROUNDDOWN(MIN((I13-$D$3)/365,I14),2)),I14)</f>
        <v>28.36</v>
      </c>
      <c r="J15" s="2040"/>
      <c r="K15" s="2077"/>
      <c r="L15" s="2078"/>
      <c r="M15" s="2078"/>
      <c r="N15" s="2079"/>
      <c r="O15" s="2078"/>
      <c r="P15" s="2079"/>
      <c r="Q15" s="2027"/>
      <c r="R15" s="2027"/>
    </row>
    <row r="16" spans="1:19" ht="30.75" customHeight="1">
      <c r="A16" s="2061" t="s">
        <v>1795</v>
      </c>
      <c r="B16" s="3095" t="s">
        <v>3060</v>
      </c>
      <c r="C16" s="3096"/>
      <c r="D16" s="3097"/>
      <c r="E16" s="2080" t="s">
        <v>1796</v>
      </c>
      <c r="F16" s="3098" t="s">
        <v>3061</v>
      </c>
      <c r="G16" s="3099"/>
      <c r="H16" s="3099"/>
      <c r="I16" s="3100"/>
      <c r="J16" s="2027"/>
      <c r="K16" s="2077"/>
      <c r="L16" s="2078"/>
      <c r="M16" s="2078"/>
      <c r="N16" s="2079"/>
      <c r="O16" s="2078"/>
      <c r="P16" s="2079"/>
      <c r="Q16" s="2027"/>
      <c r="R16" s="2027"/>
    </row>
    <row r="17" spans="1:22" ht="18" customHeight="1">
      <c r="A17" s="2081" t="s">
        <v>1797</v>
      </c>
      <c r="B17" s="2033" t="s">
        <v>1798</v>
      </c>
      <c r="C17" s="1053">
        <f>'数据-汇总表'!E3</f>
        <v>83329.149999999994</v>
      </c>
      <c r="D17" s="2082" t="s">
        <v>1799</v>
      </c>
      <c r="E17" s="3101" t="s">
        <v>1800</v>
      </c>
      <c r="F17" s="3102"/>
      <c r="G17" s="3102"/>
      <c r="H17" s="3102"/>
      <c r="I17" s="3103"/>
      <c r="J17" s="2027"/>
      <c r="K17" s="2083"/>
      <c r="L17" s="2078"/>
      <c r="M17" s="2078"/>
      <c r="N17" s="2079"/>
      <c r="O17" s="2078"/>
      <c r="P17" s="2079"/>
      <c r="Q17" s="2027"/>
      <c r="R17" s="2027"/>
      <c r="S17" s="2027"/>
      <c r="T17" s="2027"/>
      <c r="U17" s="2027"/>
      <c r="V17" s="2027"/>
    </row>
    <row r="18" spans="1:22" ht="36" customHeight="1" thickBot="1">
      <c r="A18" s="2084" t="s">
        <v>1801</v>
      </c>
      <c r="B18" s="2036" t="s">
        <v>1802</v>
      </c>
      <c r="C18" s="1443">
        <f>'数据-汇总表'!D3</f>
        <v>86905.919999999998</v>
      </c>
      <c r="D18" s="2085" t="s">
        <v>1799</v>
      </c>
      <c r="E18" s="3104" t="s">
        <v>1803</v>
      </c>
      <c r="F18" s="3105"/>
      <c r="G18" s="3105"/>
      <c r="H18" s="3105"/>
      <c r="I18" s="3106"/>
      <c r="J18" s="2027"/>
      <c r="K18" s="2083"/>
      <c r="L18" s="2078"/>
      <c r="M18" s="2078"/>
      <c r="N18" s="2079"/>
      <c r="O18" s="2078"/>
      <c r="P18" s="2079"/>
      <c r="Q18" s="2027"/>
      <c r="R18" s="2027"/>
      <c r="S18" s="2027"/>
      <c r="T18" s="2027"/>
      <c r="U18" s="2027"/>
      <c r="V18" s="2027"/>
    </row>
    <row r="19" spans="1:22" ht="37.5" customHeight="1" thickTop="1" thickBot="1">
      <c r="A19" s="372" t="s">
        <v>1804</v>
      </c>
      <c r="B19" s="351" t="s">
        <v>1805</v>
      </c>
      <c r="C19" s="2086" t="s">
        <v>3062</v>
      </c>
      <c r="D19" s="2087" t="s">
        <v>1806</v>
      </c>
      <c r="E19" s="2088" t="s">
        <v>3063</v>
      </c>
      <c r="F19" s="2089" t="str">
        <f>IF(AND(C19="是",E19="否"),"是否提供他项权证或相关说明","")</f>
        <v>是否提供他项权证或相关说明</v>
      </c>
      <c r="G19" s="2090" t="s">
        <v>3062</v>
      </c>
      <c r="H19" s="2040"/>
      <c r="I19" s="2040"/>
      <c r="J19" s="2040"/>
      <c r="K19" s="2049"/>
      <c r="L19" s="2026"/>
      <c r="M19" s="2026"/>
      <c r="N19" s="2079"/>
      <c r="O19" s="2078"/>
      <c r="P19" s="2079"/>
      <c r="Q19" s="2027"/>
      <c r="R19" s="2027"/>
      <c r="S19" s="2027"/>
      <c r="T19" s="2027"/>
      <c r="U19" s="2027"/>
      <c r="V19" s="2027"/>
    </row>
    <row r="20" spans="1:22" ht="18" customHeight="1">
      <c r="A20" s="2091" t="s">
        <v>1807</v>
      </c>
      <c r="B20" s="3091" t="s">
        <v>1808</v>
      </c>
      <c r="C20" s="3092"/>
      <c r="D20" s="3093" t="s">
        <v>1809</v>
      </c>
      <c r="E20" s="3094"/>
      <c r="F20" s="2092" t="s">
        <v>1810</v>
      </c>
      <c r="G20" s="2040"/>
      <c r="H20" s="2040"/>
      <c r="I20" s="2040"/>
      <c r="J20" s="2040"/>
      <c r="K20" s="3090" t="s">
        <v>1811</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6"/>
      <c r="N20" s="2079"/>
      <c r="O20" s="2078"/>
      <c r="P20" s="2079"/>
      <c r="Q20" s="2027"/>
      <c r="R20" s="2027"/>
      <c r="S20" s="2027"/>
      <c r="T20" s="2027"/>
      <c r="U20" s="2027"/>
      <c r="V20" s="2027"/>
    </row>
    <row r="21" spans="1:22" ht="24.75" customHeight="1">
      <c r="A21" s="2091"/>
      <c r="B21" s="2093" t="s">
        <v>1812</v>
      </c>
      <c r="C21" s="2094" t="s">
        <v>1813</v>
      </c>
      <c r="D21" s="2095" t="s">
        <v>1814</v>
      </c>
      <c r="E21" s="2096" t="s">
        <v>1813</v>
      </c>
      <c r="F21" s="2097"/>
      <c r="G21" s="2040"/>
      <c r="H21" s="2040"/>
      <c r="I21" s="2040"/>
      <c r="J21" s="2040"/>
      <c r="K21" s="309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上述权属证件中未登记该抵押权的具体情况（债权数额、期限等）。根据《房屋他项权利证书》原件，估价对象已抵押给，权利范围为，权利价值为。</v>
      </c>
      <c r="M21" s="2026"/>
      <c r="N21" s="2079"/>
      <c r="O21" s="2078"/>
      <c r="P21" s="2079"/>
      <c r="Q21" s="2027"/>
      <c r="R21" s="2027"/>
      <c r="S21" s="2027"/>
      <c r="T21" s="2027"/>
      <c r="U21" s="2027"/>
      <c r="V21" s="2027"/>
    </row>
    <row r="22" spans="1:22" ht="24.75" customHeight="1" thickBot="1">
      <c r="A22" s="2091"/>
      <c r="B22" s="2098" t="s">
        <v>1815</v>
      </c>
      <c r="C22" s="2094" t="s">
        <v>1816</v>
      </c>
      <c r="D22" s="2024"/>
      <c r="E22" s="2024"/>
      <c r="F22" s="2099"/>
      <c r="G22" s="2040"/>
      <c r="H22" s="2040"/>
      <c r="I22" s="2040"/>
      <c r="J22" s="2040"/>
      <c r="K22" s="3090"/>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100" t="s">
        <v>1817</v>
      </c>
      <c r="B23" s="182" t="s">
        <v>1818</v>
      </c>
      <c r="C23" s="2101"/>
      <c r="D23" s="2102" t="s">
        <v>1818</v>
      </c>
      <c r="E23" s="2103"/>
      <c r="F23" s="2099"/>
      <c r="G23" s="2040"/>
      <c r="H23" s="2040"/>
      <c r="I23" s="2040"/>
      <c r="J23" s="2040"/>
      <c r="K23" s="2104"/>
      <c r="L23" s="747"/>
      <c r="M23" s="2026"/>
      <c r="N23" s="2079"/>
      <c r="O23" s="2078"/>
      <c r="P23" s="2079"/>
      <c r="Q23" s="2027"/>
      <c r="R23" s="2027"/>
      <c r="S23" s="2027"/>
      <c r="T23" s="2027"/>
      <c r="U23" s="2027"/>
      <c r="V23" s="2027"/>
    </row>
    <row r="24" spans="1:22" ht="18" customHeight="1">
      <c r="A24" s="2105"/>
      <c r="B24" s="182" t="s">
        <v>1819</v>
      </c>
      <c r="C24" s="2106"/>
      <c r="D24" s="2100" t="s">
        <v>1819</v>
      </c>
      <c r="E24" s="2107"/>
      <c r="F24" s="2099"/>
      <c r="G24" s="2040"/>
      <c r="H24" s="2040"/>
      <c r="I24" s="2040"/>
      <c r="J24" s="2040"/>
      <c r="K24" s="2104"/>
      <c r="L24" s="747"/>
      <c r="M24" s="2026"/>
      <c r="N24" s="2079"/>
      <c r="O24" s="2078"/>
      <c r="P24" s="2079"/>
      <c r="Q24" s="2027"/>
      <c r="R24" s="2027"/>
      <c r="S24" s="2027"/>
      <c r="T24" s="2027"/>
      <c r="U24" s="2027"/>
      <c r="V24" s="2027"/>
    </row>
    <row r="25" spans="1:22" ht="18" customHeight="1">
      <c r="A25" s="2105"/>
      <c r="B25" s="182" t="s">
        <v>1820</v>
      </c>
      <c r="C25" s="2106"/>
      <c r="D25" s="2100" t="s">
        <v>1820</v>
      </c>
      <c r="E25" s="2107"/>
      <c r="F25" s="2099"/>
      <c r="G25" s="2040"/>
      <c r="H25" s="2040"/>
      <c r="I25" s="2040"/>
      <c r="J25" s="2040"/>
      <c r="K25" s="2049"/>
      <c r="L25" s="2026"/>
      <c r="M25" s="2026"/>
      <c r="N25" s="2079"/>
      <c r="O25" s="2078"/>
      <c r="P25" s="2079"/>
      <c r="Q25" s="2027"/>
      <c r="R25" s="2027"/>
      <c r="S25" s="2027"/>
      <c r="T25" s="2027"/>
      <c r="U25" s="2027"/>
      <c r="V25" s="2027"/>
    </row>
    <row r="26" spans="1:22" ht="18" customHeight="1" thickBot="1">
      <c r="A26" s="2108"/>
      <c r="B26" s="2109" t="s">
        <v>1821</v>
      </c>
      <c r="C26" s="2110"/>
      <c r="D26" s="2111" t="s">
        <v>1822</v>
      </c>
      <c r="E26" s="2112"/>
      <c r="F26" s="2113"/>
      <c r="G26" s="2057"/>
      <c r="H26" s="2057"/>
      <c r="I26" s="2057"/>
      <c r="J26" s="2040"/>
      <c r="K26" s="2049"/>
      <c r="L26" s="2026"/>
      <c r="M26" s="2026"/>
      <c r="N26" s="2079"/>
      <c r="O26" s="2078"/>
      <c r="P26" s="2079"/>
      <c r="Q26" s="2027"/>
      <c r="R26" s="2027"/>
      <c r="S26" s="2027"/>
      <c r="T26" s="2027"/>
      <c r="U26" s="2027"/>
      <c r="V26" s="2027"/>
    </row>
    <row r="27" spans="1:22" ht="18" customHeight="1" thickTop="1">
      <c r="A27" s="3078" t="s">
        <v>1823</v>
      </c>
      <c r="B27" s="2058" t="s">
        <v>1824</v>
      </c>
      <c r="C27" s="2114"/>
      <c r="D27" s="2115"/>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078"/>
      <c r="B28" s="2033" t="s">
        <v>1825</v>
      </c>
      <c r="C28" s="2116"/>
      <c r="D28" s="2117"/>
      <c r="E28" s="2040"/>
      <c r="F28" s="2040"/>
      <c r="G28" s="2040"/>
      <c r="H28" s="2040"/>
      <c r="I28" s="2040"/>
      <c r="J28" s="2027"/>
      <c r="K28" s="2118"/>
      <c r="L28" s="2026"/>
      <c r="M28" s="2026"/>
      <c r="N28" s="2027"/>
      <c r="O28" s="2028"/>
      <c r="P28" s="2027"/>
      <c r="Q28" s="2027"/>
      <c r="R28" s="2027"/>
      <c r="S28" s="2027"/>
      <c r="T28" s="2027"/>
      <c r="U28" s="2027"/>
      <c r="V28" s="2027"/>
    </row>
    <row r="29" spans="1:22" ht="18" customHeight="1">
      <c r="A29" s="3078"/>
      <c r="B29" s="2033" t="s">
        <v>1826</v>
      </c>
      <c r="C29" s="2119"/>
      <c r="D29" s="2120"/>
      <c r="E29" s="2040"/>
      <c r="F29" s="2040"/>
      <c r="G29" s="2040"/>
      <c r="H29" s="2040"/>
      <c r="I29" s="2040"/>
      <c r="J29" s="2027"/>
      <c r="K29" s="2118"/>
      <c r="L29" s="2026"/>
      <c r="M29" s="2026"/>
      <c r="N29" s="2027"/>
      <c r="O29" s="2028"/>
      <c r="P29" s="2027"/>
      <c r="Q29" s="2027"/>
      <c r="R29" s="2027"/>
      <c r="S29" s="2027"/>
      <c r="T29" s="2027"/>
      <c r="U29" s="2027"/>
      <c r="V29" s="2027"/>
    </row>
    <row r="30" spans="1:22" ht="18" customHeight="1">
      <c r="A30" s="3079"/>
      <c r="B30" s="2033" t="s">
        <v>1827</v>
      </c>
      <c r="C30" s="3080"/>
      <c r="D30" s="3081"/>
      <c r="E30" s="2040"/>
      <c r="F30" s="2040"/>
      <c r="G30" s="2040"/>
      <c r="H30" s="2040"/>
      <c r="I30" s="2040"/>
      <c r="J30" s="2027"/>
      <c r="K30" s="2118"/>
      <c r="L30" s="2026"/>
      <c r="M30" s="2026"/>
      <c r="N30" s="2027"/>
      <c r="O30" s="2028"/>
      <c r="P30" s="2027"/>
      <c r="Q30" s="2027"/>
      <c r="R30" s="2027"/>
      <c r="S30" s="2027"/>
      <c r="T30" s="2027"/>
      <c r="U30" s="2027"/>
      <c r="V30" s="2027"/>
    </row>
    <row r="31" spans="1:22" ht="18" customHeight="1">
      <c r="A31" s="3082" t="s">
        <v>1828</v>
      </c>
      <c r="B31" s="2121"/>
      <c r="C31" s="2122" t="str">
        <f>IF(B31="现房","成新及维护状况正常否",IF(B31="在建","工程状态是否正常",IF(B31="土地","是否闲置","-")))</f>
        <v>-</v>
      </c>
      <c r="D31" s="2123"/>
      <c r="E31" s="2124"/>
      <c r="F31" s="2040"/>
      <c r="G31" s="2040"/>
      <c r="H31" s="2040"/>
      <c r="I31" s="2040"/>
      <c r="J31" s="2040"/>
      <c r="K31" s="2048"/>
      <c r="L31" s="2026"/>
      <c r="M31" s="2026"/>
      <c r="N31" s="2027"/>
      <c r="O31" s="2028"/>
      <c r="P31" s="2027"/>
      <c r="Q31" s="2027"/>
      <c r="R31" s="2027"/>
      <c r="S31" s="2027"/>
      <c r="T31" s="2027"/>
      <c r="U31" s="2027"/>
      <c r="V31" s="2027"/>
    </row>
    <row r="32" spans="1:22" ht="18" customHeight="1">
      <c r="A32" s="3083"/>
      <c r="B32" s="2121"/>
      <c r="C32" s="2122" t="str">
        <f>IF(B32="现房","成新及维护状况是否正常",IF(B32="在建","工程状态是否正常",IF(B32="土地","是否闲置","-")))</f>
        <v>-</v>
      </c>
      <c r="D32" s="2123"/>
      <c r="E32" s="2124"/>
      <c r="F32" s="2040"/>
      <c r="G32" s="2040"/>
      <c r="H32" s="2040"/>
      <c r="I32" s="2040"/>
      <c r="J32" s="2040"/>
      <c r="K32" s="2049"/>
      <c r="L32" s="2026"/>
      <c r="M32" s="2026"/>
      <c r="N32" s="2027"/>
      <c r="O32" s="2028"/>
      <c r="P32" s="2027"/>
      <c r="Q32" s="2027"/>
      <c r="R32" s="2027"/>
      <c r="S32" s="2027"/>
      <c r="T32" s="2027"/>
      <c r="U32" s="2027"/>
      <c r="V32" s="2027"/>
    </row>
    <row r="33" spans="1:22" ht="18" customHeight="1">
      <c r="A33" s="3083"/>
      <c r="B33" s="2125"/>
      <c r="C33" s="2065" t="str">
        <f>IF(B33="现房","成新及维护状况是否正常",IF(B33="在建","工程状态是否正常",IF(B33="土地","是否闲置","-")))</f>
        <v>-</v>
      </c>
      <c r="D33" s="2126"/>
      <c r="E33" s="2127"/>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1829</v>
      </c>
      <c r="B34" s="2128"/>
      <c r="C34" s="2128"/>
      <c r="D34" s="2128"/>
      <c r="E34" s="2128"/>
      <c r="F34" s="2128"/>
      <c r="G34" s="2128"/>
      <c r="H34" s="2128"/>
      <c r="I34" s="2040"/>
      <c r="J34" s="2040"/>
      <c r="K34" s="1794">
        <f>COUNTIF(B34:H34,"——")</f>
        <v>0</v>
      </c>
      <c r="L34" s="2069" t="s">
        <v>1830</v>
      </c>
      <c r="M34" s="2069" t="s">
        <v>1831</v>
      </c>
      <c r="N34" s="2069" t="s">
        <v>1832</v>
      </c>
      <c r="O34" s="2069" t="s">
        <v>1833</v>
      </c>
      <c r="P34" s="2069" t="s">
        <v>1834</v>
      </c>
      <c r="Q34" s="2069" t="s">
        <v>1835</v>
      </c>
      <c r="R34" s="2069" t="s">
        <v>1836</v>
      </c>
      <c r="S34" s="3077" t="s">
        <v>1837</v>
      </c>
      <c r="T34" s="2129" t="str">
        <f>NUMBERSTRING(7-K34,1)&amp;"通"</f>
        <v>七通</v>
      </c>
      <c r="U34" s="2027"/>
      <c r="V34" s="2027"/>
    </row>
    <row r="35" spans="1:22" ht="18" customHeight="1">
      <c r="A35" s="2130"/>
      <c r="B35" s="3084" t="s">
        <v>1838</v>
      </c>
      <c r="C35" s="3084"/>
      <c r="D35" s="3084"/>
      <c r="E35" s="3084"/>
      <c r="F35" s="2131">
        <f>C10</f>
        <v>0</v>
      </c>
      <c r="G35" s="2040"/>
      <c r="H35" s="2040"/>
      <c r="I35" s="2040"/>
      <c r="J35" s="2040"/>
      <c r="K35" s="2069"/>
      <c r="L35" s="206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77"/>
      <c r="T35" s="48" t="str">
        <f>IF(T34="一通",L35,IF(T34="二通",M35,IF(T34="三通",N35,IF(T34="四通",O35,IF(T34="五通",P35,IF(T34="六通",Q35,R35))))))</f>
        <v>、、、、、、</v>
      </c>
      <c r="U35" s="2027"/>
      <c r="V35" s="2027"/>
    </row>
    <row r="36" spans="1:22" ht="18" customHeight="1">
      <c r="A36" s="2132"/>
      <c r="B36" s="2131" t="s">
        <v>1839</v>
      </c>
      <c r="C36" s="2131" t="s">
        <v>1840</v>
      </c>
      <c r="D36" s="2131" t="s">
        <v>1841</v>
      </c>
      <c r="E36" s="2131" t="s">
        <v>1842</v>
      </c>
      <c r="F36" s="2133"/>
      <c r="G36" s="2040"/>
      <c r="H36" s="2040"/>
      <c r="I36" s="2040"/>
      <c r="J36" s="2040"/>
      <c r="K36" s="2049"/>
      <c r="L36" s="2026"/>
      <c r="M36" s="2026"/>
      <c r="N36" s="2027"/>
      <c r="O36" s="2028"/>
      <c r="P36" s="2027"/>
      <c r="Q36" s="2027"/>
      <c r="R36" s="2027"/>
      <c r="S36" s="2027"/>
      <c r="T36" s="2027"/>
      <c r="U36" s="2027"/>
      <c r="V36" s="2027"/>
    </row>
    <row r="37" spans="1:22" ht="18" customHeight="1">
      <c r="A37" s="2134" t="s">
        <v>1843</v>
      </c>
      <c r="B37" s="2135"/>
      <c r="C37" s="2135"/>
      <c r="D37" s="2135"/>
      <c r="E37" s="2135" t="s">
        <v>534</v>
      </c>
      <c r="F37" s="2133"/>
      <c r="G37" s="2040"/>
      <c r="H37" s="2040"/>
      <c r="I37" s="2040"/>
      <c r="J37" s="2040"/>
      <c r="K37" s="2049"/>
      <c r="L37" s="2026"/>
      <c r="M37" s="2026"/>
      <c r="N37" s="2027"/>
      <c r="O37" s="2028"/>
      <c r="P37" s="2027"/>
      <c r="Q37" s="2027"/>
      <c r="R37" s="2027"/>
      <c r="S37" s="2027"/>
      <c r="T37" s="2027"/>
      <c r="U37" s="2027"/>
      <c r="V37" s="2027"/>
    </row>
    <row r="38" spans="1:22" ht="18" customHeight="1" thickBot="1">
      <c r="A38" s="2136" t="s">
        <v>1844</v>
      </c>
      <c r="B38" s="2137"/>
      <c r="C38" s="2137"/>
      <c r="D38" s="2137"/>
      <c r="E38" s="2137" t="s">
        <v>3064</v>
      </c>
      <c r="F38" s="2138"/>
      <c r="G38" s="2057"/>
      <c r="H38" s="2057"/>
      <c r="I38" s="2057"/>
      <c r="J38" s="2040"/>
      <c r="K38" s="2049"/>
      <c r="L38" s="2026"/>
      <c r="M38" s="2026"/>
      <c r="N38" s="2027"/>
      <c r="O38" s="2028"/>
      <c r="P38" s="2027"/>
      <c r="Q38" s="2027"/>
      <c r="R38" s="2027"/>
      <c r="S38" s="2027"/>
      <c r="T38" s="2027"/>
      <c r="U38" s="2027"/>
      <c r="V38" s="2027"/>
    </row>
    <row r="39" spans="1:22" s="2143" customFormat="1" ht="18" customHeight="1" thickTop="1" thickBot="1">
      <c r="A39" s="2139" t="s">
        <v>1845</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7"/>
      <c r="B40" s="2027"/>
      <c r="C40" s="2027"/>
      <c r="D40" s="2027"/>
      <c r="E40" s="2027"/>
      <c r="F40" s="2027"/>
      <c r="G40" s="2027"/>
      <c r="H40" s="2027"/>
      <c r="I40" s="2144"/>
      <c r="J40" s="2079"/>
      <c r="K40" s="665"/>
      <c r="L40" s="2078"/>
      <c r="M40" s="2078"/>
      <c r="N40" s="2079"/>
      <c r="O40" s="2078"/>
      <c r="P40" s="2027"/>
      <c r="Q40" s="2027"/>
      <c r="R40" s="2027"/>
      <c r="S40" s="2027"/>
      <c r="T40" s="2027"/>
      <c r="U40" s="2027"/>
      <c r="V40" s="2027"/>
    </row>
    <row r="41" spans="1:22" ht="18" customHeight="1">
      <c r="A41" s="8" t="s">
        <v>1846</v>
      </c>
      <c r="B41" s="2145"/>
      <c r="C41" s="2146"/>
      <c r="D41" s="2027"/>
      <c r="E41" s="2027"/>
      <c r="F41" s="2027"/>
      <c r="G41" s="2027"/>
      <c r="H41" s="2027"/>
      <c r="I41" s="2028"/>
      <c r="J41" s="2027"/>
      <c r="K41" s="2118"/>
      <c r="L41" s="2026"/>
      <c r="M41" s="2026"/>
      <c r="N41" s="2027"/>
      <c r="O41" s="2028"/>
      <c r="P41" s="2027"/>
      <c r="Q41" s="2027"/>
      <c r="R41" s="2027"/>
      <c r="S41" s="2027"/>
      <c r="T41" s="2027"/>
      <c r="U41" s="2027"/>
      <c r="V41" s="2027"/>
    </row>
    <row r="42" spans="1:22" ht="18" customHeight="1">
      <c r="A42" s="2069" t="s">
        <v>1847</v>
      </c>
      <c r="B42" s="1794" t="s">
        <v>1848</v>
      </c>
      <c r="C42" s="1794" t="s">
        <v>1849</v>
      </c>
      <c r="D42" s="1794" t="s">
        <v>1850</v>
      </c>
      <c r="E42" s="1794" t="s">
        <v>1851</v>
      </c>
      <c r="F42" s="1794" t="s">
        <v>1852</v>
      </c>
      <c r="G42" s="1794" t="s">
        <v>1853</v>
      </c>
      <c r="H42" s="1794" t="s">
        <v>1854</v>
      </c>
      <c r="I42" s="1794" t="s">
        <v>1855</v>
      </c>
      <c r="J42" s="2147" t="s">
        <v>1856</v>
      </c>
      <c r="K42" s="2070" t="s">
        <v>1857</v>
      </c>
      <c r="L42" s="2070" t="s">
        <v>1858</v>
      </c>
      <c r="M42" s="2070" t="s">
        <v>1859</v>
      </c>
      <c r="N42" s="1794" t="s">
        <v>1860</v>
      </c>
      <c r="O42" s="1794" t="s">
        <v>1861</v>
      </c>
      <c r="P42" s="1794" t="s">
        <v>1862</v>
      </c>
      <c r="Q42" s="2069" t="s">
        <v>1863</v>
      </c>
      <c r="R42" s="2069" t="s">
        <v>1864</v>
      </c>
      <c r="S42" s="2027"/>
      <c r="T42" s="2027"/>
      <c r="U42" s="2027"/>
      <c r="V42" s="2027"/>
    </row>
    <row r="43" spans="1:22" s="2152" customFormat="1" ht="18" customHeight="1">
      <c r="A43" s="2148"/>
      <c r="B43" s="1271"/>
      <c r="C43" s="1271"/>
      <c r="D43" s="1271"/>
      <c r="E43" s="1271"/>
      <c r="F43" s="1271"/>
      <c r="G43" s="1271"/>
      <c r="H43" s="9"/>
      <c r="I43" s="9"/>
      <c r="J43" s="2149"/>
      <c r="K43" s="2150"/>
      <c r="L43" s="2150"/>
      <c r="M43" s="9"/>
      <c r="N43" s="1271"/>
      <c r="O43" s="9"/>
      <c r="P43" s="1271"/>
      <c r="Q43" s="1271"/>
      <c r="R43" s="1271"/>
      <c r="S43" s="2151"/>
      <c r="T43" s="2151"/>
      <c r="U43" s="2151"/>
      <c r="V43" s="2151"/>
    </row>
    <row r="44" spans="1:22" s="2152" customFormat="1" ht="18" customHeight="1">
      <c r="A44" s="2148"/>
      <c r="B44" s="2148"/>
      <c r="C44" s="1271"/>
      <c r="D44" s="1271"/>
      <c r="E44" s="1271"/>
      <c r="F44" s="1271"/>
      <c r="G44" s="1271"/>
      <c r="H44" s="9"/>
      <c r="I44" s="9"/>
      <c r="J44" s="2149"/>
      <c r="K44" s="2150"/>
      <c r="L44" s="2150"/>
      <c r="M44" s="9"/>
      <c r="N44" s="1271"/>
      <c r="O44" s="9"/>
      <c r="P44" s="1271"/>
      <c r="Q44" s="1271"/>
      <c r="R44" s="1271"/>
      <c r="S44" s="2151"/>
      <c r="T44" s="2151"/>
      <c r="U44" s="2151"/>
      <c r="V44" s="2151"/>
    </row>
    <row r="45" spans="1:22" s="2152" customFormat="1" ht="18" customHeight="1">
      <c r="A45" s="2148"/>
      <c r="B45" s="2148"/>
      <c r="C45" s="1271"/>
      <c r="D45" s="1271"/>
      <c r="E45" s="1271"/>
      <c r="F45" s="1271"/>
      <c r="G45" s="1271"/>
      <c r="H45" s="9"/>
      <c r="I45" s="9"/>
      <c r="J45" s="2149"/>
      <c r="K45" s="2150"/>
      <c r="L45" s="2150"/>
      <c r="M45" s="9"/>
      <c r="N45" s="1271"/>
      <c r="O45" s="9"/>
      <c r="P45" s="1271"/>
      <c r="Q45" s="1271"/>
      <c r="R45" s="1271"/>
      <c r="S45" s="2151"/>
      <c r="T45" s="2151"/>
      <c r="U45" s="2151"/>
      <c r="V45" s="2151"/>
    </row>
    <row r="46" spans="1:22" s="2152" customFormat="1" ht="18" customHeight="1">
      <c r="A46" s="2148"/>
      <c r="B46" s="2148"/>
      <c r="C46" s="1271"/>
      <c r="D46" s="1271"/>
      <c r="E46" s="1271"/>
      <c r="F46" s="1271"/>
      <c r="G46" s="1271"/>
      <c r="H46" s="9"/>
      <c r="I46" s="9"/>
      <c r="J46" s="2149"/>
      <c r="K46" s="2150"/>
      <c r="L46" s="2150"/>
      <c r="M46" s="9"/>
      <c r="N46" s="1271"/>
      <c r="O46" s="9"/>
      <c r="P46" s="1271"/>
      <c r="Q46" s="1271"/>
      <c r="R46" s="1271"/>
      <c r="S46" s="2151"/>
      <c r="T46" s="2151"/>
      <c r="U46" s="2151"/>
      <c r="V46" s="2151"/>
    </row>
    <row r="47" spans="1:22" s="2152" customFormat="1" ht="18" customHeight="1">
      <c r="A47" s="2148"/>
      <c r="B47" s="2148"/>
      <c r="C47" s="1271"/>
      <c r="D47" s="1271"/>
      <c r="E47" s="1271"/>
      <c r="F47" s="1271"/>
      <c r="G47" s="1271"/>
      <c r="H47" s="9"/>
      <c r="I47" s="9"/>
      <c r="J47" s="2149"/>
      <c r="K47" s="2150"/>
      <c r="L47" s="2150"/>
      <c r="M47" s="9"/>
      <c r="N47" s="1271"/>
      <c r="O47" s="9"/>
      <c r="P47" s="1271"/>
      <c r="Q47" s="1271"/>
      <c r="R47" s="1271"/>
      <c r="S47" s="2151"/>
      <c r="T47" s="2151"/>
      <c r="U47" s="2151"/>
      <c r="V47" s="2151"/>
    </row>
    <row r="48" spans="1:22" s="2152" customFormat="1" ht="18" customHeight="1">
      <c r="A48" s="2148"/>
      <c r="B48" s="2148"/>
      <c r="C48" s="1271"/>
      <c r="D48" s="1271"/>
      <c r="E48" s="1271"/>
      <c r="F48" s="1271"/>
      <c r="G48" s="1271"/>
      <c r="H48" s="9"/>
      <c r="I48" s="9"/>
      <c r="J48" s="2149"/>
      <c r="K48" s="2150"/>
      <c r="L48" s="2150"/>
      <c r="M48" s="9"/>
      <c r="N48" s="1271"/>
      <c r="O48" s="9"/>
      <c r="P48" s="1271"/>
      <c r="Q48" s="1271"/>
      <c r="R48" s="1271"/>
      <c r="S48" s="2151"/>
      <c r="T48" s="2151"/>
      <c r="U48" s="2151"/>
      <c r="V48" s="2151"/>
    </row>
    <row r="49" spans="1:22" s="2152" customFormat="1" ht="18" customHeight="1">
      <c r="A49" s="2148"/>
      <c r="B49" s="2148"/>
      <c r="C49" s="1271"/>
      <c r="D49" s="1271"/>
      <c r="E49" s="1271"/>
      <c r="F49" s="1271"/>
      <c r="G49" s="1271"/>
      <c r="H49" s="9"/>
      <c r="I49" s="9"/>
      <c r="J49" s="2149"/>
      <c r="K49" s="2150"/>
      <c r="L49" s="2150"/>
      <c r="M49" s="9"/>
      <c r="N49" s="1271"/>
      <c r="O49" s="9"/>
      <c r="P49" s="1271"/>
      <c r="Q49" s="1271"/>
      <c r="R49" s="1271"/>
      <c r="S49" s="2151"/>
      <c r="T49" s="2151"/>
      <c r="U49" s="2151"/>
      <c r="V49" s="2151"/>
    </row>
    <row r="50" spans="1:22" s="2152" customFormat="1" ht="18" customHeight="1">
      <c r="A50" s="2148"/>
      <c r="B50" s="2148"/>
      <c r="C50" s="1271"/>
      <c r="D50" s="1271"/>
      <c r="E50" s="1271"/>
      <c r="F50" s="1271"/>
      <c r="G50" s="1271"/>
      <c r="H50" s="9"/>
      <c r="I50" s="9"/>
      <c r="J50" s="2149"/>
      <c r="K50" s="2150"/>
      <c r="L50" s="2150"/>
      <c r="M50" s="9"/>
      <c r="N50" s="1271"/>
      <c r="O50" s="9"/>
      <c r="P50" s="1271"/>
      <c r="Q50" s="1271"/>
      <c r="R50" s="1271"/>
      <c r="S50" s="2151"/>
      <c r="T50" s="2151"/>
      <c r="U50" s="2151"/>
      <c r="V50" s="2151"/>
    </row>
    <row r="51" spans="1:22" s="2152" customFormat="1" ht="18" customHeight="1">
      <c r="A51" s="2148"/>
      <c r="B51" s="2148"/>
      <c r="C51" s="1271"/>
      <c r="D51" s="1271"/>
      <c r="E51" s="1271"/>
      <c r="F51" s="1271"/>
      <c r="G51" s="1271"/>
      <c r="H51" s="9"/>
      <c r="I51" s="9"/>
      <c r="J51" s="2149"/>
      <c r="K51" s="2150"/>
      <c r="L51" s="2150"/>
      <c r="M51" s="9"/>
      <c r="N51" s="1271"/>
      <c r="O51" s="9"/>
      <c r="P51" s="1271"/>
      <c r="Q51" s="1271"/>
      <c r="R51" s="1271"/>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zoomScaleSheetLayoutView="100" workbookViewId="0">
      <selection activeCell="G20" sqref="G20"/>
    </sheetView>
  </sheetViews>
  <sheetFormatPr defaultRowHeight="17.25"/>
  <cols>
    <col min="1" max="1" width="13.75" style="2957" customWidth="1"/>
    <col min="2" max="2" width="45.375" style="2957" customWidth="1"/>
    <col min="3" max="3" width="11.75" style="2957" bestFit="1" customWidth="1"/>
    <col min="4" max="4" width="11.75" style="2957" customWidth="1"/>
    <col min="5" max="5" width="18" style="2957" customWidth="1"/>
    <col min="6" max="256" width="9" style="2957"/>
    <col min="257" max="257" width="13.75" style="2957" customWidth="1"/>
    <col min="258" max="258" width="40.875" style="2957" customWidth="1"/>
    <col min="259" max="259" width="11.75" style="2957" bestFit="1" customWidth="1"/>
    <col min="260" max="260" width="11.75" style="2957" customWidth="1"/>
    <col min="261" max="261" width="12.375" style="2957" customWidth="1"/>
    <col min="262" max="512" width="9" style="2957"/>
    <col min="513" max="513" width="13.75" style="2957" customWidth="1"/>
    <col min="514" max="514" width="40.875" style="2957" customWidth="1"/>
    <col min="515" max="515" width="11.75" style="2957" bestFit="1" customWidth="1"/>
    <col min="516" max="516" width="11.75" style="2957" customWidth="1"/>
    <col min="517" max="517" width="12.375" style="2957" customWidth="1"/>
    <col min="518" max="768" width="9" style="2957"/>
    <col min="769" max="769" width="13.75" style="2957" customWidth="1"/>
    <col min="770" max="770" width="40.875" style="2957" customWidth="1"/>
    <col min="771" max="771" width="11.75" style="2957" bestFit="1" customWidth="1"/>
    <col min="772" max="772" width="11.75" style="2957" customWidth="1"/>
    <col min="773" max="773" width="12.375" style="2957" customWidth="1"/>
    <col min="774" max="1024" width="9" style="2957"/>
    <col min="1025" max="1025" width="13.75" style="2957" customWidth="1"/>
    <col min="1026" max="1026" width="40.875" style="2957" customWidth="1"/>
    <col min="1027" max="1027" width="11.75" style="2957" bestFit="1" customWidth="1"/>
    <col min="1028" max="1028" width="11.75" style="2957" customWidth="1"/>
    <col min="1029" max="1029" width="12.375" style="2957" customWidth="1"/>
    <col min="1030" max="1280" width="9" style="2957"/>
    <col min="1281" max="1281" width="13.75" style="2957" customWidth="1"/>
    <col min="1282" max="1282" width="40.875" style="2957" customWidth="1"/>
    <col min="1283" max="1283" width="11.75" style="2957" bestFit="1" customWidth="1"/>
    <col min="1284" max="1284" width="11.75" style="2957" customWidth="1"/>
    <col min="1285" max="1285" width="12.375" style="2957" customWidth="1"/>
    <col min="1286" max="1536" width="9" style="2957"/>
    <col min="1537" max="1537" width="13.75" style="2957" customWidth="1"/>
    <col min="1538" max="1538" width="40.875" style="2957" customWidth="1"/>
    <col min="1539" max="1539" width="11.75" style="2957" bestFit="1" customWidth="1"/>
    <col min="1540" max="1540" width="11.75" style="2957" customWidth="1"/>
    <col min="1541" max="1541" width="12.375" style="2957" customWidth="1"/>
    <col min="1542" max="1792" width="9" style="2957"/>
    <col min="1793" max="1793" width="13.75" style="2957" customWidth="1"/>
    <col min="1794" max="1794" width="40.875" style="2957" customWidth="1"/>
    <col min="1795" max="1795" width="11.75" style="2957" bestFit="1" customWidth="1"/>
    <col min="1796" max="1796" width="11.75" style="2957" customWidth="1"/>
    <col min="1797" max="1797" width="12.375" style="2957" customWidth="1"/>
    <col min="1798" max="2048" width="9" style="2957"/>
    <col min="2049" max="2049" width="13.75" style="2957" customWidth="1"/>
    <col min="2050" max="2050" width="40.875" style="2957" customWidth="1"/>
    <col min="2051" max="2051" width="11.75" style="2957" bestFit="1" customWidth="1"/>
    <col min="2052" max="2052" width="11.75" style="2957" customWidth="1"/>
    <col min="2053" max="2053" width="12.375" style="2957" customWidth="1"/>
    <col min="2054" max="2304" width="9" style="2957"/>
    <col min="2305" max="2305" width="13.75" style="2957" customWidth="1"/>
    <col min="2306" max="2306" width="40.875" style="2957" customWidth="1"/>
    <col min="2307" max="2307" width="11.75" style="2957" bestFit="1" customWidth="1"/>
    <col min="2308" max="2308" width="11.75" style="2957" customWidth="1"/>
    <col min="2309" max="2309" width="12.375" style="2957" customWidth="1"/>
    <col min="2310" max="2560" width="9" style="2957"/>
    <col min="2561" max="2561" width="13.75" style="2957" customWidth="1"/>
    <col min="2562" max="2562" width="40.875" style="2957" customWidth="1"/>
    <col min="2563" max="2563" width="11.75" style="2957" bestFit="1" customWidth="1"/>
    <col min="2564" max="2564" width="11.75" style="2957" customWidth="1"/>
    <col min="2565" max="2565" width="12.375" style="2957" customWidth="1"/>
    <col min="2566" max="2816" width="9" style="2957"/>
    <col min="2817" max="2817" width="13.75" style="2957" customWidth="1"/>
    <col min="2818" max="2818" width="40.875" style="2957" customWidth="1"/>
    <col min="2819" max="2819" width="11.75" style="2957" bestFit="1" customWidth="1"/>
    <col min="2820" max="2820" width="11.75" style="2957" customWidth="1"/>
    <col min="2821" max="2821" width="12.375" style="2957" customWidth="1"/>
    <col min="2822" max="3072" width="9" style="2957"/>
    <col min="3073" max="3073" width="13.75" style="2957" customWidth="1"/>
    <col min="3074" max="3074" width="40.875" style="2957" customWidth="1"/>
    <col min="3075" max="3075" width="11.75" style="2957" bestFit="1" customWidth="1"/>
    <col min="3076" max="3076" width="11.75" style="2957" customWidth="1"/>
    <col min="3077" max="3077" width="12.375" style="2957" customWidth="1"/>
    <col min="3078" max="3328" width="9" style="2957"/>
    <col min="3329" max="3329" width="13.75" style="2957" customWidth="1"/>
    <col min="3330" max="3330" width="40.875" style="2957" customWidth="1"/>
    <col min="3331" max="3331" width="11.75" style="2957" bestFit="1" customWidth="1"/>
    <col min="3332" max="3332" width="11.75" style="2957" customWidth="1"/>
    <col min="3333" max="3333" width="12.375" style="2957" customWidth="1"/>
    <col min="3334" max="3584" width="9" style="2957"/>
    <col min="3585" max="3585" width="13.75" style="2957" customWidth="1"/>
    <col min="3586" max="3586" width="40.875" style="2957" customWidth="1"/>
    <col min="3587" max="3587" width="11.75" style="2957" bestFit="1" customWidth="1"/>
    <col min="3588" max="3588" width="11.75" style="2957" customWidth="1"/>
    <col min="3589" max="3589" width="12.375" style="2957" customWidth="1"/>
    <col min="3590" max="3840" width="9" style="2957"/>
    <col min="3841" max="3841" width="13.75" style="2957" customWidth="1"/>
    <col min="3842" max="3842" width="40.875" style="2957" customWidth="1"/>
    <col min="3843" max="3843" width="11.75" style="2957" bestFit="1" customWidth="1"/>
    <col min="3844" max="3844" width="11.75" style="2957" customWidth="1"/>
    <col min="3845" max="3845" width="12.375" style="2957" customWidth="1"/>
    <col min="3846" max="4096" width="9" style="2957"/>
    <col min="4097" max="4097" width="13.75" style="2957" customWidth="1"/>
    <col min="4098" max="4098" width="40.875" style="2957" customWidth="1"/>
    <col min="4099" max="4099" width="11.75" style="2957" bestFit="1" customWidth="1"/>
    <col min="4100" max="4100" width="11.75" style="2957" customWidth="1"/>
    <col min="4101" max="4101" width="12.375" style="2957" customWidth="1"/>
    <col min="4102" max="4352" width="9" style="2957"/>
    <col min="4353" max="4353" width="13.75" style="2957" customWidth="1"/>
    <col min="4354" max="4354" width="40.875" style="2957" customWidth="1"/>
    <col min="4355" max="4355" width="11.75" style="2957" bestFit="1" customWidth="1"/>
    <col min="4356" max="4356" width="11.75" style="2957" customWidth="1"/>
    <col min="4357" max="4357" width="12.375" style="2957" customWidth="1"/>
    <col min="4358" max="4608" width="9" style="2957"/>
    <col min="4609" max="4609" width="13.75" style="2957" customWidth="1"/>
    <col min="4610" max="4610" width="40.875" style="2957" customWidth="1"/>
    <col min="4611" max="4611" width="11.75" style="2957" bestFit="1" customWidth="1"/>
    <col min="4612" max="4612" width="11.75" style="2957" customWidth="1"/>
    <col min="4613" max="4613" width="12.375" style="2957" customWidth="1"/>
    <col min="4614" max="4864" width="9" style="2957"/>
    <col min="4865" max="4865" width="13.75" style="2957" customWidth="1"/>
    <col min="4866" max="4866" width="40.875" style="2957" customWidth="1"/>
    <col min="4867" max="4867" width="11.75" style="2957" bestFit="1" customWidth="1"/>
    <col min="4868" max="4868" width="11.75" style="2957" customWidth="1"/>
    <col min="4869" max="4869" width="12.375" style="2957" customWidth="1"/>
    <col min="4870" max="5120" width="9" style="2957"/>
    <col min="5121" max="5121" width="13.75" style="2957" customWidth="1"/>
    <col min="5122" max="5122" width="40.875" style="2957" customWidth="1"/>
    <col min="5123" max="5123" width="11.75" style="2957" bestFit="1" customWidth="1"/>
    <col min="5124" max="5124" width="11.75" style="2957" customWidth="1"/>
    <col min="5125" max="5125" width="12.375" style="2957" customWidth="1"/>
    <col min="5126" max="5376" width="9" style="2957"/>
    <col min="5377" max="5377" width="13.75" style="2957" customWidth="1"/>
    <col min="5378" max="5378" width="40.875" style="2957" customWidth="1"/>
    <col min="5379" max="5379" width="11.75" style="2957" bestFit="1" customWidth="1"/>
    <col min="5380" max="5380" width="11.75" style="2957" customWidth="1"/>
    <col min="5381" max="5381" width="12.375" style="2957" customWidth="1"/>
    <col min="5382" max="5632" width="9" style="2957"/>
    <col min="5633" max="5633" width="13.75" style="2957" customWidth="1"/>
    <col min="5634" max="5634" width="40.875" style="2957" customWidth="1"/>
    <col min="5635" max="5635" width="11.75" style="2957" bestFit="1" customWidth="1"/>
    <col min="5636" max="5636" width="11.75" style="2957" customWidth="1"/>
    <col min="5637" max="5637" width="12.375" style="2957" customWidth="1"/>
    <col min="5638" max="5888" width="9" style="2957"/>
    <col min="5889" max="5889" width="13.75" style="2957" customWidth="1"/>
    <col min="5890" max="5890" width="40.875" style="2957" customWidth="1"/>
    <col min="5891" max="5891" width="11.75" style="2957" bestFit="1" customWidth="1"/>
    <col min="5892" max="5892" width="11.75" style="2957" customWidth="1"/>
    <col min="5893" max="5893" width="12.375" style="2957" customWidth="1"/>
    <col min="5894" max="6144" width="9" style="2957"/>
    <col min="6145" max="6145" width="13.75" style="2957" customWidth="1"/>
    <col min="6146" max="6146" width="40.875" style="2957" customWidth="1"/>
    <col min="6147" max="6147" width="11.75" style="2957" bestFit="1" customWidth="1"/>
    <col min="6148" max="6148" width="11.75" style="2957" customWidth="1"/>
    <col min="6149" max="6149" width="12.375" style="2957" customWidth="1"/>
    <col min="6150" max="6400" width="9" style="2957"/>
    <col min="6401" max="6401" width="13.75" style="2957" customWidth="1"/>
    <col min="6402" max="6402" width="40.875" style="2957" customWidth="1"/>
    <col min="6403" max="6403" width="11.75" style="2957" bestFit="1" customWidth="1"/>
    <col min="6404" max="6404" width="11.75" style="2957" customWidth="1"/>
    <col min="6405" max="6405" width="12.375" style="2957" customWidth="1"/>
    <col min="6406" max="6656" width="9" style="2957"/>
    <col min="6657" max="6657" width="13.75" style="2957" customWidth="1"/>
    <col min="6658" max="6658" width="40.875" style="2957" customWidth="1"/>
    <col min="6659" max="6659" width="11.75" style="2957" bestFit="1" customWidth="1"/>
    <col min="6660" max="6660" width="11.75" style="2957" customWidth="1"/>
    <col min="6661" max="6661" width="12.375" style="2957" customWidth="1"/>
    <col min="6662" max="6912" width="9" style="2957"/>
    <col min="6913" max="6913" width="13.75" style="2957" customWidth="1"/>
    <col min="6914" max="6914" width="40.875" style="2957" customWidth="1"/>
    <col min="6915" max="6915" width="11.75" style="2957" bestFit="1" customWidth="1"/>
    <col min="6916" max="6916" width="11.75" style="2957" customWidth="1"/>
    <col min="6917" max="6917" width="12.375" style="2957" customWidth="1"/>
    <col min="6918" max="7168" width="9" style="2957"/>
    <col min="7169" max="7169" width="13.75" style="2957" customWidth="1"/>
    <col min="7170" max="7170" width="40.875" style="2957" customWidth="1"/>
    <col min="7171" max="7171" width="11.75" style="2957" bestFit="1" customWidth="1"/>
    <col min="7172" max="7172" width="11.75" style="2957" customWidth="1"/>
    <col min="7173" max="7173" width="12.375" style="2957" customWidth="1"/>
    <col min="7174" max="7424" width="9" style="2957"/>
    <col min="7425" max="7425" width="13.75" style="2957" customWidth="1"/>
    <col min="7426" max="7426" width="40.875" style="2957" customWidth="1"/>
    <col min="7427" max="7427" width="11.75" style="2957" bestFit="1" customWidth="1"/>
    <col min="7428" max="7428" width="11.75" style="2957" customWidth="1"/>
    <col min="7429" max="7429" width="12.375" style="2957" customWidth="1"/>
    <col min="7430" max="7680" width="9" style="2957"/>
    <col min="7681" max="7681" width="13.75" style="2957" customWidth="1"/>
    <col min="7682" max="7682" width="40.875" style="2957" customWidth="1"/>
    <col min="7683" max="7683" width="11.75" style="2957" bestFit="1" customWidth="1"/>
    <col min="7684" max="7684" width="11.75" style="2957" customWidth="1"/>
    <col min="7685" max="7685" width="12.375" style="2957" customWidth="1"/>
    <col min="7686" max="7936" width="9" style="2957"/>
    <col min="7937" max="7937" width="13.75" style="2957" customWidth="1"/>
    <col min="7938" max="7938" width="40.875" style="2957" customWidth="1"/>
    <col min="7939" max="7939" width="11.75" style="2957" bestFit="1" customWidth="1"/>
    <col min="7940" max="7940" width="11.75" style="2957" customWidth="1"/>
    <col min="7941" max="7941" width="12.375" style="2957" customWidth="1"/>
    <col min="7942" max="8192" width="9" style="2957"/>
    <col min="8193" max="8193" width="13.75" style="2957" customWidth="1"/>
    <col min="8194" max="8194" width="40.875" style="2957" customWidth="1"/>
    <col min="8195" max="8195" width="11.75" style="2957" bestFit="1" customWidth="1"/>
    <col min="8196" max="8196" width="11.75" style="2957" customWidth="1"/>
    <col min="8197" max="8197" width="12.375" style="2957" customWidth="1"/>
    <col min="8198" max="8448" width="9" style="2957"/>
    <col min="8449" max="8449" width="13.75" style="2957" customWidth="1"/>
    <col min="8450" max="8450" width="40.875" style="2957" customWidth="1"/>
    <col min="8451" max="8451" width="11.75" style="2957" bestFit="1" customWidth="1"/>
    <col min="8452" max="8452" width="11.75" style="2957" customWidth="1"/>
    <col min="8453" max="8453" width="12.375" style="2957" customWidth="1"/>
    <col min="8454" max="8704" width="9" style="2957"/>
    <col min="8705" max="8705" width="13.75" style="2957" customWidth="1"/>
    <col min="8706" max="8706" width="40.875" style="2957" customWidth="1"/>
    <col min="8707" max="8707" width="11.75" style="2957" bestFit="1" customWidth="1"/>
    <col min="8708" max="8708" width="11.75" style="2957" customWidth="1"/>
    <col min="8709" max="8709" width="12.375" style="2957" customWidth="1"/>
    <col min="8710" max="8960" width="9" style="2957"/>
    <col min="8961" max="8961" width="13.75" style="2957" customWidth="1"/>
    <col min="8962" max="8962" width="40.875" style="2957" customWidth="1"/>
    <col min="8963" max="8963" width="11.75" style="2957" bestFit="1" customWidth="1"/>
    <col min="8964" max="8964" width="11.75" style="2957" customWidth="1"/>
    <col min="8965" max="8965" width="12.375" style="2957" customWidth="1"/>
    <col min="8966" max="9216" width="9" style="2957"/>
    <col min="9217" max="9217" width="13.75" style="2957" customWidth="1"/>
    <col min="9218" max="9218" width="40.875" style="2957" customWidth="1"/>
    <col min="9219" max="9219" width="11.75" style="2957" bestFit="1" customWidth="1"/>
    <col min="9220" max="9220" width="11.75" style="2957" customWidth="1"/>
    <col min="9221" max="9221" width="12.375" style="2957" customWidth="1"/>
    <col min="9222" max="9472" width="9" style="2957"/>
    <col min="9473" max="9473" width="13.75" style="2957" customWidth="1"/>
    <col min="9474" max="9474" width="40.875" style="2957" customWidth="1"/>
    <col min="9475" max="9475" width="11.75" style="2957" bestFit="1" customWidth="1"/>
    <col min="9476" max="9476" width="11.75" style="2957" customWidth="1"/>
    <col min="9477" max="9477" width="12.375" style="2957" customWidth="1"/>
    <col min="9478" max="9728" width="9" style="2957"/>
    <col min="9729" max="9729" width="13.75" style="2957" customWidth="1"/>
    <col min="9730" max="9730" width="40.875" style="2957" customWidth="1"/>
    <col min="9731" max="9731" width="11.75" style="2957" bestFit="1" customWidth="1"/>
    <col min="9732" max="9732" width="11.75" style="2957" customWidth="1"/>
    <col min="9733" max="9733" width="12.375" style="2957" customWidth="1"/>
    <col min="9734" max="9984" width="9" style="2957"/>
    <col min="9985" max="9985" width="13.75" style="2957" customWidth="1"/>
    <col min="9986" max="9986" width="40.875" style="2957" customWidth="1"/>
    <col min="9987" max="9987" width="11.75" style="2957" bestFit="1" customWidth="1"/>
    <col min="9988" max="9988" width="11.75" style="2957" customWidth="1"/>
    <col min="9989" max="9989" width="12.375" style="2957" customWidth="1"/>
    <col min="9990" max="10240" width="9" style="2957"/>
    <col min="10241" max="10241" width="13.75" style="2957" customWidth="1"/>
    <col min="10242" max="10242" width="40.875" style="2957" customWidth="1"/>
    <col min="10243" max="10243" width="11.75" style="2957" bestFit="1" customWidth="1"/>
    <col min="10244" max="10244" width="11.75" style="2957" customWidth="1"/>
    <col min="10245" max="10245" width="12.375" style="2957" customWidth="1"/>
    <col min="10246" max="10496" width="9" style="2957"/>
    <col min="10497" max="10497" width="13.75" style="2957" customWidth="1"/>
    <col min="10498" max="10498" width="40.875" style="2957" customWidth="1"/>
    <col min="10499" max="10499" width="11.75" style="2957" bestFit="1" customWidth="1"/>
    <col min="10500" max="10500" width="11.75" style="2957" customWidth="1"/>
    <col min="10501" max="10501" width="12.375" style="2957" customWidth="1"/>
    <col min="10502" max="10752" width="9" style="2957"/>
    <col min="10753" max="10753" width="13.75" style="2957" customWidth="1"/>
    <col min="10754" max="10754" width="40.875" style="2957" customWidth="1"/>
    <col min="10755" max="10755" width="11.75" style="2957" bestFit="1" customWidth="1"/>
    <col min="10756" max="10756" width="11.75" style="2957" customWidth="1"/>
    <col min="10757" max="10757" width="12.375" style="2957" customWidth="1"/>
    <col min="10758" max="11008" width="9" style="2957"/>
    <col min="11009" max="11009" width="13.75" style="2957" customWidth="1"/>
    <col min="11010" max="11010" width="40.875" style="2957" customWidth="1"/>
    <col min="11011" max="11011" width="11.75" style="2957" bestFit="1" customWidth="1"/>
    <col min="11012" max="11012" width="11.75" style="2957" customWidth="1"/>
    <col min="11013" max="11013" width="12.375" style="2957" customWidth="1"/>
    <col min="11014" max="11264" width="9" style="2957"/>
    <col min="11265" max="11265" width="13.75" style="2957" customWidth="1"/>
    <col min="11266" max="11266" width="40.875" style="2957" customWidth="1"/>
    <col min="11267" max="11267" width="11.75" style="2957" bestFit="1" customWidth="1"/>
    <col min="11268" max="11268" width="11.75" style="2957" customWidth="1"/>
    <col min="11269" max="11269" width="12.375" style="2957" customWidth="1"/>
    <col min="11270" max="11520" width="9" style="2957"/>
    <col min="11521" max="11521" width="13.75" style="2957" customWidth="1"/>
    <col min="11522" max="11522" width="40.875" style="2957" customWidth="1"/>
    <col min="11523" max="11523" width="11.75" style="2957" bestFit="1" customWidth="1"/>
    <col min="11524" max="11524" width="11.75" style="2957" customWidth="1"/>
    <col min="11525" max="11525" width="12.375" style="2957" customWidth="1"/>
    <col min="11526" max="11776" width="9" style="2957"/>
    <col min="11777" max="11777" width="13.75" style="2957" customWidth="1"/>
    <col min="11778" max="11778" width="40.875" style="2957" customWidth="1"/>
    <col min="11779" max="11779" width="11.75" style="2957" bestFit="1" customWidth="1"/>
    <col min="11780" max="11780" width="11.75" style="2957" customWidth="1"/>
    <col min="11781" max="11781" width="12.375" style="2957" customWidth="1"/>
    <col min="11782" max="12032" width="9" style="2957"/>
    <col min="12033" max="12033" width="13.75" style="2957" customWidth="1"/>
    <col min="12034" max="12034" width="40.875" style="2957" customWidth="1"/>
    <col min="12035" max="12035" width="11.75" style="2957" bestFit="1" customWidth="1"/>
    <col min="12036" max="12036" width="11.75" style="2957" customWidth="1"/>
    <col min="12037" max="12037" width="12.375" style="2957" customWidth="1"/>
    <col min="12038" max="12288" width="9" style="2957"/>
    <col min="12289" max="12289" width="13.75" style="2957" customWidth="1"/>
    <col min="12290" max="12290" width="40.875" style="2957" customWidth="1"/>
    <col min="12291" max="12291" width="11.75" style="2957" bestFit="1" customWidth="1"/>
    <col min="12292" max="12292" width="11.75" style="2957" customWidth="1"/>
    <col min="12293" max="12293" width="12.375" style="2957" customWidth="1"/>
    <col min="12294" max="12544" width="9" style="2957"/>
    <col min="12545" max="12545" width="13.75" style="2957" customWidth="1"/>
    <col min="12546" max="12546" width="40.875" style="2957" customWidth="1"/>
    <col min="12547" max="12547" width="11.75" style="2957" bestFit="1" customWidth="1"/>
    <col min="12548" max="12548" width="11.75" style="2957" customWidth="1"/>
    <col min="12549" max="12549" width="12.375" style="2957" customWidth="1"/>
    <col min="12550" max="12800" width="9" style="2957"/>
    <col min="12801" max="12801" width="13.75" style="2957" customWidth="1"/>
    <col min="12802" max="12802" width="40.875" style="2957" customWidth="1"/>
    <col min="12803" max="12803" width="11.75" style="2957" bestFit="1" customWidth="1"/>
    <col min="12804" max="12804" width="11.75" style="2957" customWidth="1"/>
    <col min="12805" max="12805" width="12.375" style="2957" customWidth="1"/>
    <col min="12806" max="13056" width="9" style="2957"/>
    <col min="13057" max="13057" width="13.75" style="2957" customWidth="1"/>
    <col min="13058" max="13058" width="40.875" style="2957" customWidth="1"/>
    <col min="13059" max="13059" width="11.75" style="2957" bestFit="1" customWidth="1"/>
    <col min="13060" max="13060" width="11.75" style="2957" customWidth="1"/>
    <col min="13061" max="13061" width="12.375" style="2957" customWidth="1"/>
    <col min="13062" max="13312" width="9" style="2957"/>
    <col min="13313" max="13313" width="13.75" style="2957" customWidth="1"/>
    <col min="13314" max="13314" width="40.875" style="2957" customWidth="1"/>
    <col min="13315" max="13315" width="11.75" style="2957" bestFit="1" customWidth="1"/>
    <col min="13316" max="13316" width="11.75" style="2957" customWidth="1"/>
    <col min="13317" max="13317" width="12.375" style="2957" customWidth="1"/>
    <col min="13318" max="13568" width="9" style="2957"/>
    <col min="13569" max="13569" width="13.75" style="2957" customWidth="1"/>
    <col min="13570" max="13570" width="40.875" style="2957" customWidth="1"/>
    <col min="13571" max="13571" width="11.75" style="2957" bestFit="1" customWidth="1"/>
    <col min="13572" max="13572" width="11.75" style="2957" customWidth="1"/>
    <col min="13573" max="13573" width="12.375" style="2957" customWidth="1"/>
    <col min="13574" max="13824" width="9" style="2957"/>
    <col min="13825" max="13825" width="13.75" style="2957" customWidth="1"/>
    <col min="13826" max="13826" width="40.875" style="2957" customWidth="1"/>
    <col min="13827" max="13827" width="11.75" style="2957" bestFit="1" customWidth="1"/>
    <col min="13828" max="13828" width="11.75" style="2957" customWidth="1"/>
    <col min="13829" max="13829" width="12.375" style="2957" customWidth="1"/>
    <col min="13830" max="14080" width="9" style="2957"/>
    <col min="14081" max="14081" width="13.75" style="2957" customWidth="1"/>
    <col min="14082" max="14082" width="40.875" style="2957" customWidth="1"/>
    <col min="14083" max="14083" width="11.75" style="2957" bestFit="1" customWidth="1"/>
    <col min="14084" max="14084" width="11.75" style="2957" customWidth="1"/>
    <col min="14085" max="14085" width="12.375" style="2957" customWidth="1"/>
    <col min="14086" max="14336" width="9" style="2957"/>
    <col min="14337" max="14337" width="13.75" style="2957" customWidth="1"/>
    <col min="14338" max="14338" width="40.875" style="2957" customWidth="1"/>
    <col min="14339" max="14339" width="11.75" style="2957" bestFit="1" customWidth="1"/>
    <col min="14340" max="14340" width="11.75" style="2957" customWidth="1"/>
    <col min="14341" max="14341" width="12.375" style="2957" customWidth="1"/>
    <col min="14342" max="14592" width="9" style="2957"/>
    <col min="14593" max="14593" width="13.75" style="2957" customWidth="1"/>
    <col min="14594" max="14594" width="40.875" style="2957" customWidth="1"/>
    <col min="14595" max="14595" width="11.75" style="2957" bestFit="1" customWidth="1"/>
    <col min="14596" max="14596" width="11.75" style="2957" customWidth="1"/>
    <col min="14597" max="14597" width="12.375" style="2957" customWidth="1"/>
    <col min="14598" max="14848" width="9" style="2957"/>
    <col min="14849" max="14849" width="13.75" style="2957" customWidth="1"/>
    <col min="14850" max="14850" width="40.875" style="2957" customWidth="1"/>
    <col min="14851" max="14851" width="11.75" style="2957" bestFit="1" customWidth="1"/>
    <col min="14852" max="14852" width="11.75" style="2957" customWidth="1"/>
    <col min="14853" max="14853" width="12.375" style="2957" customWidth="1"/>
    <col min="14854" max="15104" width="9" style="2957"/>
    <col min="15105" max="15105" width="13.75" style="2957" customWidth="1"/>
    <col min="15106" max="15106" width="40.875" style="2957" customWidth="1"/>
    <col min="15107" max="15107" width="11.75" style="2957" bestFit="1" customWidth="1"/>
    <col min="15108" max="15108" width="11.75" style="2957" customWidth="1"/>
    <col min="15109" max="15109" width="12.375" style="2957" customWidth="1"/>
    <col min="15110" max="15360" width="9" style="2957"/>
    <col min="15361" max="15361" width="13.75" style="2957" customWidth="1"/>
    <col min="15362" max="15362" width="40.875" style="2957" customWidth="1"/>
    <col min="15363" max="15363" width="11.75" style="2957" bestFit="1" customWidth="1"/>
    <col min="15364" max="15364" width="11.75" style="2957" customWidth="1"/>
    <col min="15365" max="15365" width="12.375" style="2957" customWidth="1"/>
    <col min="15366" max="15616" width="9" style="2957"/>
    <col min="15617" max="15617" width="13.75" style="2957" customWidth="1"/>
    <col min="15618" max="15618" width="40.875" style="2957" customWidth="1"/>
    <col min="15619" max="15619" width="11.75" style="2957" bestFit="1" customWidth="1"/>
    <col min="15620" max="15620" width="11.75" style="2957" customWidth="1"/>
    <col min="15621" max="15621" width="12.375" style="2957" customWidth="1"/>
    <col min="15622" max="15872" width="9" style="2957"/>
    <col min="15873" max="15873" width="13.75" style="2957" customWidth="1"/>
    <col min="15874" max="15874" width="40.875" style="2957" customWidth="1"/>
    <col min="15875" max="15875" width="11.75" style="2957" bestFit="1" customWidth="1"/>
    <col min="15876" max="15876" width="11.75" style="2957" customWidth="1"/>
    <col min="15877" max="15877" width="12.375" style="2957" customWidth="1"/>
    <col min="15878" max="16128" width="9" style="2957"/>
    <col min="16129" max="16129" width="13.75" style="2957" customWidth="1"/>
    <col min="16130" max="16130" width="40.875" style="2957" customWidth="1"/>
    <col min="16131" max="16131" width="11.75" style="2957" bestFit="1" customWidth="1"/>
    <col min="16132" max="16132" width="11.75" style="2957" customWidth="1"/>
    <col min="16133" max="16133" width="12.375" style="2957" customWidth="1"/>
    <col min="16134" max="16384" width="9" style="2957"/>
  </cols>
  <sheetData>
    <row r="1" spans="1:6">
      <c r="A1" s="2956" t="s">
        <v>3091</v>
      </c>
      <c r="B1" s="2956" t="s">
        <v>3092</v>
      </c>
      <c r="C1" s="2956" t="s">
        <v>3093</v>
      </c>
      <c r="D1" s="2956" t="s">
        <v>3094</v>
      </c>
      <c r="E1" s="2956" t="s">
        <v>3095</v>
      </c>
      <c r="F1" s="2956" t="s">
        <v>3096</v>
      </c>
    </row>
    <row r="2" spans="1:6" ht="18">
      <c r="A2" s="2958" t="s">
        <v>3097</v>
      </c>
      <c r="B2" s="2958" t="s">
        <v>3098</v>
      </c>
      <c r="C2" s="2958">
        <v>77043.08</v>
      </c>
      <c r="D2" s="2958">
        <v>83329.149999999994</v>
      </c>
      <c r="E2" s="2959">
        <v>42772</v>
      </c>
      <c r="F2" s="2956" t="s">
        <v>3099</v>
      </c>
    </row>
    <row r="3" spans="1:6" ht="18">
      <c r="A3" s="2958" t="s">
        <v>3100</v>
      </c>
      <c r="B3" s="2958" t="s">
        <v>3101</v>
      </c>
      <c r="C3" s="2958">
        <v>9862.84</v>
      </c>
      <c r="D3" s="2958"/>
      <c r="E3" s="2959">
        <v>42447</v>
      </c>
      <c r="F3" s="2956" t="s">
        <v>3099</v>
      </c>
    </row>
    <row r="4" spans="1:6" ht="18">
      <c r="A4" s="2958"/>
      <c r="B4" s="2958"/>
      <c r="C4" s="2958">
        <f>C2+C3</f>
        <v>86905.919999999998</v>
      </c>
      <c r="D4" s="2958">
        <f>D2</f>
        <v>83329.149999999994</v>
      </c>
      <c r="E4" s="2959"/>
      <c r="F4" s="2956"/>
    </row>
    <row r="5" spans="1:6">
      <c r="A5" s="2956" t="s">
        <v>3102</v>
      </c>
      <c r="B5" s="2956" t="s">
        <v>3103</v>
      </c>
      <c r="C5" s="2956">
        <v>17286.919999999998</v>
      </c>
      <c r="D5" s="2956">
        <v>20594.509999999998</v>
      </c>
      <c r="E5" s="2960">
        <v>42527</v>
      </c>
      <c r="F5" s="2956" t="s">
        <v>3104</v>
      </c>
    </row>
    <row r="6" spans="1:6">
      <c r="A6" s="2956" t="s">
        <v>3105</v>
      </c>
      <c r="B6" s="2956" t="s">
        <v>3106</v>
      </c>
      <c r="C6" s="2956">
        <v>16166.723</v>
      </c>
      <c r="D6" s="2956">
        <v>22004.87</v>
      </c>
      <c r="E6" s="2960">
        <v>42527</v>
      </c>
      <c r="F6" s="2956" t="s">
        <v>3104</v>
      </c>
    </row>
    <row r="7" spans="1:6">
      <c r="A7" s="2956" t="s">
        <v>3107</v>
      </c>
      <c r="B7" s="2956" t="s">
        <v>3108</v>
      </c>
      <c r="C7" s="2956">
        <v>55.100999999999999</v>
      </c>
      <c r="D7" s="2956">
        <v>73.69</v>
      </c>
      <c r="E7" s="2960">
        <v>42527</v>
      </c>
      <c r="F7" s="2956" t="s">
        <v>3104</v>
      </c>
    </row>
    <row r="8" spans="1:6">
      <c r="A8" s="2956" t="s">
        <v>3109</v>
      </c>
      <c r="B8" s="2956" t="s">
        <v>3110</v>
      </c>
      <c r="C8" s="2956"/>
      <c r="D8" s="2956">
        <v>20362.169999999998</v>
      </c>
      <c r="E8" s="2960">
        <v>42132</v>
      </c>
      <c r="F8" s="2956" t="s">
        <v>3104</v>
      </c>
    </row>
    <row r="9" spans="1:6">
      <c r="A9" s="2956" t="s">
        <v>3111</v>
      </c>
      <c r="B9" s="2956" t="s">
        <v>3112</v>
      </c>
      <c r="C9" s="2956">
        <v>15920.495000000001</v>
      </c>
      <c r="D9" s="2956">
        <v>20236</v>
      </c>
      <c r="E9" s="2960">
        <v>42527</v>
      </c>
      <c r="F9" s="2956" t="s">
        <v>3104</v>
      </c>
    </row>
    <row r="10" spans="1:6">
      <c r="A10" s="2956" t="s">
        <v>3113</v>
      </c>
      <c r="B10" s="2956" t="s">
        <v>3114</v>
      </c>
      <c r="C10" s="2956">
        <v>25.562999999999999</v>
      </c>
      <c r="D10" s="2956">
        <v>35.44</v>
      </c>
      <c r="E10" s="2960">
        <v>42527</v>
      </c>
      <c r="F10" s="2956" t="s">
        <v>3104</v>
      </c>
    </row>
    <row r="11" spans="1:6">
      <c r="A11" s="2956" t="s">
        <v>3115</v>
      </c>
      <c r="B11" s="2956" t="s">
        <v>3116</v>
      </c>
      <c r="C11" s="2956">
        <v>16.844999999999999</v>
      </c>
      <c r="D11" s="2956">
        <v>22.47</v>
      </c>
      <c r="E11" s="2960">
        <v>42527</v>
      </c>
      <c r="F11" s="2956" t="s">
        <v>3104</v>
      </c>
    </row>
    <row r="16" spans="1:6">
      <c r="A16" s="2957" t="s">
        <v>3189</v>
      </c>
      <c r="B16" s="2957" t="s">
        <v>3190</v>
      </c>
      <c r="D16" s="2957">
        <v>31488000</v>
      </c>
    </row>
    <row r="17" spans="1:7">
      <c r="A17" s="2957" t="s">
        <v>3191</v>
      </c>
      <c r="B17" s="2957" t="s">
        <v>3192</v>
      </c>
      <c r="D17" s="2957">
        <v>237000000</v>
      </c>
      <c r="E17" s="3021">
        <v>241914407.97999999</v>
      </c>
      <c r="G17" s="2957">
        <f>E17/'数据-基础表'!B3</f>
        <v>2903.1186323153424</v>
      </c>
    </row>
    <row r="18" spans="1:7">
      <c r="B18" s="2957" t="s">
        <v>3193</v>
      </c>
      <c r="D18" s="2957">
        <v>5900000</v>
      </c>
      <c r="G18" s="2957">
        <f>D17/'数据-基础表'!B3</f>
        <v>2844.1427759673538</v>
      </c>
    </row>
    <row r="19" spans="1:7">
      <c r="D19" s="2957">
        <f>SUM(D16:D18)</f>
        <v>274388000</v>
      </c>
      <c r="E19" s="3022">
        <f>E17+D18</f>
        <v>247814407.97999999</v>
      </c>
    </row>
  </sheetData>
  <phoneticPr fontId="144" type="noConversion"/>
  <pageMargins left="0.75" right="0.75" top="1" bottom="1" header="0.51180555555555551" footer="0.51180555555555551"/>
  <pageSetup paperSize="9" orientation="portrait" horizontalDpi="0" verticalDpi="0"/>
  <headerFooter scaleWithDoc="0"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Y13" activePane="bottomRight" state="frozen"/>
      <selection activeCell="C50" sqref="C50"/>
      <selection pane="topRight" activeCell="C50" sqref="C50"/>
      <selection pane="bottomLeft" activeCell="C50" sqref="C50"/>
      <selection pane="bottomRight" activeCell="Z15" sqref="Z15"/>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8"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2" customFormat="1" ht="24">
      <c r="A2" s="11" t="s">
        <v>1867</v>
      </c>
      <c r="B2" s="11" t="s">
        <v>1868</v>
      </c>
      <c r="C2" s="11" t="s">
        <v>1869</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8" t="s">
        <v>1870</v>
      </c>
      <c r="AZ2" s="1269" t="s">
        <v>1871</v>
      </c>
      <c r="BA2" s="11" t="s">
        <v>1872</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f>77043.08+9862.84</f>
        <v>86905.919999999998</v>
      </c>
      <c r="B3" s="14">
        <f>IF(C3="否",G5-AT5,G5)</f>
        <v>83329.149999999994</v>
      </c>
      <c r="C3" s="2163" t="s">
        <v>1873</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0"/>
      <c r="AZ3" s="1271"/>
      <c r="BA3" s="1272"/>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1874</v>
      </c>
      <c r="B5" s="1802"/>
      <c r="C5" s="1802"/>
      <c r="D5" s="1805"/>
      <c r="E5" s="16" t="s">
        <v>1</v>
      </c>
      <c r="F5" s="16">
        <f>SUM(F13:F587)</f>
        <v>0</v>
      </c>
      <c r="G5" s="16">
        <f>SUM(G13:G587)</f>
        <v>83329.149999999994</v>
      </c>
      <c r="H5" s="16">
        <f t="shared" ref="H5:AT5" si="0">SUM(H13:H656)</f>
        <v>83197.549999999988</v>
      </c>
      <c r="I5" s="16">
        <f t="shared" si="0"/>
        <v>83197.549999999988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131.6</v>
      </c>
      <c r="AD5" s="16">
        <f t="shared" si="0"/>
        <v>57.91</v>
      </c>
      <c r="AE5" s="16">
        <f t="shared" si="0"/>
        <v>0</v>
      </c>
      <c r="AF5" s="16">
        <f t="shared" si="0"/>
        <v>0</v>
      </c>
      <c r="AG5" s="16">
        <f t="shared" si="0"/>
        <v>0</v>
      </c>
      <c r="AH5" s="16">
        <f t="shared" si="0"/>
        <v>0</v>
      </c>
      <c r="AI5" s="16">
        <f t="shared" si="0"/>
        <v>0</v>
      </c>
      <c r="AJ5" s="16">
        <f t="shared" si="0"/>
        <v>0</v>
      </c>
      <c r="AK5" s="16">
        <f t="shared" si="0"/>
        <v>0</v>
      </c>
      <c r="AL5" s="16">
        <f t="shared" si="0"/>
        <v>73.69</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1874</v>
      </c>
      <c r="AW5" s="1802"/>
      <c r="AX5" s="1802"/>
      <c r="AY5" s="17" t="s">
        <v>3</v>
      </c>
      <c r="AZ5" s="18">
        <f t="shared" ref="AZ5:BT5" si="1">SUM(AZ13:AZ656)</f>
        <v>83329.149999999994</v>
      </c>
      <c r="BA5" s="18">
        <f t="shared" si="1"/>
        <v>83197.549999999988</v>
      </c>
      <c r="BB5" s="18">
        <f t="shared" si="1"/>
        <v>83197.549999999988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131.6</v>
      </c>
      <c r="BM5" s="18">
        <f t="shared" si="1"/>
        <v>57.91</v>
      </c>
      <c r="BN5" s="18">
        <f t="shared" si="1"/>
        <v>0</v>
      </c>
      <c r="BO5" s="18">
        <f t="shared" si="1"/>
        <v>0</v>
      </c>
      <c r="BP5" s="18">
        <f t="shared" si="1"/>
        <v>0</v>
      </c>
      <c r="BQ5" s="18">
        <f t="shared" si="1"/>
        <v>73.69</v>
      </c>
      <c r="BR5" s="18">
        <f t="shared" si="1"/>
        <v>0</v>
      </c>
      <c r="BS5" s="18">
        <f t="shared" si="1"/>
        <v>0</v>
      </c>
      <c r="BT5" s="19">
        <f t="shared" si="1"/>
        <v>0</v>
      </c>
    </row>
    <row r="6" spans="1:72" s="2172" customFormat="1" ht="12.75">
      <c r="A6" s="15" t="s">
        <v>1875</v>
      </c>
      <c r="B6" s="2169"/>
      <c r="C6" s="2169"/>
      <c r="D6" s="2170"/>
      <c r="E6" s="16">
        <f>H6+AC6+AT6</f>
        <v>86905.919999999998</v>
      </c>
      <c r="F6" s="16" t="s">
        <v>1</v>
      </c>
      <c r="G6" s="16" t="s">
        <v>2</v>
      </c>
      <c r="H6" s="20">
        <f>SUMIF(I$12:AB$12,"总值",I6:AB6)</f>
        <v>86768.67</v>
      </c>
      <c r="I6" s="16">
        <f t="shared" ref="I6:AB6" si="2">ROUND($A$3*I5/$B$3,2)</f>
        <v>86768.67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137.25</v>
      </c>
      <c r="AD6" s="16">
        <f t="shared" ref="AD6:AS6" si="3">ROUND($A$3*AD5/$B$3,2)</f>
        <v>60.4</v>
      </c>
      <c r="AE6" s="16">
        <f t="shared" si="3"/>
        <v>0</v>
      </c>
      <c r="AF6" s="16">
        <f t="shared" si="3"/>
        <v>0</v>
      </c>
      <c r="AG6" s="16">
        <f t="shared" si="3"/>
        <v>0</v>
      </c>
      <c r="AH6" s="16">
        <f t="shared" si="3"/>
        <v>0</v>
      </c>
      <c r="AI6" s="16">
        <f t="shared" si="3"/>
        <v>0</v>
      </c>
      <c r="AJ6" s="16">
        <f t="shared" si="3"/>
        <v>0</v>
      </c>
      <c r="AK6" s="16">
        <f t="shared" si="3"/>
        <v>0</v>
      </c>
      <c r="AL6" s="16">
        <f t="shared" si="3"/>
        <v>76.849999999999994</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1875</v>
      </c>
      <c r="AW6" s="2169"/>
      <c r="AX6" s="2169"/>
      <c r="AY6" s="21">
        <f>IF(AY3&gt;0,AY3,ROUND($A$3*AZ5/$B$3,2))</f>
        <v>86905.919999999998</v>
      </c>
      <c r="AZ6" s="16" t="s">
        <v>3</v>
      </c>
      <c r="BA6" s="16">
        <f>ROUND($AY$6*BA5/$AZ$5,2)</f>
        <v>86768.67</v>
      </c>
      <c r="BB6" s="16">
        <f>ROUND($AY$6*BB5/$AZ$5,2)</f>
        <v>86768.67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137.25</v>
      </c>
      <c r="BM6" s="16">
        <f t="shared" si="5"/>
        <v>60.4</v>
      </c>
      <c r="BN6" s="16">
        <f t="shared" si="5"/>
        <v>0</v>
      </c>
      <c r="BO6" s="16">
        <f t="shared" si="5"/>
        <v>0</v>
      </c>
      <c r="BP6" s="16">
        <f t="shared" si="5"/>
        <v>0</v>
      </c>
      <c r="BQ6" s="16">
        <f t="shared" si="5"/>
        <v>76.849999999999994</v>
      </c>
      <c r="BR6" s="16">
        <f t="shared" si="5"/>
        <v>0</v>
      </c>
      <c r="BS6" s="16">
        <f t="shared" si="5"/>
        <v>0</v>
      </c>
      <c r="BT6" s="22">
        <f t="shared" si="5"/>
        <v>0</v>
      </c>
    </row>
    <row r="7" spans="1:72" s="2162" customFormat="1" ht="24.75">
      <c r="A7" s="2104" t="s">
        <v>1876</v>
      </c>
      <c r="B7" s="2104" t="s">
        <v>1877</v>
      </c>
      <c r="C7" s="2104" t="s">
        <v>1878</v>
      </c>
      <c r="D7" s="2104" t="s">
        <v>1879</v>
      </c>
      <c r="E7" s="2104" t="s">
        <v>1880</v>
      </c>
      <c r="F7" s="2104" t="s">
        <v>1881</v>
      </c>
      <c r="G7" s="2173" t="s">
        <v>1882</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5"/>
      <c r="AU7" s="2174" t="s">
        <v>1883</v>
      </c>
      <c r="AV7" s="23" t="s">
        <v>1884</v>
      </c>
      <c r="AW7" s="2161" t="s">
        <v>1885</v>
      </c>
      <c r="AX7" s="23" t="s">
        <v>1878</v>
      </c>
      <c r="AY7" s="1802" t="s">
        <v>1886</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1887</v>
      </c>
      <c r="H8" s="2179" t="s">
        <v>1888</v>
      </c>
      <c r="I8" s="2180"/>
      <c r="J8" s="1817"/>
      <c r="K8" s="1817"/>
      <c r="L8" s="1817"/>
      <c r="M8" s="1817"/>
      <c r="N8" s="1817"/>
      <c r="O8" s="1817"/>
      <c r="P8" s="1817"/>
      <c r="Q8" s="1817"/>
      <c r="R8" s="1817"/>
      <c r="S8" s="1817"/>
      <c r="T8" s="1817"/>
      <c r="U8" s="1817"/>
      <c r="V8" s="2181"/>
      <c r="W8" s="1817"/>
      <c r="X8" s="1817"/>
      <c r="Y8" s="1817"/>
      <c r="Z8" s="1817"/>
      <c r="AA8" s="2181"/>
      <c r="AB8" s="2182"/>
      <c r="AC8" s="980" t="s">
        <v>1889</v>
      </c>
      <c r="AD8" s="2183"/>
      <c r="AE8" s="2175"/>
      <c r="AF8" s="1817"/>
      <c r="AG8" s="1817"/>
      <c r="AH8" s="1817"/>
      <c r="AI8" s="1817"/>
      <c r="AJ8" s="1817"/>
      <c r="AK8" s="1817"/>
      <c r="AL8" s="1817"/>
      <c r="AM8" s="1817"/>
      <c r="AN8" s="1817"/>
      <c r="AO8" s="1817"/>
      <c r="AP8" s="1817"/>
      <c r="AQ8" s="1817"/>
      <c r="AR8" s="1817"/>
      <c r="AS8" s="1817"/>
      <c r="AT8" s="1291" t="s">
        <v>1890</v>
      </c>
      <c r="AU8" s="2177" t="s">
        <v>1891</v>
      </c>
      <c r="AV8" s="1291"/>
      <c r="AW8" s="2160"/>
      <c r="AX8" s="1291"/>
      <c r="AY8" s="2161"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4" customFormat="1" ht="12.75">
      <c r="A9" s="2177"/>
      <c r="B9" s="2177"/>
      <c r="C9" s="2177"/>
      <c r="D9" s="2177"/>
      <c r="E9" s="2177"/>
      <c r="F9" s="2177"/>
      <c r="G9" s="1291"/>
      <c r="H9" s="2185" t="s">
        <v>1894</v>
      </c>
      <c r="I9" s="2186" t="s">
        <v>3065</v>
      </c>
      <c r="J9" s="980"/>
      <c r="K9" s="2186"/>
      <c r="L9" s="980"/>
      <c r="M9" s="2186"/>
      <c r="N9" s="980"/>
      <c r="O9" s="2186"/>
      <c r="P9" s="980"/>
      <c r="Q9" s="2186"/>
      <c r="R9" s="980"/>
      <c r="S9" s="2186"/>
      <c r="T9" s="980"/>
      <c r="U9" s="2186"/>
      <c r="V9" s="980"/>
      <c r="W9" s="2186"/>
      <c r="X9" s="2187"/>
      <c r="Y9" s="2186"/>
      <c r="Z9" s="980"/>
      <c r="AA9" s="2186"/>
      <c r="AB9" s="980"/>
      <c r="AC9" s="2178" t="s">
        <v>1894</v>
      </c>
      <c r="AD9" s="15" t="s">
        <v>1895</v>
      </c>
      <c r="AE9" s="1297"/>
      <c r="AF9" s="15" t="s">
        <v>1896</v>
      </c>
      <c r="AG9" s="1297"/>
      <c r="AH9" s="15" t="s">
        <v>1895</v>
      </c>
      <c r="AI9" s="1297"/>
      <c r="AJ9" s="15" t="s">
        <v>1896</v>
      </c>
      <c r="AK9" s="1297"/>
      <c r="AL9" s="15" t="s">
        <v>1895</v>
      </c>
      <c r="AM9" s="1297"/>
      <c r="AN9" s="15" t="s">
        <v>1896</v>
      </c>
      <c r="AO9" s="1297"/>
      <c r="AP9" s="15" t="s">
        <v>1895</v>
      </c>
      <c r="AQ9" s="1297"/>
      <c r="AR9" s="15" t="s">
        <v>1896</v>
      </c>
      <c r="AS9" s="2188"/>
      <c r="AT9" s="2177"/>
      <c r="AU9" s="2177" t="s">
        <v>1897</v>
      </c>
      <c r="AV9" s="1291"/>
      <c r="AW9" s="2160"/>
      <c r="AX9" s="1291"/>
      <c r="AY9" s="28"/>
      <c r="AZ9" s="28" t="s">
        <v>1887</v>
      </c>
      <c r="BA9" s="2189" t="s">
        <v>1898</v>
      </c>
      <c r="BB9" s="2190"/>
      <c r="BC9" s="1337"/>
      <c r="BD9" s="1337"/>
      <c r="BE9" s="1337"/>
      <c r="BF9" s="1337"/>
      <c r="BG9" s="1337"/>
      <c r="BH9" s="1337"/>
      <c r="BI9" s="1337"/>
      <c r="BJ9" s="1337"/>
      <c r="BK9" s="2191"/>
      <c r="BL9" s="15" t="s">
        <v>1899</v>
      </c>
      <c r="BM9" s="1817"/>
      <c r="BN9" s="2180"/>
      <c r="BO9" s="1817"/>
      <c r="BP9" s="1817"/>
      <c r="BQ9" s="1817"/>
      <c r="BR9" s="1817"/>
      <c r="BS9" s="1817"/>
      <c r="BT9" s="26"/>
    </row>
    <row r="10" spans="1:72" s="2184" customFormat="1" ht="12.75">
      <c r="A10" s="2177"/>
      <c r="B10" s="2177"/>
      <c r="C10" s="2177"/>
      <c r="D10" s="2177"/>
      <c r="E10" s="2177"/>
      <c r="F10" s="2177"/>
      <c r="G10" s="1291"/>
      <c r="H10" s="28"/>
      <c r="I10" s="2186" t="s">
        <v>6</v>
      </c>
      <c r="J10" s="980"/>
      <c r="K10" s="2192"/>
      <c r="L10" s="980"/>
      <c r="M10" s="2192"/>
      <c r="N10" s="980"/>
      <c r="O10" s="2192"/>
      <c r="P10" s="980"/>
      <c r="Q10" s="2192"/>
      <c r="R10" s="980"/>
      <c r="S10" s="2192"/>
      <c r="T10" s="980"/>
      <c r="U10" s="2192"/>
      <c r="V10" s="980"/>
      <c r="W10" s="2192"/>
      <c r="X10" s="980"/>
      <c r="Y10" s="2192"/>
      <c r="Z10" s="980"/>
      <c r="AA10" s="2192"/>
      <c r="AB10" s="980"/>
      <c r="AC10" s="1291"/>
      <c r="AD10" s="15" t="s">
        <v>1900</v>
      </c>
      <c r="AE10" s="2193"/>
      <c r="AF10" s="15" t="s">
        <v>1900</v>
      </c>
      <c r="AG10" s="2193"/>
      <c r="AH10" s="15" t="s">
        <v>1901</v>
      </c>
      <c r="AI10" s="2193"/>
      <c r="AJ10" s="15" t="s">
        <v>1901</v>
      </c>
      <c r="AK10" s="2193"/>
      <c r="AL10" s="15" t="s">
        <v>1902</v>
      </c>
      <c r="AM10" s="1297"/>
      <c r="AN10" s="15" t="s">
        <v>1902</v>
      </c>
      <c r="AO10" s="1297"/>
      <c r="AP10" s="15" t="s">
        <v>1903</v>
      </c>
      <c r="AQ10" s="1297"/>
      <c r="AR10" s="15" t="s">
        <v>1903</v>
      </c>
      <c r="AS10" s="1297"/>
      <c r="AT10" s="2177"/>
      <c r="AU10" s="2177"/>
      <c r="AV10" s="1291"/>
      <c r="AW10" s="2160"/>
      <c r="AX10" s="1291"/>
      <c r="AY10" s="28"/>
      <c r="AZ10" s="28"/>
      <c r="BA10" s="2194" t="s">
        <v>1894</v>
      </c>
      <c r="BB10" s="2195" t="str">
        <f>I9</f>
        <v>地上</v>
      </c>
      <c r="BC10" s="29">
        <f>K9</f>
        <v>0</v>
      </c>
      <c r="BD10" s="29">
        <f>M9</f>
        <v>0</v>
      </c>
      <c r="BE10" s="29">
        <f>O9</f>
        <v>0</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196" t="str">
        <f>AR9</f>
        <v>地下</v>
      </c>
    </row>
    <row r="11" spans="1:72" s="2184" customFormat="1" ht="12.75">
      <c r="A11" s="2177"/>
      <c r="B11" s="2177"/>
      <c r="C11" s="2177"/>
      <c r="D11" s="2177"/>
      <c r="E11" s="2177"/>
      <c r="F11" s="2177"/>
      <c r="G11" s="1291"/>
      <c r="H11" s="2194"/>
      <c r="I11" s="2197" t="s">
        <v>3066</v>
      </c>
      <c r="J11" s="2198"/>
      <c r="K11" s="2197"/>
      <c r="L11" s="2198"/>
      <c r="M11" s="2197"/>
      <c r="N11" s="2198"/>
      <c r="O11" s="2197"/>
      <c r="P11" s="2198"/>
      <c r="Q11" s="2197"/>
      <c r="R11" s="2198"/>
      <c r="S11" s="2197"/>
      <c r="T11" s="2198"/>
      <c r="U11" s="2197"/>
      <c r="V11" s="2198"/>
      <c r="W11" s="2197"/>
      <c r="X11" s="2198"/>
      <c r="Y11" s="2197"/>
      <c r="Z11" s="2198"/>
      <c r="AA11" s="2197"/>
      <c r="AB11" s="2198"/>
      <c r="AC11" s="1291"/>
      <c r="AD11" s="2199" t="s">
        <v>1904</v>
      </c>
      <c r="AE11" s="1818"/>
      <c r="AF11" s="2199" t="s">
        <v>1904</v>
      </c>
      <c r="AG11" s="1818"/>
      <c r="AH11" s="2199" t="s">
        <v>1905</v>
      </c>
      <c r="AI11" s="2200"/>
      <c r="AJ11" s="2199" t="s">
        <v>1905</v>
      </c>
      <c r="AK11" s="1818"/>
      <c r="AL11" s="1816"/>
      <c r="AM11" s="1818"/>
      <c r="AN11" s="1816"/>
      <c r="AO11" s="1818"/>
      <c r="AP11" s="1816"/>
      <c r="AQ11" s="1818"/>
      <c r="AR11" s="1816"/>
      <c r="AS11" s="1818"/>
      <c r="AT11" s="2160"/>
      <c r="AU11" s="2177"/>
      <c r="AV11" s="1291"/>
      <c r="AW11" s="2160"/>
      <c r="AX11" s="1291"/>
      <c r="AY11" s="28"/>
      <c r="AZ11" s="28"/>
      <c r="BA11" s="28"/>
      <c r="BB11" s="2182" t="str">
        <f>I10</f>
        <v>工业</v>
      </c>
      <c r="BC11" s="2182">
        <f>K10</f>
        <v>0</v>
      </c>
      <c r="BD11" s="2182">
        <f>M10</f>
        <v>0</v>
      </c>
      <c r="BE11" s="2182">
        <f>O10</f>
        <v>0</v>
      </c>
      <c r="BF11" s="2182">
        <f>Q10</f>
        <v>0</v>
      </c>
      <c r="BG11" s="2182">
        <f>S10</f>
        <v>0</v>
      </c>
      <c r="BH11" s="2182">
        <f>U10</f>
        <v>0</v>
      </c>
      <c r="BI11" s="2182">
        <f>W10</f>
        <v>0</v>
      </c>
      <c r="BJ11" s="2182">
        <f>Y10</f>
        <v>0</v>
      </c>
      <c r="BK11" s="2182">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4"/>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2" t="s">
        <v>1907</v>
      </c>
      <c r="AT12" s="2205"/>
      <c r="AU12" s="2202"/>
      <c r="AV12" s="31"/>
      <c r="AW12" s="2161"/>
      <c r="AX12" s="31"/>
      <c r="AY12" s="2206"/>
      <c r="AZ12" s="28"/>
      <c r="BA12" s="2194"/>
      <c r="BB12" s="24" t="str">
        <f>I11</f>
        <v>标准厂房</v>
      </c>
      <c r="BC12" s="2207">
        <f>K11</f>
        <v>0</v>
      </c>
      <c r="BD12" s="2207">
        <f>M11</f>
        <v>0</v>
      </c>
      <c r="BE12" s="2182">
        <f>O11</f>
        <v>0</v>
      </c>
      <c r="BF12" s="2182">
        <f>Q11</f>
        <v>0</v>
      </c>
      <c r="BG12" s="2182">
        <f>S11</f>
        <v>0</v>
      </c>
      <c r="BH12" s="2182">
        <f>U11</f>
        <v>0</v>
      </c>
      <c r="BI12" s="2182">
        <f>W11</f>
        <v>0</v>
      </c>
      <c r="BJ12" s="2182">
        <f>Y11</f>
        <v>0</v>
      </c>
      <c r="BK12" s="2182">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1">
        <f>AR11</f>
        <v>0</v>
      </c>
    </row>
    <row r="13" spans="1:72" s="2162" customFormat="1" ht="12.75">
      <c r="A13" s="1271"/>
      <c r="B13" s="1271"/>
      <c r="C13" s="2954" t="s">
        <v>3068</v>
      </c>
      <c r="D13" s="2208" t="s">
        <v>3062</v>
      </c>
      <c r="E13" s="16">
        <f>IF($C$3="是",ROUND($A$3*G13/$B$3,2),ROUND($A$3*(G13-AT13)/$B$3,2))</f>
        <v>86905.919999999998</v>
      </c>
      <c r="F13" s="32"/>
      <c r="G13" s="33">
        <f>H13+AC13+AT13</f>
        <v>83329.149999999994</v>
      </c>
      <c r="H13" s="20">
        <f>SUMIF(I$12:AB$12,"总值",I13:AB13)</f>
        <v>83197.549999999988</v>
      </c>
      <c r="I13" s="2209">
        <f>Sheet1!D5+Sheet1!D6+Sheet1!D8+Sheet1!D9</f>
        <v>83197.549999999988</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131.6</v>
      </c>
      <c r="AD13" s="3027">
        <f>Sheet1!D10+Sheet1!D11</f>
        <v>57.91</v>
      </c>
      <c r="AE13" s="2210"/>
      <c r="AF13" s="2210"/>
      <c r="AG13" s="2210"/>
      <c r="AH13" s="2210"/>
      <c r="AI13" s="2210"/>
      <c r="AJ13" s="2210"/>
      <c r="AK13" s="2210"/>
      <c r="AL13" s="2210">
        <f>Sheet1!D7</f>
        <v>73.69</v>
      </c>
      <c r="AM13" s="2210"/>
      <c r="AN13" s="2210"/>
      <c r="AO13" s="2210"/>
      <c r="AP13" s="2210"/>
      <c r="AQ13" s="2210"/>
      <c r="AR13" s="2210"/>
      <c r="AS13" s="2210"/>
      <c r="AT13" s="2211"/>
      <c r="AU13" s="2212"/>
      <c r="AV13" s="11">
        <f t="shared" ref="AV13:AX17" si="6">A13</f>
        <v>0</v>
      </c>
      <c r="AW13" s="11">
        <f t="shared" si="6"/>
        <v>0</v>
      </c>
      <c r="AX13" s="11" t="str">
        <f t="shared" si="6"/>
        <v>厂房</v>
      </c>
      <c r="AY13" s="1805">
        <f>ROUND($AY$6*AZ13/$AZ$5,2)</f>
        <v>86905.919999999998</v>
      </c>
      <c r="AZ13" s="16">
        <f>BA13+BL13</f>
        <v>83329.149999999994</v>
      </c>
      <c r="BA13" s="16">
        <f>SUM(BB13:BK13)</f>
        <v>83197.549999999988</v>
      </c>
      <c r="BB13" s="16">
        <f>IF($D13="是",I13-J13,0)</f>
        <v>83197.549999999988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131.6</v>
      </c>
      <c r="BM13" s="16">
        <f>IF($D13="是",AD13-AE13,0)</f>
        <v>57.91</v>
      </c>
      <c r="BN13" s="16">
        <f>IF($D13="是",AF13-AG13,0)</f>
        <v>0</v>
      </c>
      <c r="BO13" s="16">
        <f>IF($D13="是",AH13-AI13,0)</f>
        <v>0</v>
      </c>
      <c r="BP13" s="16">
        <f>IF($D13="是",AJ13-AK13,0)</f>
        <v>0</v>
      </c>
      <c r="BQ13" s="16">
        <f>IF($D13="是",AL13-AM13,0)</f>
        <v>73.69</v>
      </c>
      <c r="BR13" s="16">
        <f>IF($D13="是",AN13-AO13,0)</f>
        <v>0</v>
      </c>
      <c r="BS13" s="16">
        <f>IF($D13="是",AP13-AQ13,0)</f>
        <v>0</v>
      </c>
      <c r="BT13" s="22">
        <f>IF($D13="是",AR13-AS13,0)</f>
        <v>0</v>
      </c>
    </row>
    <row r="14" spans="1:72" s="2162" customFormat="1" ht="12.75">
      <c r="A14" s="1271"/>
      <c r="B14" s="1271"/>
      <c r="C14" s="2148"/>
      <c r="D14" s="2208"/>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1"/>
      <c r="B15" s="1271"/>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1"/>
      <c r="B16" s="1271"/>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1"/>
      <c r="B17" s="1271"/>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5"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7" t="s">
        <v>0</v>
      </c>
      <c r="B1" s="3107" t="s">
        <v>4</v>
      </c>
      <c r="C1" s="3107" t="s">
        <v>5</v>
      </c>
      <c r="D1" s="3108" t="s">
        <v>53</v>
      </c>
      <c r="E1" s="3108" t="s">
        <v>54</v>
      </c>
      <c r="F1" s="3108"/>
      <c r="G1" s="3108"/>
      <c r="H1" s="3108"/>
      <c r="I1" s="3108"/>
      <c r="J1" s="3108"/>
      <c r="K1" s="3108"/>
      <c r="L1" s="3108"/>
      <c r="M1" s="3108"/>
    </row>
    <row r="2" spans="1:13" ht="27" customHeight="1">
      <c r="A2" s="3107"/>
      <c r="B2" s="3107"/>
      <c r="C2" s="3107"/>
      <c r="D2" s="3108"/>
      <c r="E2" s="3108" t="s">
        <v>37</v>
      </c>
      <c r="F2" s="3108" t="s">
        <v>38</v>
      </c>
      <c r="G2" s="3108"/>
      <c r="H2" s="3108"/>
      <c r="I2" s="3108"/>
      <c r="J2" s="3108" t="s">
        <v>39</v>
      </c>
      <c r="K2" s="3108"/>
      <c r="L2" s="3108"/>
      <c r="M2" s="3108"/>
    </row>
    <row r="3" spans="1:13" ht="28.5">
      <c r="A3" s="3107"/>
      <c r="B3" s="3107"/>
      <c r="C3" s="3107"/>
      <c r="D3" s="3108"/>
      <c r="E3" s="310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8" t="s">
        <v>55</v>
      </c>
      <c r="B9" s="3108"/>
      <c r="C9" s="310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1933</v>
      </c>
      <c r="B1" s="1391"/>
      <c r="C1" s="1391"/>
      <c r="D1" s="1391"/>
      <c r="E1" s="1391"/>
      <c r="F1" s="1391"/>
      <c r="G1" s="1391"/>
      <c r="H1" s="1391"/>
      <c r="I1" s="1391"/>
      <c r="J1" s="1391"/>
      <c r="K1" s="1391"/>
      <c r="L1" s="1391"/>
      <c r="M1" s="1391"/>
      <c r="N1" s="1391"/>
      <c r="O1" s="1391"/>
      <c r="P1" s="1391"/>
    </row>
    <row r="2" spans="1:16" ht="15">
      <c r="A2" s="3118" t="s">
        <v>1934</v>
      </c>
      <c r="B2" s="3118"/>
      <c r="C2" s="3118"/>
      <c r="D2" s="966" t="s">
        <v>1910</v>
      </c>
      <c r="E2" s="2222" t="s">
        <v>1911</v>
      </c>
      <c r="F2" s="1391"/>
      <c r="G2" s="2223"/>
      <c r="H2" s="2224"/>
      <c r="I2" s="2225" t="s">
        <v>1935</v>
      </c>
      <c r="J2" s="1391"/>
      <c r="K2" s="1391"/>
      <c r="L2" s="1391"/>
      <c r="M2" s="1391"/>
      <c r="N2" s="1426"/>
      <c r="O2" s="1391"/>
      <c r="P2" s="1391"/>
    </row>
    <row r="3" spans="1:16" ht="15.75" thickBot="1">
      <c r="A3" s="3119" t="s">
        <v>1908</v>
      </c>
      <c r="B3" s="3119"/>
      <c r="C3" s="3119"/>
      <c r="D3" s="46">
        <f>'数据-基础表'!AY6</f>
        <v>86905.919999999998</v>
      </c>
      <c r="E3" s="46">
        <f>'数据-基础表'!AZ5</f>
        <v>83329.149999999994</v>
      </c>
      <c r="F3" s="1391"/>
      <c r="G3" s="1398"/>
      <c r="H3" s="1246" t="s">
        <v>1909</v>
      </c>
      <c r="I3" s="55">
        <f>ROUND('数据-基础表'!B3/'数据-基础表'!A3,2)</f>
        <v>0.96</v>
      </c>
      <c r="J3" s="1391"/>
      <c r="K3" s="1391"/>
      <c r="L3" s="1391"/>
      <c r="M3" s="1391"/>
      <c r="N3" s="1426"/>
      <c r="O3" s="1391"/>
      <c r="P3" s="1391"/>
    </row>
    <row r="4" spans="1:16" ht="15">
      <c r="A4" s="3120"/>
      <c r="B4" s="3121"/>
      <c r="C4" s="3122"/>
      <c r="D4" s="2226" t="s">
        <v>1910</v>
      </c>
      <c r="E4" s="2227" t="s">
        <v>1911</v>
      </c>
      <c r="F4" s="1391"/>
      <c r="G4" s="2228" t="s">
        <v>1936</v>
      </c>
      <c r="H4" s="1246" t="s">
        <v>1916</v>
      </c>
      <c r="I4" s="55">
        <f>ROUND(SUMIF('数据-基础表'!I9:AS9,"地上",'数据-基础表'!I5:AS5)/'数据-基础表'!A3,2)</f>
        <v>0.96</v>
      </c>
      <c r="J4" s="1391"/>
      <c r="K4" s="1391"/>
      <c r="L4" s="1391"/>
      <c r="M4" s="1391"/>
      <c r="N4" s="1426"/>
      <c r="O4" s="1391"/>
      <c r="P4" s="1391"/>
    </row>
    <row r="5" spans="1:16">
      <c r="A5" s="47" t="s">
        <v>1912</v>
      </c>
      <c r="B5" s="3123" t="s">
        <v>1913</v>
      </c>
      <c r="C5" s="3123"/>
      <c r="D5" s="48">
        <f>ROUND($D$3*E5/$E$3,2)</f>
        <v>0</v>
      </c>
      <c r="E5" s="49">
        <f>SUMIF('数据-基础表'!$11:$11,"住宅",'数据-基础表'!$5:$5)</f>
        <v>0</v>
      </c>
      <c r="F5" s="1391"/>
      <c r="G5" s="1398"/>
      <c r="H5" s="1246" t="s">
        <v>1909</v>
      </c>
      <c r="I5" s="55">
        <f>ROUND(E31/D31,2)</f>
        <v>0.96</v>
      </c>
      <c r="J5" s="1391"/>
      <c r="K5" s="1391"/>
      <c r="L5" s="1391"/>
      <c r="M5" s="1391"/>
      <c r="N5" s="1391"/>
      <c r="O5" s="1391"/>
      <c r="P5" s="1391"/>
    </row>
    <row r="6" spans="1:16" ht="15" thickBot="1">
      <c r="A6" s="2229"/>
      <c r="B6" s="3123" t="s">
        <v>1914</v>
      </c>
      <c r="C6" s="3123"/>
      <c r="D6" s="48">
        <f>ROUND($D$3*E6/$E$3,2)</f>
        <v>86905.919999999998</v>
      </c>
      <c r="E6" s="49">
        <f>E3-E5</f>
        <v>83329.149999999994</v>
      </c>
      <c r="F6" s="1391"/>
      <c r="G6" s="2230" t="s">
        <v>1915</v>
      </c>
      <c r="H6" s="1398" t="s">
        <v>1916</v>
      </c>
      <c r="I6" s="938">
        <f>ROUND(F31/D31,2)</f>
        <v>0.96</v>
      </c>
      <c r="J6" s="1391"/>
      <c r="K6" s="1391"/>
      <c r="L6" s="1391"/>
      <c r="M6" s="1391"/>
      <c r="N6" s="1391"/>
      <c r="O6" s="1391"/>
      <c r="P6" s="1391"/>
    </row>
    <row r="7" spans="1:16" ht="15">
      <c r="A7" s="3115"/>
      <c r="B7" s="3116"/>
      <c r="C7" s="3117"/>
      <c r="D7" s="2226" t="s">
        <v>1910</v>
      </c>
      <c r="E7" s="2231" t="s">
        <v>1917</v>
      </c>
      <c r="F7" s="1391"/>
      <c r="G7" s="2223" t="s">
        <v>1918</v>
      </c>
      <c r="H7" s="64"/>
      <c r="I7" s="419">
        <v>1.4</v>
      </c>
      <c r="J7" s="1391"/>
      <c r="K7" s="1391"/>
      <c r="L7" s="1391"/>
      <c r="M7" s="1391"/>
      <c r="N7" s="1391"/>
      <c r="O7" s="1391"/>
      <c r="P7" s="1391"/>
    </row>
    <row r="8" spans="1:16">
      <c r="A8" s="47" t="s">
        <v>1919</v>
      </c>
      <c r="B8" s="50" t="s">
        <v>1920</v>
      </c>
      <c r="C8" s="48" t="s">
        <v>1921</v>
      </c>
      <c r="D8" s="48">
        <f t="shared" ref="D8:D15" si="0">ROUND($D$3*E8/$E$3,2)</f>
        <v>86768.67</v>
      </c>
      <c r="E8" s="51">
        <f>SUMIF('数据-基础表'!BB10:BK10,"地上",'数据-基础表'!BB5:BK5)</f>
        <v>83197.549999999988</v>
      </c>
      <c r="F8" s="1391"/>
      <c r="G8" s="2232"/>
      <c r="H8" s="2232"/>
      <c r="I8" s="1391"/>
      <c r="J8" s="1391"/>
      <c r="K8" s="1391"/>
      <c r="L8" s="1391"/>
      <c r="M8" s="1391"/>
      <c r="N8" s="1391"/>
      <c r="O8" s="1391"/>
      <c r="P8" s="1391"/>
    </row>
    <row r="9" spans="1:16">
      <c r="A9" s="2233"/>
      <c r="B9" s="2234"/>
      <c r="C9" s="48" t="s">
        <v>1922</v>
      </c>
      <c r="D9" s="48">
        <f t="shared" si="0"/>
        <v>0</v>
      </c>
      <c r="E9" s="52">
        <v>0</v>
      </c>
      <c r="F9" s="1391"/>
      <c r="G9" s="2232"/>
      <c r="H9" s="2232"/>
      <c r="I9" s="1391"/>
      <c r="J9" s="1391"/>
      <c r="K9" s="1391"/>
      <c r="L9" s="1391"/>
      <c r="M9" s="1391"/>
      <c r="N9" s="1391"/>
      <c r="O9" s="1391"/>
      <c r="P9" s="1391"/>
    </row>
    <row r="10" spans="1:16">
      <c r="A10" s="2233"/>
      <c r="B10" s="2234"/>
      <c r="C10" s="48" t="s">
        <v>1931</v>
      </c>
      <c r="D10" s="48">
        <f t="shared" si="0"/>
        <v>0</v>
      </c>
      <c r="E10" s="51">
        <f>SUMPRODUCT(('数据-基础表'!BB10:BK10="地下")*('数据-基础表'!BB11:BK11="商业")*('数据-基础表'!BB5:BK5))</f>
        <v>0</v>
      </c>
      <c r="F10" s="1391"/>
      <c r="G10" s="2232"/>
      <c r="H10" s="2232"/>
      <c r="I10" s="1391"/>
      <c r="J10" s="1391"/>
      <c r="K10" s="1391"/>
      <c r="L10" s="1391"/>
      <c r="M10" s="1391"/>
      <c r="N10" s="1391"/>
      <c r="O10" s="1391"/>
      <c r="P10" s="1391"/>
    </row>
    <row r="11" spans="1:16">
      <c r="A11" s="2233"/>
      <c r="B11" s="2234"/>
      <c r="C11" s="48" t="s">
        <v>1923</v>
      </c>
      <c r="D11" s="48">
        <f t="shared" si="0"/>
        <v>0</v>
      </c>
      <c r="E11" s="51">
        <f>SUMPRODUCT(('数据-基础表'!BB10:BK10="地下")*('数据-基础表'!BB11:BK11="办公")*('数据-基础表'!BB5:BK5))+'数据-基础表'!BP5</f>
        <v>0</v>
      </c>
      <c r="F11" s="1391"/>
      <c r="G11" s="2232"/>
      <c r="H11" s="2232"/>
      <c r="I11" s="1391"/>
      <c r="J11" s="1391"/>
      <c r="K11" s="1391"/>
      <c r="L11" s="1391"/>
      <c r="M11" s="1391"/>
      <c r="N11" s="1391"/>
      <c r="O11" s="1391"/>
      <c r="P11" s="1391"/>
    </row>
    <row r="12" spans="1:16">
      <c r="A12" s="2233"/>
      <c r="B12" s="2234"/>
      <c r="C12" s="48" t="s">
        <v>1924</v>
      </c>
      <c r="D12" s="48">
        <f t="shared" si="0"/>
        <v>0</v>
      </c>
      <c r="E12" s="51">
        <f>SUMPRODUCT(('数据-基础表'!BB10:BK10="地下")*('数据-基础表'!BB11:BK11="仓储")*('数据-基础表'!BB5:BK5))</f>
        <v>0</v>
      </c>
      <c r="F12" s="1391"/>
      <c r="G12" s="2232"/>
      <c r="H12" s="2232"/>
      <c r="I12" s="1391"/>
      <c r="J12" s="1391"/>
      <c r="K12" s="1391"/>
      <c r="L12" s="1391"/>
      <c r="M12" s="1391"/>
      <c r="N12" s="1391"/>
      <c r="O12" s="1391"/>
      <c r="P12" s="1391"/>
    </row>
    <row r="13" spans="1:16">
      <c r="A13" s="2233"/>
      <c r="B13" s="2234"/>
      <c r="C13" s="48" t="s">
        <v>1925</v>
      </c>
      <c r="D13" s="48">
        <f t="shared" si="0"/>
        <v>0</v>
      </c>
      <c r="E13" s="51">
        <f>SUMPRODUCT(('数据-基础表'!BB10:BK10="地下")*('数据-基础表'!BB11:BK11="车库")*('数据-基础表'!BB5:BK5))</f>
        <v>0</v>
      </c>
      <c r="F13" s="1391"/>
      <c r="G13" s="2232"/>
      <c r="H13" s="2232"/>
      <c r="I13" s="1391"/>
      <c r="J13" s="1391"/>
      <c r="K13" s="1391"/>
      <c r="L13" s="1391"/>
      <c r="M13" s="1391"/>
      <c r="N13" s="1391"/>
      <c r="O13" s="1391"/>
      <c r="P13" s="1391"/>
    </row>
    <row r="14" spans="1:16">
      <c r="A14" s="2233"/>
      <c r="B14" s="2234"/>
      <c r="C14" s="48" t="s">
        <v>1937</v>
      </c>
      <c r="D14" s="48">
        <f t="shared" si="0"/>
        <v>0</v>
      </c>
      <c r="E14" s="51">
        <f>SUMPRODUCT(('数据-基础表'!BB10:BK10="地下")*('数据-基础表'!BB11:BK11="车库—商业")*('数据-基础表'!BB5:BK5))</f>
        <v>0</v>
      </c>
      <c r="F14" s="1391"/>
      <c r="G14" s="2232"/>
      <c r="H14" s="2232"/>
      <c r="I14" s="1391"/>
      <c r="J14" s="1391"/>
      <c r="K14" s="1391"/>
      <c r="L14" s="1391"/>
      <c r="M14" s="1391"/>
      <c r="N14" s="1391"/>
      <c r="O14" s="1391"/>
      <c r="P14" s="1391"/>
    </row>
    <row r="15" spans="1:16" ht="15" thickBot="1">
      <c r="A15" s="2233"/>
      <c r="B15" s="2234"/>
      <c r="C15" s="48" t="s">
        <v>1932</v>
      </c>
      <c r="D15" s="48">
        <f t="shared" si="0"/>
        <v>0</v>
      </c>
      <c r="E15" s="51">
        <f>SUMPRODUCT(('数据-基础表'!BB10:BK10="地下")*('数据-基础表'!BB11:BK11="车库—办公")*('数据-基础表'!BB5:BK5))</f>
        <v>0</v>
      </c>
      <c r="F15" s="1391"/>
      <c r="G15" s="2232"/>
      <c r="H15" s="2232"/>
      <c r="I15" s="1391"/>
      <c r="J15" s="1391"/>
      <c r="K15" s="1391"/>
      <c r="L15" s="1391"/>
      <c r="M15" s="1391"/>
      <c r="N15" s="1391"/>
      <c r="O15" s="1391"/>
      <c r="P15" s="1391"/>
    </row>
    <row r="16" spans="1:16" ht="15.75" thickBot="1">
      <c r="A16" s="2229"/>
      <c r="B16" s="2234"/>
      <c r="C16" s="50" t="s">
        <v>1926</v>
      </c>
      <c r="D16" s="50">
        <f>SUM(D8:D15)</f>
        <v>86768.67</v>
      </c>
      <c r="E16" s="53">
        <f>SUM(E8:E15)</f>
        <v>83197.549999999988</v>
      </c>
      <c r="F16" s="1391"/>
      <c r="G16" s="2232"/>
      <c r="H16" s="2235" t="s">
        <v>1938</v>
      </c>
      <c r="I16" s="2236"/>
      <c r="J16" s="1391"/>
      <c r="K16" s="3112" t="s">
        <v>1938</v>
      </c>
      <c r="L16" s="3113"/>
      <c r="M16" s="3113"/>
      <c r="N16" s="3113"/>
      <c r="O16" s="3113"/>
      <c r="P16" s="3114"/>
    </row>
    <row r="17" spans="1:19" ht="15">
      <c r="A17" s="2237" t="s">
        <v>1939</v>
      </c>
      <c r="B17" s="2238" t="s">
        <v>1940</v>
      </c>
      <c r="C17" s="2239" t="s">
        <v>1941</v>
      </c>
      <c r="D17" s="2240" t="s">
        <v>1929</v>
      </c>
      <c r="E17" s="2241" t="s">
        <v>1930</v>
      </c>
      <c r="F17" s="2242"/>
      <c r="G17" s="2243"/>
      <c r="H17" s="2244" t="s">
        <v>1942</v>
      </c>
      <c r="I17" s="2245" t="s">
        <v>1927</v>
      </c>
      <c r="J17" s="1391"/>
      <c r="K17" s="3109" t="s">
        <v>1943</v>
      </c>
      <c r="L17" s="3110"/>
      <c r="M17" s="3111"/>
      <c r="N17" s="3109" t="s">
        <v>1944</v>
      </c>
      <c r="O17" s="3110"/>
      <c r="P17" s="3111"/>
      <c r="R17" s="2223" t="s">
        <v>1945</v>
      </c>
      <c r="S17" s="64"/>
    </row>
    <row r="18" spans="1:19" ht="15">
      <c r="A18" s="2233"/>
      <c r="B18" s="2246"/>
      <c r="C18" s="2247"/>
      <c r="D18" s="2248"/>
      <c r="E18" s="2249" t="s">
        <v>1946</v>
      </c>
      <c r="F18" s="2250" t="s">
        <v>1947</v>
      </c>
      <c r="G18" s="2251" t="s">
        <v>1948</v>
      </c>
      <c r="H18" s="1261" t="s">
        <v>1949</v>
      </c>
      <c r="I18" s="2252" t="s">
        <v>1950</v>
      </c>
      <c r="J18" s="1391"/>
      <c r="K18" s="1261" t="s">
        <v>1951</v>
      </c>
      <c r="L18" s="2253" t="s">
        <v>1952</v>
      </c>
      <c r="M18" s="1045" t="s">
        <v>1953</v>
      </c>
      <c r="N18" s="1261" t="s">
        <v>1951</v>
      </c>
      <c r="O18" s="2253" t="s">
        <v>1952</v>
      </c>
      <c r="P18" s="1045" t="s">
        <v>1953</v>
      </c>
      <c r="R18" s="1246" t="s">
        <v>1954</v>
      </c>
      <c r="S18" s="1246" t="s">
        <v>1955</v>
      </c>
    </row>
    <row r="19" spans="1:19">
      <c r="A19" s="2254"/>
      <c r="B19" s="50" t="s">
        <v>1928</v>
      </c>
      <c r="C19" s="2955" t="s">
        <v>3069</v>
      </c>
      <c r="D19" s="48">
        <f>ROUND($D$3*E19/$E$3,2)</f>
        <v>86768.67</v>
      </c>
      <c r="E19" s="56">
        <f t="shared" ref="E19:E26" si="1">SUM(F19:G19)</f>
        <v>83197.549999999988</v>
      </c>
      <c r="F19" s="57">
        <f>'数据-基础表'!I13</f>
        <v>83197.549999999988</v>
      </c>
      <c r="G19" s="58"/>
      <c r="H19" s="722">
        <f>ROUND($D$3*I19/$E$3,2)</f>
        <v>76.849999999999994</v>
      </c>
      <c r="I19" s="51">
        <f t="shared" ref="I19:I26" si="2">IF($I$17="自定义",P19,M19)</f>
        <v>73.69</v>
      </c>
      <c r="J19" s="1391"/>
      <c r="K19" s="1390">
        <f t="shared" ref="K19:K26" si="3">ROUND(E$28*E19/E$27,2)</f>
        <v>73.69</v>
      </c>
      <c r="L19" s="1246">
        <f t="shared" ref="L19:L26" si="4">ROUND(IF(COUNTIF(C19,"*住宅*")&gt;0,E$29*E19/E$32,0),2)</f>
        <v>0</v>
      </c>
      <c r="M19" s="1402">
        <f>K19+L19</f>
        <v>73.69</v>
      </c>
      <c r="N19" s="2256"/>
      <c r="O19" s="2257"/>
      <c r="P19" s="1402">
        <f>N19+O19</f>
        <v>0</v>
      </c>
      <c r="R19" s="1246">
        <f t="shared" ref="R19:S26" si="5">D19+H19</f>
        <v>86845.52</v>
      </c>
      <c r="S19" s="1247">
        <f t="shared" si="5"/>
        <v>83271.239999999991</v>
      </c>
    </row>
    <row r="20" spans="1:19">
      <c r="A20" s="2258"/>
      <c r="B20" s="50" t="s">
        <v>1956</v>
      </c>
      <c r="C20" s="2255"/>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56"/>
      <c r="O20" s="2257"/>
      <c r="P20" s="1402">
        <f t="shared" ref="P20:P26" si="9">N20+O20</f>
        <v>0</v>
      </c>
      <c r="R20" s="1246">
        <f t="shared" si="5"/>
        <v>0</v>
      </c>
      <c r="S20" s="1247">
        <f t="shared" si="5"/>
        <v>0</v>
      </c>
    </row>
    <row r="21" spans="1:19">
      <c r="A21" s="2258"/>
      <c r="B21" s="50" t="s">
        <v>1956</v>
      </c>
      <c r="C21" s="2255"/>
      <c r="D21" s="48">
        <f t="shared" si="6"/>
        <v>0</v>
      </c>
      <c r="E21" s="56">
        <f t="shared" si="1"/>
        <v>0</v>
      </c>
      <c r="F21" s="57"/>
      <c r="G21" s="58"/>
      <c r="H21" s="722">
        <f t="shared" si="7"/>
        <v>0</v>
      </c>
      <c r="I21" s="51">
        <f t="shared" si="2"/>
        <v>0</v>
      </c>
      <c r="J21" s="1391"/>
      <c r="K21" s="1390">
        <f t="shared" si="3"/>
        <v>0</v>
      </c>
      <c r="L21" s="1246">
        <f t="shared" si="4"/>
        <v>0</v>
      </c>
      <c r="M21" s="1402">
        <f t="shared" si="8"/>
        <v>0</v>
      </c>
      <c r="N21" s="2256"/>
      <c r="O21" s="2257"/>
      <c r="P21" s="1402">
        <f t="shared" si="9"/>
        <v>0</v>
      </c>
      <c r="R21" s="1246">
        <f t="shared" si="5"/>
        <v>0</v>
      </c>
      <c r="S21" s="1247">
        <f t="shared" si="5"/>
        <v>0</v>
      </c>
    </row>
    <row r="22" spans="1:19">
      <c r="A22" s="2258"/>
      <c r="B22" s="50" t="s">
        <v>1956</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6"/>
      <c r="O22" s="2257"/>
      <c r="P22" s="1402">
        <f t="shared" si="9"/>
        <v>0</v>
      </c>
      <c r="R22" s="1246">
        <f t="shared" si="5"/>
        <v>0</v>
      </c>
      <c r="S22" s="1247">
        <f t="shared" si="5"/>
        <v>0</v>
      </c>
    </row>
    <row r="23" spans="1:19">
      <c r="A23" s="2258"/>
      <c r="B23" s="50" t="s">
        <v>1956</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6"/>
      <c r="O23" s="2257"/>
      <c r="P23" s="1402">
        <f t="shared" si="9"/>
        <v>0</v>
      </c>
      <c r="R23" s="1246">
        <f t="shared" si="5"/>
        <v>0</v>
      </c>
      <c r="S23" s="1247">
        <f t="shared" si="5"/>
        <v>0</v>
      </c>
    </row>
    <row r="24" spans="1:19">
      <c r="A24" s="2258"/>
      <c r="B24" s="50" t="s">
        <v>1956</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6"/>
      <c r="O24" s="2257"/>
      <c r="P24" s="1402">
        <f t="shared" si="9"/>
        <v>0</v>
      </c>
      <c r="R24" s="1246">
        <f t="shared" si="5"/>
        <v>0</v>
      </c>
      <c r="S24" s="1247">
        <f t="shared" si="5"/>
        <v>0</v>
      </c>
    </row>
    <row r="25" spans="1:19">
      <c r="A25" s="2258"/>
      <c r="B25" s="50" t="s">
        <v>1956</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6"/>
      <c r="O25" s="2257"/>
      <c r="P25" s="1402">
        <f t="shared" si="9"/>
        <v>0</v>
      </c>
      <c r="R25" s="1246">
        <f t="shared" si="5"/>
        <v>0</v>
      </c>
      <c r="S25" s="1247">
        <f t="shared" si="5"/>
        <v>0</v>
      </c>
    </row>
    <row r="26" spans="1:19">
      <c r="A26" s="2258"/>
      <c r="B26" s="50" t="s">
        <v>1956</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9"/>
      <c r="O26" s="2260"/>
      <c r="P26" s="67">
        <f t="shared" si="9"/>
        <v>0</v>
      </c>
      <c r="R26" s="1246">
        <f t="shared" si="5"/>
        <v>0</v>
      </c>
      <c r="S26" s="1247">
        <f t="shared" si="5"/>
        <v>0</v>
      </c>
    </row>
    <row r="27" spans="1:19" ht="29.25" thickBot="1">
      <c r="A27" s="2258"/>
      <c r="B27" s="48"/>
      <c r="C27" s="2261" t="s">
        <v>1957</v>
      </c>
      <c r="D27" s="1392">
        <f>SUM(D19:D26)</f>
        <v>86768.67</v>
      </c>
      <c r="E27" s="1393">
        <f>IF(SUM(E19:E26)='数据-基础表'!BA5,SUM(E19:E26),IF(F27="地上面积有误","面积有误","地下面积有误"))</f>
        <v>83197.549999999988</v>
      </c>
      <c r="F27" s="1392">
        <f>IF(SUM(F19:F26)=E8,SUM(F19:F26),"地上面积有误")</f>
        <v>83197.549999999988</v>
      </c>
      <c r="G27" s="1394">
        <f>SUM(G19:G26)</f>
        <v>0</v>
      </c>
      <c r="H27" s="1395">
        <f>SUM(H19:H26)</f>
        <v>76.849999999999994</v>
      </c>
      <c r="I27" s="1396">
        <f>SUM(I19:I26)</f>
        <v>73.69</v>
      </c>
      <c r="J27" s="1391"/>
      <c r="K27" s="1399">
        <f>SUM(K19:K26)</f>
        <v>73.69</v>
      </c>
      <c r="L27" s="1400">
        <f>SUM(L19:L26)</f>
        <v>0</v>
      </c>
      <c r="M27" s="1403">
        <f>SUM(M19:M26)</f>
        <v>73.69</v>
      </c>
      <c r="N27" s="1399">
        <f t="shared" ref="N27:O27" si="10">SUM(N19:N26)</f>
        <v>0</v>
      </c>
      <c r="O27" s="1400">
        <f t="shared" si="10"/>
        <v>0</v>
      </c>
      <c r="P27" s="1401">
        <f>SUM(P19:P26)</f>
        <v>0</v>
      </c>
      <c r="R27" s="1248" t="str">
        <f>IF(SUM(R19:R26)=$D$3,SUM(R19:R26),SUM(R19:R26)&amp;"误差"&amp;ROUND(SUM(R19:R26)-$D$3,2))</f>
        <v>86845.52误差-60.4</v>
      </c>
      <c r="S27" s="1246" t="str">
        <f>IF(SUM(S19:S26)=$E$3,SUM(S19:S26),SUM(S19:S26)&amp;"误差"&amp;ROUND(SUM(S19:S26)-E3,2))</f>
        <v>83271.24误差-57.91</v>
      </c>
    </row>
    <row r="28" spans="1:19">
      <c r="A28" s="2258"/>
      <c r="B28" s="50" t="s">
        <v>1958</v>
      </c>
      <c r="C28" s="1258" t="s">
        <v>1959</v>
      </c>
      <c r="D28" s="48">
        <f>ROUND($D$3*E28/$E$3,2)</f>
        <v>76.849999999999994</v>
      </c>
      <c r="E28" s="56">
        <f>SUM(F28:G28)</f>
        <v>73.69</v>
      </c>
      <c r="F28" s="64">
        <f>'数据-基础表'!BQ5+'数据-基础表'!BS5</f>
        <v>73.69</v>
      </c>
      <c r="G28" s="65">
        <f>'数据-基础表'!BR5+'数据-基础表'!BT5</f>
        <v>0</v>
      </c>
      <c r="H28" s="1391"/>
      <c r="I28" s="1391"/>
      <c r="J28" s="1391"/>
      <c r="K28" s="1391"/>
      <c r="L28" s="1391"/>
      <c r="M28" s="1391"/>
      <c r="N28" s="1391"/>
      <c r="O28" s="1391"/>
      <c r="P28" s="1391"/>
    </row>
    <row r="29" spans="1:19">
      <c r="A29" s="2258"/>
      <c r="B29" s="50" t="s">
        <v>1958</v>
      </c>
      <c r="C29" s="2262" t="s">
        <v>1960</v>
      </c>
      <c r="D29" s="48">
        <f>ROUND($D$3*E29/$E$3,2)</f>
        <v>60.4</v>
      </c>
      <c r="E29" s="56">
        <f>SUM(F29:G29)</f>
        <v>57.91</v>
      </c>
      <c r="F29" s="66">
        <f>'数据-基础表'!BM5+'数据-基础表'!BO5</f>
        <v>57.91</v>
      </c>
      <c r="G29" s="67">
        <f>'数据-基础表'!BN5+'数据-基础表'!BP5</f>
        <v>0</v>
      </c>
      <c r="H29" s="1391"/>
      <c r="I29" s="1391"/>
      <c r="J29" s="1391"/>
      <c r="K29" s="1391"/>
      <c r="L29" s="1391"/>
      <c r="M29" s="1391"/>
      <c r="N29" s="1391"/>
      <c r="O29" s="1391"/>
      <c r="P29" s="1391"/>
    </row>
    <row r="30" spans="1:19" ht="15">
      <c r="A30" s="2258"/>
      <c r="B30" s="50"/>
      <c r="C30" s="2263" t="s">
        <v>1957</v>
      </c>
      <c r="D30" s="1392">
        <f>SUM(D28:D29)</f>
        <v>137.25</v>
      </c>
      <c r="E30" s="1392">
        <f>SUM(E28:E29)</f>
        <v>131.6</v>
      </c>
      <c r="F30" s="1392">
        <f>SUM(F28:F29)</f>
        <v>131.6</v>
      </c>
      <c r="G30" s="1394">
        <f>SUM(G28:G29)</f>
        <v>0</v>
      </c>
      <c r="H30" s="1391"/>
      <c r="I30" s="1391"/>
      <c r="J30" s="1391"/>
      <c r="K30" s="1391"/>
      <c r="L30" s="1391"/>
      <c r="M30" s="1391"/>
      <c r="N30" s="1391"/>
      <c r="O30" s="1391"/>
      <c r="P30" s="1391"/>
    </row>
    <row r="31" spans="1:19" ht="15.75" thickBot="1">
      <c r="A31" s="2264"/>
      <c r="B31" s="2265"/>
      <c r="C31" s="1006" t="s">
        <v>1961</v>
      </c>
      <c r="D31" s="728">
        <f>D27+D30</f>
        <v>86905.919999999998</v>
      </c>
      <c r="E31" s="728">
        <f>E27+E30</f>
        <v>83329.149999999994</v>
      </c>
      <c r="F31" s="729">
        <f>F27+F30</f>
        <v>83329.149999999994</v>
      </c>
      <c r="G31" s="730">
        <f>G27+G30</f>
        <v>0</v>
      </c>
      <c r="H31" s="1391"/>
      <c r="I31" s="1391"/>
      <c r="J31" s="1391"/>
      <c r="K31" s="1391"/>
      <c r="L31" s="1391"/>
      <c r="M31" s="1391"/>
      <c r="N31" s="1391"/>
      <c r="O31" s="1391"/>
      <c r="P31" s="1391"/>
    </row>
    <row r="32" spans="1:19">
      <c r="A32" s="2228"/>
      <c r="B32" s="2228" t="s">
        <v>1962</v>
      </c>
      <c r="C32" s="2228"/>
      <c r="D32" s="2228"/>
      <c r="E32" s="1273">
        <f>SUMIF(C19:C26,"*住宅*",E19:E26)</f>
        <v>0</v>
      </c>
      <c r="F32" s="2228"/>
      <c r="G32" s="2228"/>
      <c r="H32" s="1391"/>
      <c r="I32" s="1391"/>
      <c r="J32" s="1391"/>
      <c r="K32" s="1391"/>
      <c r="L32" s="1391"/>
      <c r="M32" s="1391"/>
      <c r="N32" s="1391"/>
      <c r="O32" s="1391"/>
      <c r="P32" s="1391"/>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5" activePane="bottomRight" state="frozen"/>
      <selection activeCell="C50" sqref="C50"/>
      <selection pane="topRight" activeCell="C50" sqref="C50"/>
      <selection pane="bottomLeft" activeCell="C50" sqref="C50"/>
      <selection pane="bottomRight" activeCell="M6" sqref="M6"/>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1963</v>
      </c>
      <c r="B1" s="731"/>
      <c r="C1" s="1580"/>
      <c r="D1" s="2268"/>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1" t="s">
        <v>1964</v>
      </c>
      <c r="B2" s="1265">
        <f>项目基本情况!D3</f>
        <v>43691</v>
      </c>
      <c r="C2" s="2272"/>
      <c r="D2" s="2273"/>
      <c r="E2" s="2272"/>
      <c r="F2" s="2272"/>
      <c r="G2" s="2272"/>
      <c r="H2" s="2272"/>
      <c r="I2" s="2272"/>
      <c r="J2" s="2272"/>
      <c r="K2" s="1426"/>
      <c r="L2" s="1426"/>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6"/>
      <c r="L3" s="1426"/>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1965</v>
      </c>
      <c r="B4" s="2276"/>
      <c r="C4" s="2277"/>
      <c r="D4" s="2278"/>
      <c r="E4" s="2277" t="s">
        <v>1966</v>
      </c>
      <c r="F4" s="2277"/>
      <c r="G4" s="2277"/>
      <c r="H4" s="2277"/>
      <c r="I4" s="2277"/>
      <c r="J4" s="2279"/>
      <c r="K4" s="2280"/>
      <c r="L4" s="2281"/>
      <c r="M4" s="2277"/>
      <c r="N4" s="2277" t="s">
        <v>1967</v>
      </c>
      <c r="O4" s="2277"/>
      <c r="P4" s="2277"/>
      <c r="Q4" s="2277"/>
      <c r="R4" s="2277"/>
      <c r="S4" s="2279"/>
      <c r="T4" s="2282" t="str">
        <f>'数据-汇总表'!I17</f>
        <v>按面积比例</v>
      </c>
      <c r="U4" s="2276" t="s">
        <v>1968</v>
      </c>
      <c r="V4" s="2277"/>
      <c r="W4" s="2277"/>
      <c r="X4" s="2277"/>
      <c r="Y4" s="2279"/>
      <c r="Z4" s="2239" t="s">
        <v>1969</v>
      </c>
      <c r="AA4" s="2239"/>
      <c r="AB4" s="2239"/>
      <c r="AC4" s="2239"/>
      <c r="AD4" s="2239"/>
      <c r="AE4" s="2237" t="s">
        <v>1970</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1971</v>
      </c>
      <c r="B5" s="2285" t="s">
        <v>1972</v>
      </c>
      <c r="C5" s="2286" t="s">
        <v>1973</v>
      </c>
      <c r="D5" s="2287" t="s">
        <v>1974</v>
      </c>
      <c r="E5" s="1267" t="s">
        <v>1975</v>
      </c>
      <c r="F5" s="2288" t="s">
        <v>1976</v>
      </c>
      <c r="G5" s="1267" t="s">
        <v>1977</v>
      </c>
      <c r="H5" s="1267" t="s">
        <v>1978</v>
      </c>
      <c r="I5" s="1267" t="s">
        <v>1979</v>
      </c>
      <c r="J5" s="2289" t="s">
        <v>1980</v>
      </c>
      <c r="K5" s="2290" t="s">
        <v>1981</v>
      </c>
      <c r="L5" s="2291" t="s">
        <v>1982</v>
      </c>
      <c r="M5" s="2292" t="s">
        <v>1983</v>
      </c>
      <c r="N5" s="2293" t="s">
        <v>3070</v>
      </c>
      <c r="O5" s="2291" t="s">
        <v>1984</v>
      </c>
      <c r="P5" s="2294" t="s">
        <v>1985</v>
      </c>
      <c r="Q5" s="69" t="s">
        <v>1986</v>
      </c>
      <c r="R5" s="2295" t="s">
        <v>1987</v>
      </c>
      <c r="S5" s="2296" t="s">
        <v>1988</v>
      </c>
      <c r="T5" s="2297" t="s">
        <v>1989</v>
      </c>
      <c r="U5" s="1266" t="s">
        <v>1990</v>
      </c>
      <c r="V5" s="1267" t="s">
        <v>1991</v>
      </c>
      <c r="W5" s="1267" t="s">
        <v>1992</v>
      </c>
      <c r="X5" s="71"/>
      <c r="Y5" s="70" t="s">
        <v>1993</v>
      </c>
      <c r="Z5" s="2298" t="s">
        <v>1990</v>
      </c>
      <c r="AA5" s="1267" t="s">
        <v>1991</v>
      </c>
      <c r="AB5" s="1267" t="s">
        <v>1992</v>
      </c>
      <c r="AC5" s="71"/>
      <c r="AD5" s="71" t="s">
        <v>1993</v>
      </c>
      <c r="AE5" s="1266" t="s">
        <v>1994</v>
      </c>
      <c r="AF5" s="1267" t="s">
        <v>1995</v>
      </c>
      <c r="AG5" s="70" t="s">
        <v>1996</v>
      </c>
      <c r="AH5" s="1266" t="s">
        <v>1997</v>
      </c>
      <c r="AI5" s="2298" t="s">
        <v>1998</v>
      </c>
      <c r="AJ5" s="2298" t="s">
        <v>1999</v>
      </c>
      <c r="AK5" s="1267" t="s">
        <v>2000</v>
      </c>
      <c r="AL5" s="1267" t="s">
        <v>2001</v>
      </c>
      <c r="AM5" s="70" t="s">
        <v>2002</v>
      </c>
      <c r="AN5" s="2299" t="s">
        <v>2003</v>
      </c>
      <c r="AO5" s="2069" t="s">
        <v>2004</v>
      </c>
      <c r="AP5" s="1248" t="s">
        <v>2005</v>
      </c>
      <c r="AQ5" s="2300" t="s">
        <v>2006</v>
      </c>
      <c r="AR5" s="2300" t="s">
        <v>2007</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9" customFormat="1" ht="14.25">
      <c r="A6" s="2301" t="str">
        <f>'数据-汇总表'!C19</f>
        <v>厂房</v>
      </c>
      <c r="B6" s="2302" t="str">
        <f>IF(A6=0,"","经营性")</f>
        <v>经营性</v>
      </c>
      <c r="C6" s="2303" t="s">
        <v>6</v>
      </c>
      <c r="D6" s="1050">
        <f>SUMIF(项目基本情况!D$12:I$12,C6,项目基本情况!D$14:I$14)</f>
        <v>50</v>
      </c>
      <c r="E6" s="1047">
        <f>IF(B6="","",SUMIF(项目基本情况!D$12:I$12,C6,项目基本情况!D$13:I$13))</f>
        <v>54045</v>
      </c>
      <c r="F6" s="72">
        <f>SUMIF(项目基本情况!D$12:I$12,C6,项目基本情况!D$15:I$15)</f>
        <v>28.36</v>
      </c>
      <c r="G6" s="73">
        <f>IF(ISERROR(ROUND(POWER(1+H6,D6-F6)*(POWER(1+H6,F6)-1)/(POWER(1+H6,D6)-1),3)),0,ROUND(POWER(1+H6,D6-F6)*(POWER(1+H6,F6)-1)/(POWER(1+H6,D6)-1),3))</f>
        <v>0.81299999999999994</v>
      </c>
      <c r="H6" s="801">
        <v>4.8000000000000001E-2</v>
      </c>
      <c r="I6" s="801">
        <v>0.05</v>
      </c>
      <c r="J6" s="74">
        <v>0.08</v>
      </c>
      <c r="K6" s="1250">
        <f>SUMIF('数据-汇总表'!C$19:C$33,A6,'数据-汇总表'!E$19:E$33)</f>
        <v>83197.549999999988</v>
      </c>
      <c r="L6" s="3032">
        <v>2500</v>
      </c>
      <c r="M6" s="75">
        <f t="shared" ref="M6:M14" si="0">ROUND(K6*L6/10000,0)</f>
        <v>20799</v>
      </c>
      <c r="N6" s="800">
        <f>N19</f>
        <v>0.94</v>
      </c>
      <c r="O6" s="75" t="str">
        <f>IF($N$5="成新度","——",ROUND(M6*N6,0))</f>
        <v>——</v>
      </c>
      <c r="P6" s="76" t="str">
        <f>IF($N$5="成新度","——",M6-O6)</f>
        <v>——</v>
      </c>
      <c r="Q6" s="803">
        <v>0.1</v>
      </c>
      <c r="R6" s="77">
        <f ca="1">SUMIF('数据-汇总表'!C$19:C$33,A6,'数据-汇总表'!R$19:R$27)</f>
        <v>86845.52</v>
      </c>
      <c r="S6" s="54">
        <f>IF('数据-汇总表'!$I$17="按面积比例",SUMIF('数据-汇总表'!C$19:C$33,A6,'数据-汇总表'!K$19:K$33),SUMIF('数据-汇总表'!C$19:C$33,A6,'数据-汇总表'!N$19:N$33))</f>
        <v>73.69</v>
      </c>
      <c r="T6" s="1442">
        <f>ROUND($L$14*S6/10000,0)</f>
        <v>0</v>
      </c>
      <c r="U6" s="3020">
        <v>1.2</v>
      </c>
      <c r="V6" s="79">
        <v>0.03</v>
      </c>
      <c r="W6" s="79">
        <v>0.1</v>
      </c>
      <c r="X6" s="1260"/>
      <c r="Y6" s="80">
        <f>N6</f>
        <v>0.94</v>
      </c>
      <c r="Z6" s="81"/>
      <c r="AA6" s="74"/>
      <c r="AB6" s="74"/>
      <c r="AC6" s="1260"/>
      <c r="AD6" s="82"/>
      <c r="AE6" s="1261">
        <f ca="1">IF(AN6="",0,SUMIF(INDIRECT("'"&amp;AN6&amp;"'"&amp;"!E:E"),$AE$5,INDIRECT("'"&amp;AN6&amp;"'"&amp;"!F:F")))</f>
        <v>28.36</v>
      </c>
      <c r="AF6" s="1803"/>
      <c r="AG6" s="146">
        <f>IF(AF6="",0,AE6-AF6)</f>
        <v>0</v>
      </c>
      <c r="AH6" s="83"/>
      <c r="AI6" s="85">
        <v>365</v>
      </c>
      <c r="AJ6" s="86"/>
      <c r="AK6" s="87">
        <v>1.4999999999999999E-2</v>
      </c>
      <c r="AL6" s="88">
        <v>1.5E-3</v>
      </c>
      <c r="AM6" s="89">
        <v>0.01</v>
      </c>
      <c r="AN6" s="2304" t="s">
        <v>3073</v>
      </c>
      <c r="AO6" s="55">
        <f ca="1">SUMIF(INDIRECT("'"&amp;AN6&amp;"'"&amp;"!A:A"),"总价",INDIRECT("'"&amp;AN6&amp;"'"&amp;"!B:B"))</f>
        <v>46811</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f>'数据-汇总表'!C20</f>
        <v>0</v>
      </c>
      <c r="B7" s="2302" t="str">
        <f t="shared" ref="B7:B13" si="1">IF(A7=0,"","经营性")</f>
        <v/>
      </c>
      <c r="C7" s="2303"/>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6">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c r="A8" s="2301">
        <f>'数据-汇总表'!C21</f>
        <v>0</v>
      </c>
      <c r="B8" s="2302" t="str">
        <f t="shared" si="1"/>
        <v/>
      </c>
      <c r="C8" s="2303"/>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6">
        <f t="shared" si="7"/>
        <v>0</v>
      </c>
      <c r="AH8" s="807"/>
      <c r="AI8" s="85"/>
      <c r="AJ8" s="86"/>
      <c r="AK8" s="808"/>
      <c r="AL8" s="809"/>
      <c r="AM8" s="810"/>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c r="A9" s="2301">
        <f>'数据-汇总表'!C22</f>
        <v>0</v>
      </c>
      <c r="B9" s="2302" t="str">
        <f t="shared" si="1"/>
        <v/>
      </c>
      <c r="C9" s="2303"/>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6">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c r="A10" s="2301">
        <f>'数据-汇总表'!C23</f>
        <v>0</v>
      </c>
      <c r="B10" s="2302" t="str">
        <f t="shared" si="1"/>
        <v/>
      </c>
      <c r="C10" s="2303"/>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6">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c r="A11" s="2301">
        <f>'数据-汇总表'!C24</f>
        <v>0</v>
      </c>
      <c r="B11" s="2302" t="str">
        <f t="shared" si="1"/>
        <v/>
      </c>
      <c r="C11" s="2303"/>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6">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c r="A12" s="2301">
        <f>'数据-汇总表'!C25</f>
        <v>0</v>
      </c>
      <c r="B12" s="2302" t="str">
        <f t="shared" si="1"/>
        <v/>
      </c>
      <c r="C12" s="2303"/>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6">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c r="A13" s="2301">
        <f>'数据-汇总表'!C26</f>
        <v>0</v>
      </c>
      <c r="B13" s="2302" t="str">
        <f t="shared" si="1"/>
        <v/>
      </c>
      <c r="C13" s="2303"/>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6">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2008</v>
      </c>
      <c r="B14" s="2302" t="s">
        <v>2009</v>
      </c>
      <c r="C14" s="2307" t="s">
        <v>2008</v>
      </c>
      <c r="D14" s="1050"/>
      <c r="E14" s="1047"/>
      <c r="F14" s="72"/>
      <c r="G14" s="73"/>
      <c r="H14" s="1249"/>
      <c r="I14" s="1249"/>
      <c r="J14" s="1249"/>
      <c r="K14" s="1250">
        <f>SUMIF('数据-汇总表'!C$19:C$33,A14,'数据-汇总表'!E$19:E$33)</f>
        <v>73.69</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6"/>
      <c r="AH14" s="1261"/>
      <c r="AI14" s="1814"/>
      <c r="AJ14" s="772"/>
      <c r="AK14" s="1262"/>
      <c r="AL14" s="1263"/>
      <c r="AM14" s="1264"/>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2010</v>
      </c>
      <c r="B15" s="2302" t="s">
        <v>2009</v>
      </c>
      <c r="C15" s="2307" t="s">
        <v>2011</v>
      </c>
      <c r="D15" s="1050"/>
      <c r="E15" s="1047"/>
      <c r="F15" s="72"/>
      <c r="G15" s="73"/>
      <c r="H15" s="1249"/>
      <c r="I15" s="1249"/>
      <c r="J15" s="1249"/>
      <c r="K15" s="1250">
        <f>SUMIF('数据-汇总表'!C$19:C$33,A15,'数据-汇总表'!E$19:E$33)</f>
        <v>57.91</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6"/>
      <c r="AH15" s="1261"/>
      <c r="AI15" s="1814"/>
      <c r="AJ15" s="772"/>
      <c r="AK15" s="1262"/>
      <c r="AL15" s="1263"/>
      <c r="AM15" s="1264"/>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2012</v>
      </c>
      <c r="B16" s="97"/>
      <c r="C16" s="1004"/>
      <c r="D16" s="2309"/>
      <c r="E16" s="97"/>
      <c r="F16" s="97"/>
      <c r="G16" s="98">
        <f>ROUND(SUMPRODUCT(G6:G13,K6:K13)/SUMPRODUCT((G6:G13&gt;0)*(K6:K13)),3)</f>
        <v>0.81299999999999994</v>
      </c>
      <c r="H16" s="99">
        <f>ROUND(SUMPRODUCT(H6:H13,K6:K13)/SUMPRODUCT((H6:H13&gt;0)*(K6:K13)),3)</f>
        <v>4.8000000000000001E-2</v>
      </c>
      <c r="I16" s="100"/>
      <c r="J16" s="100"/>
      <c r="K16" s="101">
        <f>SUM(K6:K15)</f>
        <v>83329.149999999994</v>
      </c>
      <c r="L16" s="102">
        <f>ROUND(M16*10000/SUM(K6:K14),0)</f>
        <v>2498</v>
      </c>
      <c r="M16" s="102">
        <f>SUM(M6:M14)</f>
        <v>20799</v>
      </c>
      <c r="N16" s="103">
        <f>ROUND(SUMPRODUCT(M6:M14,N6:N14)/M16,3)</f>
        <v>0.94</v>
      </c>
      <c r="O16" s="102">
        <f>SUM(O6:O14)</f>
        <v>0</v>
      </c>
      <c r="P16" s="102">
        <f>SUM(P6:P14)</f>
        <v>0</v>
      </c>
      <c r="Q16" s="104">
        <f>ROUND(SUMPRODUCT(Q6:Q13,K6:K13)/SUMPRODUCT((Q6:Q13&gt;0)*(K6:K13)),2)</f>
        <v>0.1</v>
      </c>
      <c r="R16" s="1254">
        <f ca="1">SUM(R6:R13)</f>
        <v>86845.52</v>
      </c>
      <c r="S16" s="105">
        <f>SUM(S6:S13)</f>
        <v>73.69</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80"/>
      <c r="D17" s="2268"/>
      <c r="E17" s="2268"/>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75"/>
      <c r="C18" s="2272"/>
      <c r="D18" s="2273"/>
      <c r="E18" s="2272"/>
      <c r="F18" s="2272"/>
      <c r="G18" s="2272"/>
      <c r="H18" s="2272"/>
      <c r="I18" s="2272"/>
      <c r="J18" s="2272"/>
      <c r="K18" s="167"/>
      <c r="L18" s="167"/>
      <c r="M18" s="1580"/>
      <c r="N18" s="1580">
        <v>2014</v>
      </c>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2014</v>
      </c>
      <c r="B19" s="112">
        <v>0</v>
      </c>
      <c r="C19" s="2272" t="s">
        <v>2015</v>
      </c>
      <c r="D19" s="2273"/>
      <c r="E19" s="2272"/>
      <c r="F19" s="2272"/>
      <c r="G19" s="2272"/>
      <c r="H19" s="2272"/>
      <c r="I19" s="2272"/>
      <c r="J19" s="2272"/>
      <c r="K19" s="167"/>
      <c r="L19" s="167"/>
      <c r="M19" s="1580"/>
      <c r="N19" s="1580">
        <f>ROUND(1-(2019-N18)/80,2)</f>
        <v>0.94</v>
      </c>
      <c r="O19" s="1580"/>
      <c r="P19" s="1580"/>
      <c r="Q19" s="1580"/>
      <c r="R19" s="1580"/>
      <c r="S19" s="1580"/>
      <c r="T19" s="1580"/>
      <c r="U19" s="1580"/>
      <c r="V19" s="1580"/>
      <c r="W19" s="1580"/>
      <c r="X19" s="1580"/>
      <c r="Y19" s="1580"/>
      <c r="Z19" s="1580"/>
      <c r="AA19" s="1580"/>
      <c r="AB19" s="1580"/>
      <c r="AC19" s="1580"/>
      <c r="AD19" s="1580">
        <f>ROUND(1-(2024-2014)/80,2)</f>
        <v>0.88</v>
      </c>
      <c r="AE19" s="1580"/>
      <c r="AF19" s="1580"/>
      <c r="AG19" s="1580"/>
      <c r="AH19" s="1580"/>
      <c r="AI19" s="1580"/>
      <c r="AJ19" s="1580"/>
      <c r="AK19" s="1580"/>
      <c r="AL19" s="1580"/>
      <c r="AM19" s="1580"/>
    </row>
    <row r="20" spans="1:67" ht="14.25">
      <c r="A20" s="2312" t="s">
        <v>2016</v>
      </c>
      <c r="B20" s="113">
        <v>1</v>
      </c>
      <c r="C20" s="2272" t="s">
        <v>2017</v>
      </c>
      <c r="D20" s="2273"/>
      <c r="E20" s="2272"/>
      <c r="F20" s="2272"/>
      <c r="G20" s="2272"/>
      <c r="H20" s="2272"/>
      <c r="I20" s="2272"/>
      <c r="J20" s="2272"/>
      <c r="K20" s="167"/>
      <c r="L20" s="167"/>
      <c r="M20" s="1580">
        <f ca="1">结果表!G19</f>
        <v>41557</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2018</v>
      </c>
      <c r="B21" s="113">
        <v>1</v>
      </c>
      <c r="C21" s="2272"/>
      <c r="D21" s="2273"/>
      <c r="E21" s="2272"/>
      <c r="F21" s="2272"/>
      <c r="G21" s="2272"/>
      <c r="H21" s="2272"/>
      <c r="I21" s="2272"/>
      <c r="J21" s="2272"/>
      <c r="K21" s="167"/>
      <c r="L21" s="167"/>
      <c r="M21" s="1580">
        <f ca="1">结果表!N59</f>
        <v>40239</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2019</v>
      </c>
      <c r="B22" s="114">
        <f>B19+B20</f>
        <v>1</v>
      </c>
      <c r="C22" s="2272"/>
      <c r="D22" s="2273"/>
      <c r="E22" s="2272"/>
      <c r="F22" s="2272"/>
      <c r="G22" s="2272"/>
      <c r="H22" s="2272"/>
      <c r="I22" s="2272"/>
      <c r="J22" s="2272"/>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2020</v>
      </c>
      <c r="B23" s="114">
        <f>B19+B21</f>
        <v>1</v>
      </c>
      <c r="C23" s="2272"/>
      <c r="D23" s="2273"/>
      <c r="E23" s="2272"/>
      <c r="F23" s="2272"/>
      <c r="G23" s="2272"/>
      <c r="H23" s="2272"/>
      <c r="I23" s="2272"/>
      <c r="J23" s="2272"/>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2021</v>
      </c>
      <c r="B24" s="115">
        <f>B20-B21</f>
        <v>0</v>
      </c>
      <c r="C24" s="2272"/>
      <c r="D24" s="2273"/>
      <c r="E24" s="2272"/>
      <c r="F24" s="2272"/>
      <c r="G24" s="2272"/>
      <c r="H24" s="2272"/>
      <c r="I24" s="2272"/>
      <c r="J24" s="2272"/>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5"/>
      <c r="C25" s="2272"/>
      <c r="D25" s="2273"/>
      <c r="E25" s="2272"/>
      <c r="F25" s="2272"/>
      <c r="G25" s="2272"/>
      <c r="H25" s="2272"/>
      <c r="I25" s="2272"/>
      <c r="J25" s="2272"/>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2022</v>
      </c>
      <c r="B26" s="2315" t="s">
        <v>2023</v>
      </c>
      <c r="C26" s="2316" t="s">
        <v>2024</v>
      </c>
      <c r="D26" s="2273"/>
      <c r="E26" s="2272"/>
      <c r="F26" s="2272"/>
      <c r="G26" s="2272"/>
      <c r="H26" s="2272"/>
      <c r="I26" s="2272"/>
      <c r="J26" s="2272"/>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2025</v>
      </c>
      <c r="B27" s="116"/>
      <c r="C27" s="1763" t="s">
        <v>2026</v>
      </c>
      <c r="D27" s="2318"/>
      <c r="E27" s="1426"/>
      <c r="F27" s="1426"/>
      <c r="G27" s="2272"/>
      <c r="H27" s="2272"/>
      <c r="I27" s="2272"/>
      <c r="J27" s="2272"/>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9" customFormat="1" ht="27.75">
      <c r="A28" s="2320" t="s">
        <v>2027</v>
      </c>
      <c r="B28" s="119">
        <v>200</v>
      </c>
      <c r="C28" s="2321"/>
      <c r="D28" s="2318"/>
      <c r="E28" s="1426"/>
      <c r="F28" s="1426"/>
      <c r="G28" s="2272"/>
      <c r="H28" s="2272"/>
      <c r="I28" s="2272"/>
      <c r="J28" s="2272"/>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9" customFormat="1" ht="28.5" thickBot="1">
      <c r="A29" s="2322" t="s">
        <v>2028</v>
      </c>
      <c r="B29" s="3029">
        <f ca="1">成本法!C8</f>
        <v>1665</v>
      </c>
      <c r="C29" s="1763" t="s">
        <v>2029</v>
      </c>
      <c r="D29" s="2318"/>
      <c r="E29" s="1426"/>
      <c r="F29" s="1426"/>
      <c r="G29" s="2272"/>
      <c r="H29" s="2272"/>
      <c r="I29" s="2272"/>
      <c r="J29" s="2272"/>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9" customFormat="1" ht="27">
      <c r="A30" s="2323" t="s">
        <v>2030</v>
      </c>
      <c r="B30" s="723">
        <v>200</v>
      </c>
      <c r="C30" s="2321"/>
      <c r="D30" s="2318"/>
      <c r="E30" s="1426"/>
      <c r="F30" s="1426"/>
      <c r="G30" s="2272"/>
      <c r="H30" s="2272"/>
      <c r="I30" s="2272"/>
      <c r="J30" s="2272"/>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9" customFormat="1" ht="27">
      <c r="A31" s="2320" t="s">
        <v>2031</v>
      </c>
      <c r="B31" s="120">
        <f>B30-B32</f>
        <v>200</v>
      </c>
      <c r="C31" s="1763"/>
      <c r="D31" s="2318"/>
      <c r="E31" s="1426"/>
      <c r="F31" s="1426"/>
      <c r="G31" s="2272"/>
      <c r="H31" s="2272"/>
      <c r="I31" s="2272"/>
      <c r="J31" s="2272"/>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9" customFormat="1" ht="27.75" thickBot="1">
      <c r="A32" s="2324" t="s">
        <v>2032</v>
      </c>
      <c r="B32" s="724">
        <v>0</v>
      </c>
      <c r="C32" s="2321"/>
      <c r="D32" s="2273"/>
      <c r="E32" s="2272"/>
      <c r="F32" s="2272"/>
      <c r="G32" s="2272"/>
      <c r="H32" s="2272"/>
      <c r="I32" s="2272"/>
      <c r="J32" s="2272"/>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9" customFormat="1" ht="14.25">
      <c r="A33" s="2317" t="s">
        <v>2033</v>
      </c>
      <c r="B33" s="725">
        <v>0.03</v>
      </c>
      <c r="C33" s="1762" t="s">
        <v>2034</v>
      </c>
      <c r="D33" s="2273"/>
      <c r="E33" s="2272"/>
      <c r="F33" s="2272"/>
      <c r="G33" s="2272"/>
      <c r="H33" s="2272"/>
      <c r="I33" s="2272"/>
      <c r="J33" s="2272"/>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9" customFormat="1" ht="14.25">
      <c r="A34" s="2320" t="s">
        <v>2035</v>
      </c>
      <c r="B34" s="121">
        <v>0</v>
      </c>
      <c r="C34" s="1762" t="s">
        <v>2036</v>
      </c>
      <c r="D34" s="2273" t="s">
        <v>2037</v>
      </c>
      <c r="E34" s="731"/>
      <c r="F34" s="2272"/>
      <c r="G34" s="2272"/>
      <c r="H34" s="2272"/>
      <c r="I34" s="2272"/>
      <c r="J34" s="2272"/>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9" customFormat="1" ht="14.25">
      <c r="A35" s="2320" t="s">
        <v>2038</v>
      </c>
      <c r="B35" s="119">
        <v>200</v>
      </c>
      <c r="C35" s="1762" t="s">
        <v>2039</v>
      </c>
      <c r="D35" s="2318"/>
      <c r="E35" s="1426"/>
      <c r="F35" s="1426"/>
      <c r="G35" s="2272"/>
      <c r="H35" s="2272"/>
      <c r="I35" s="2272"/>
      <c r="J35" s="2272"/>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2" t="s">
        <v>2040</v>
      </c>
      <c r="B36" s="122">
        <v>1.4999999999999999E-2</v>
      </c>
      <c r="C36" s="1762" t="s">
        <v>2041</v>
      </c>
      <c r="D36" s="2273"/>
      <c r="E36" s="2272"/>
      <c r="F36" s="2272"/>
      <c r="G36" s="2272"/>
      <c r="H36" s="2272"/>
      <c r="I36" s="2272"/>
      <c r="J36" s="2272"/>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2042</v>
      </c>
      <c r="B37" s="123">
        <v>0.01</v>
      </c>
      <c r="C37" s="1762" t="s">
        <v>2043</v>
      </c>
      <c r="D37" s="2273"/>
      <c r="E37" s="2272"/>
      <c r="F37" s="2272"/>
      <c r="G37" s="2272"/>
      <c r="H37" s="2272"/>
      <c r="I37" s="2272"/>
      <c r="J37" s="2272"/>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2044</v>
      </c>
      <c r="B38" s="121">
        <v>0.01</v>
      </c>
      <c r="C38" s="1762" t="s">
        <v>2043</v>
      </c>
      <c r="D38" s="2273"/>
      <c r="E38" s="2272"/>
      <c r="F38" s="2272"/>
      <c r="G38" s="2272"/>
      <c r="H38" s="2272"/>
      <c r="I38" s="2272"/>
      <c r="J38" s="2272"/>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2045</v>
      </c>
      <c r="B39" s="361">
        <f ca="1">存贷款利率!I1</f>
        <v>1.4999999999999999E-2</v>
      </c>
      <c r="C39" s="1762"/>
      <c r="D39" s="2273"/>
      <c r="E39" s="2272"/>
      <c r="F39" s="2272"/>
      <c r="G39" s="2272"/>
      <c r="H39" s="2272"/>
      <c r="I39" s="2272"/>
      <c r="J39" s="2272"/>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2046</v>
      </c>
      <c r="B40" s="1299">
        <f ca="1">存贷款利率!G1</f>
        <v>4.3499999999999997E-2</v>
      </c>
      <c r="C40" s="1762" t="s">
        <v>2047</v>
      </c>
      <c r="D40" s="1580"/>
      <c r="E40" s="2273"/>
      <c r="F40" s="2272"/>
      <c r="G40" s="2272"/>
      <c r="H40" s="2272"/>
      <c r="I40" s="2272"/>
      <c r="J40" s="2272"/>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2048</v>
      </c>
      <c r="B41" s="124">
        <f>B42+B43</f>
        <v>5.5000000000000007E-2</v>
      </c>
      <c r="C41" s="1763"/>
      <c r="D41" s="1580"/>
      <c r="E41" s="2273"/>
      <c r="F41" s="2272"/>
      <c r="G41" s="2272"/>
      <c r="H41" s="2272"/>
      <c r="I41" s="2272"/>
      <c r="J41" s="2272"/>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2049</v>
      </c>
      <c r="B42" s="125">
        <v>0.05</v>
      </c>
      <c r="C42" s="2326">
        <f>IF(B2&lt;DATE(2016,5,1),0,B42)</f>
        <v>0.05</v>
      </c>
      <c r="D42" s="2273"/>
      <c r="E42" s="2272"/>
      <c r="F42" s="2272"/>
      <c r="G42" s="2272"/>
      <c r="H42" s="2272"/>
      <c r="I42" s="2272"/>
      <c r="J42" s="2272"/>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2050</v>
      </c>
      <c r="B43" s="126">
        <f>B42*(B44+B45+B46)+B47</f>
        <v>5.000000000000001E-3</v>
      </c>
      <c r="C43" s="1763"/>
      <c r="D43" s="2273"/>
      <c r="E43" s="2272"/>
      <c r="F43" s="2272"/>
      <c r="G43" s="2272"/>
      <c r="H43" s="2272"/>
      <c r="I43" s="2272"/>
      <c r="J43" s="2272"/>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2051</v>
      </c>
      <c r="B44" s="127">
        <v>0.05</v>
      </c>
      <c r="C44" s="1762" t="s">
        <v>2052</v>
      </c>
      <c r="D44" s="2273"/>
      <c r="E44" s="2272"/>
      <c r="F44" s="2272"/>
      <c r="G44" s="2272"/>
      <c r="H44" s="2272"/>
      <c r="I44" s="2272"/>
      <c r="J44" s="2272"/>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2053</v>
      </c>
      <c r="B45" s="125">
        <v>0.03</v>
      </c>
      <c r="C45" s="1763" t="s">
        <v>2054</v>
      </c>
      <c r="D45" s="2273"/>
      <c r="E45" s="2272"/>
      <c r="F45" s="2272"/>
      <c r="G45" s="2272"/>
      <c r="H45" s="2272"/>
      <c r="I45" s="2272"/>
      <c r="J45" s="2272"/>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2055</v>
      </c>
      <c r="B46" s="125">
        <v>0.02</v>
      </c>
      <c r="C46" s="1763" t="s">
        <v>2056</v>
      </c>
      <c r="D46" s="2273"/>
      <c r="E46" s="2272"/>
      <c r="F46" s="2272"/>
      <c r="G46" s="2272"/>
      <c r="H46" s="2272"/>
      <c r="I46" s="2272"/>
      <c r="J46" s="2272"/>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2057</v>
      </c>
      <c r="B47" s="128"/>
      <c r="C47" s="1763" t="s">
        <v>2058</v>
      </c>
      <c r="D47" s="2273"/>
      <c r="E47" s="2272"/>
      <c r="F47" s="2272"/>
      <c r="G47" s="2272"/>
      <c r="H47" s="2272"/>
      <c r="I47" s="2272"/>
      <c r="J47" s="2272"/>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2059</v>
      </c>
      <c r="B48" s="129">
        <v>0.03</v>
      </c>
      <c r="C48" s="1770" t="s">
        <v>2060</v>
      </c>
      <c r="D48" s="2273"/>
      <c r="E48" s="2272"/>
      <c r="F48" s="2272"/>
      <c r="G48" s="2272"/>
      <c r="H48" s="2272"/>
      <c r="I48" s="2272"/>
      <c r="J48" s="2272"/>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2061</v>
      </c>
      <c r="B49" s="125">
        <v>5.0000000000000001E-4</v>
      </c>
      <c r="C49" s="1770" t="s">
        <v>2062</v>
      </c>
      <c r="D49" s="2273"/>
      <c r="E49" s="2272"/>
      <c r="F49" s="2272"/>
      <c r="G49" s="2272"/>
      <c r="H49" s="2272"/>
      <c r="I49" s="2272"/>
      <c r="J49" s="2272"/>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2063</v>
      </c>
      <c r="B50" s="130">
        <v>1.2E-2</v>
      </c>
      <c r="C50" s="1426"/>
      <c r="D50" s="2273"/>
      <c r="E50" s="2272"/>
      <c r="F50" s="2272"/>
      <c r="G50" s="2272"/>
      <c r="H50" s="2272"/>
      <c r="I50" s="2272"/>
      <c r="J50" s="2272"/>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2064</v>
      </c>
      <c r="B51" s="131">
        <v>0.12</v>
      </c>
      <c r="C51" s="1426"/>
      <c r="D51" s="2273"/>
      <c r="E51" s="2272"/>
      <c r="F51" s="2272"/>
      <c r="G51" s="2272"/>
      <c r="H51" s="2272"/>
      <c r="I51" s="2272"/>
      <c r="J51" s="2272"/>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2065</v>
      </c>
      <c r="B52" s="132">
        <f>SUMIF(A54:A63,B53,B54:B63)</f>
        <v>1.5</v>
      </c>
      <c r="C52" s="1426"/>
      <c r="D52" s="2273"/>
      <c r="E52" s="2272"/>
      <c r="F52" s="2272"/>
      <c r="G52" s="2272"/>
      <c r="H52" s="2272"/>
      <c r="I52" s="2272"/>
      <c r="J52" s="2272"/>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2066</v>
      </c>
      <c r="B53" s="2331" t="s">
        <v>56</v>
      </c>
      <c r="C53" s="1426" t="s">
        <v>2067</v>
      </c>
      <c r="D53" s="2332" t="s">
        <v>2068</v>
      </c>
      <c r="E53" s="2272"/>
      <c r="F53" s="2272"/>
      <c r="G53" s="2272"/>
      <c r="H53" s="2272"/>
      <c r="I53" s="2272"/>
      <c r="J53" s="2272"/>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2069</v>
      </c>
      <c r="B54" s="84"/>
      <c r="C54" s="1426">
        <v>30</v>
      </c>
      <c r="D54" s="2273"/>
      <c r="E54" s="2272"/>
      <c r="F54" s="2272"/>
      <c r="G54" s="2272"/>
      <c r="H54" s="2272"/>
      <c r="I54" s="2272"/>
      <c r="J54" s="2272"/>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2070</v>
      </c>
      <c r="B55" s="84"/>
      <c r="C55" s="1426">
        <v>24</v>
      </c>
      <c r="D55" s="2273"/>
      <c r="E55" s="2272"/>
      <c r="F55" s="2272"/>
      <c r="G55" s="2272"/>
      <c r="H55" s="2272"/>
      <c r="I55" s="2334"/>
      <c r="J55" s="2272"/>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2071</v>
      </c>
      <c r="B56" s="84"/>
      <c r="C56" s="1426">
        <v>18</v>
      </c>
      <c r="D56" s="2273"/>
      <c r="E56" s="2272"/>
      <c r="F56" s="2272"/>
      <c r="G56" s="2272"/>
      <c r="H56" s="2272"/>
      <c r="I56" s="2272"/>
      <c r="J56" s="2272"/>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2072</v>
      </c>
      <c r="B57" s="84"/>
      <c r="C57" s="1426">
        <v>12</v>
      </c>
      <c r="D57" s="2273"/>
      <c r="E57" s="2272"/>
      <c r="F57" s="2272"/>
      <c r="G57" s="2272"/>
      <c r="H57" s="2272"/>
      <c r="I57" s="2272"/>
      <c r="J57" s="2272"/>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2073</v>
      </c>
      <c r="B58" s="84"/>
      <c r="C58" s="1426">
        <v>3</v>
      </c>
      <c r="D58" s="2273"/>
      <c r="E58" s="2272"/>
      <c r="F58" s="2272"/>
      <c r="G58" s="2272"/>
      <c r="H58" s="2272"/>
      <c r="I58" s="2272"/>
      <c r="J58" s="2272"/>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2074</v>
      </c>
      <c r="B59" s="84">
        <v>1.5</v>
      </c>
      <c r="C59" s="1426">
        <v>1.5</v>
      </c>
      <c r="D59" s="2273"/>
      <c r="E59" s="2272"/>
      <c r="F59" s="2272"/>
      <c r="G59" s="2272"/>
      <c r="H59" s="2272"/>
      <c r="I59" s="2272"/>
      <c r="J59" s="2272"/>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2075</v>
      </c>
      <c r="B60" s="84"/>
      <c r="C60" s="2272"/>
      <c r="D60" s="2273"/>
      <c r="E60" s="2272"/>
      <c r="F60" s="2272"/>
      <c r="G60" s="2272"/>
      <c r="H60" s="2272"/>
      <c r="I60" s="2272"/>
      <c r="J60" s="2272"/>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2076</v>
      </c>
      <c r="B61" s="84"/>
      <c r="C61" s="2272"/>
      <c r="D61" s="2273"/>
      <c r="E61" s="2272"/>
      <c r="F61" s="2272"/>
      <c r="G61" s="2272"/>
      <c r="H61" s="2272"/>
      <c r="I61" s="2272"/>
      <c r="J61" s="2272"/>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2077</v>
      </c>
      <c r="B62" s="84"/>
      <c r="C62" s="2272"/>
      <c r="D62" s="2273"/>
      <c r="E62" s="2272"/>
      <c r="F62" s="2272"/>
      <c r="G62" s="2272"/>
      <c r="H62" s="2272"/>
      <c r="I62" s="2272"/>
      <c r="J62" s="2272"/>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2078</v>
      </c>
      <c r="B63" s="133"/>
      <c r="C63" s="2272"/>
      <c r="D63" s="2273"/>
      <c r="E63" s="2272"/>
      <c r="F63" s="2272"/>
      <c r="G63" s="2272"/>
      <c r="H63" s="2272"/>
      <c r="I63" s="2272"/>
      <c r="J63" s="2272"/>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6"/>
      <c r="D64" s="2337"/>
      <c r="K64" s="797"/>
      <c r="L64" s="797"/>
    </row>
    <row r="65" spans="1:12" s="963" customFormat="1">
      <c r="A65" s="2336"/>
      <c r="D65" s="2337"/>
      <c r="K65" s="797"/>
      <c r="L65" s="797"/>
    </row>
    <row r="66" spans="1:12" s="963" customFormat="1">
      <c r="A66" s="2336"/>
      <c r="D66" s="2337"/>
      <c r="K66" s="797"/>
      <c r="L66" s="797"/>
    </row>
    <row r="67" spans="1:12" s="963" customFormat="1">
      <c r="A67" s="2336"/>
      <c r="D67" s="2337"/>
      <c r="K67" s="797"/>
      <c r="L67" s="797"/>
    </row>
    <row r="68" spans="1:12" s="963" customFormat="1">
      <c r="A68" s="2336"/>
      <c r="D68" s="2337"/>
      <c r="K68" s="797"/>
      <c r="L68" s="797"/>
    </row>
    <row r="69" spans="1:12" s="963" customFormat="1">
      <c r="A69" s="2336"/>
      <c r="D69" s="2337"/>
      <c r="K69" s="797"/>
      <c r="L69" s="797"/>
    </row>
    <row r="70" spans="1:12" s="963" customFormat="1">
      <c r="A70" s="2336"/>
      <c r="D70" s="2337"/>
      <c r="K70" s="797"/>
      <c r="L70" s="797"/>
    </row>
    <row r="71" spans="1:12" s="963" customFormat="1">
      <c r="A71" s="2336"/>
      <c r="D71" s="2337"/>
      <c r="K71" s="797"/>
      <c r="L71" s="797"/>
    </row>
    <row r="72" spans="1:12" s="963" customFormat="1">
      <c r="A72" s="2336"/>
      <c r="D72" s="2337"/>
      <c r="K72" s="797"/>
      <c r="L72" s="797"/>
    </row>
    <row r="73" spans="1:12" s="963" customFormat="1">
      <c r="A73" s="2336"/>
      <c r="D73" s="2337"/>
      <c r="K73" s="797"/>
      <c r="L73" s="797"/>
    </row>
    <row r="74" spans="1:12" s="963" customFormat="1">
      <c r="A74" s="2336"/>
      <c r="D74" s="2337"/>
      <c r="K74" s="797"/>
      <c r="L74" s="797"/>
    </row>
    <row r="75" spans="1:12" s="963" customFormat="1">
      <c r="A75" s="2336"/>
      <c r="D75" s="2337"/>
      <c r="K75" s="797"/>
      <c r="L75" s="797"/>
    </row>
    <row r="76" spans="1:12" s="963" customFormat="1">
      <c r="A76" s="2336"/>
      <c r="D76" s="2337"/>
      <c r="K76" s="797"/>
      <c r="L76" s="797"/>
    </row>
    <row r="77" spans="1:12" s="963" customFormat="1">
      <c r="A77" s="2336"/>
      <c r="D77" s="2337"/>
      <c r="K77" s="797"/>
      <c r="L77" s="797"/>
    </row>
    <row r="78" spans="1:12" s="963" customFormat="1">
      <c r="A78" s="2336"/>
      <c r="D78" s="2337"/>
      <c r="K78" s="797"/>
      <c r="L78" s="797"/>
    </row>
    <row r="79" spans="1:12" s="963" customFormat="1">
      <c r="A79" s="2336"/>
      <c r="D79" s="2337"/>
      <c r="K79" s="797"/>
      <c r="L79" s="797"/>
    </row>
    <row r="80" spans="1:12" s="963" customFormat="1">
      <c r="A80" s="2336"/>
      <c r="D80" s="2337"/>
      <c r="K80" s="797"/>
      <c r="L80" s="797"/>
    </row>
    <row r="81" spans="1:12" s="963" customFormat="1">
      <c r="A81" s="2336"/>
      <c r="D81" s="2337"/>
      <c r="K81" s="797"/>
      <c r="L81" s="797"/>
    </row>
    <row r="82" spans="1:12" s="963" customFormat="1">
      <c r="A82" s="2336"/>
      <c r="D82" s="2337"/>
      <c r="K82" s="797"/>
      <c r="L82" s="797"/>
    </row>
    <row r="83" spans="1:12" s="963" customFormat="1">
      <c r="A83" s="2336"/>
      <c r="D83" s="2337"/>
      <c r="K83" s="797"/>
      <c r="L83" s="797"/>
    </row>
    <row r="84" spans="1:12" s="963" customFormat="1">
      <c r="A84" s="2336"/>
      <c r="D84" s="2337"/>
      <c r="K84" s="797"/>
      <c r="L84" s="797"/>
    </row>
    <row r="85" spans="1:12" s="963" customFormat="1">
      <c r="A85" s="2336"/>
      <c r="D85" s="2337"/>
      <c r="K85" s="797"/>
      <c r="L85" s="797"/>
    </row>
    <row r="86" spans="1:12" s="963" customFormat="1">
      <c r="A86" s="2336"/>
      <c r="D86" s="2337"/>
      <c r="K86" s="797"/>
      <c r="L86" s="797"/>
    </row>
    <row r="87" spans="1:12" s="963" customFormat="1">
      <c r="A87" s="2336"/>
      <c r="D87" s="2337"/>
      <c r="K87" s="797"/>
      <c r="L87" s="797"/>
    </row>
    <row r="88" spans="1:12" s="963" customFormat="1">
      <c r="A88" s="2336"/>
      <c r="D88" s="2337"/>
      <c r="K88" s="797"/>
      <c r="L88" s="797"/>
    </row>
    <row r="89" spans="1:12" s="963" customFormat="1">
      <c r="A89" s="2336"/>
      <c r="D89" s="2337"/>
      <c r="K89" s="797"/>
      <c r="L89" s="797"/>
    </row>
    <row r="90" spans="1:12" s="963" customFormat="1">
      <c r="A90" s="2336"/>
      <c r="D90" s="2337"/>
      <c r="K90" s="797"/>
      <c r="L90" s="797"/>
    </row>
    <row r="91" spans="1:12" s="963" customFormat="1">
      <c r="A91" s="2336"/>
      <c r="D91" s="2337"/>
      <c r="K91" s="797"/>
      <c r="L91" s="797"/>
    </row>
    <row r="92" spans="1:12" s="963" customFormat="1">
      <c r="A92" s="2336"/>
      <c r="D92" s="2337"/>
      <c r="K92" s="797"/>
      <c r="L92" s="797"/>
    </row>
    <row r="93" spans="1:12" s="963" customFormat="1">
      <c r="A93" s="2336"/>
      <c r="D93" s="2337"/>
      <c r="K93" s="797"/>
      <c r="L93" s="797"/>
    </row>
    <row r="94" spans="1:12" s="963" customFormat="1">
      <c r="A94" s="2336"/>
      <c r="D94" s="2337"/>
      <c r="K94" s="797"/>
      <c r="L94" s="797"/>
    </row>
    <row r="95" spans="1:12" s="963" customFormat="1">
      <c r="A95" s="2336"/>
      <c r="D95" s="2337"/>
      <c r="K95" s="797"/>
      <c r="L95" s="797"/>
    </row>
    <row r="96" spans="1:12" s="963" customFormat="1">
      <c r="A96" s="2336"/>
      <c r="D96" s="2337"/>
      <c r="K96" s="797"/>
      <c r="L96" s="797"/>
    </row>
    <row r="97" spans="1:12" s="963" customFormat="1">
      <c r="A97" s="2336"/>
      <c r="D97" s="2337"/>
      <c r="K97" s="797"/>
      <c r="L97" s="797"/>
    </row>
    <row r="98" spans="1:12" s="963" customFormat="1">
      <c r="A98" s="2336"/>
      <c r="D98" s="2337"/>
      <c r="K98" s="797"/>
      <c r="L98" s="797"/>
    </row>
    <row r="99" spans="1:12" s="963" customFormat="1">
      <c r="A99" s="2336"/>
      <c r="D99" s="2337"/>
      <c r="K99" s="797"/>
      <c r="L99" s="797"/>
    </row>
    <row r="100" spans="1:12" s="963" customFormat="1">
      <c r="A100" s="2336"/>
      <c r="D100" s="2337"/>
      <c r="K100" s="797"/>
      <c r="L100" s="797"/>
    </row>
    <row r="101" spans="1:12" s="963" customFormat="1">
      <c r="A101" s="2336"/>
      <c r="D101" s="2337"/>
      <c r="K101" s="797"/>
      <c r="L101" s="797"/>
    </row>
    <row r="102" spans="1:12" s="963" customFormat="1">
      <c r="A102" s="2336"/>
      <c r="D102" s="2337"/>
      <c r="K102" s="797"/>
      <c r="L102" s="797"/>
    </row>
    <row r="103" spans="1:12" s="963" customFormat="1">
      <c r="A103" s="2336"/>
      <c r="D103" s="2337"/>
      <c r="K103" s="797"/>
      <c r="L103" s="797"/>
    </row>
    <row r="104" spans="1:12" s="963" customFormat="1">
      <c r="A104" s="2336"/>
      <c r="D104" s="2337"/>
      <c r="K104" s="797"/>
      <c r="L104" s="797"/>
    </row>
    <row r="105" spans="1:12" s="963" customFormat="1">
      <c r="A105" s="2336"/>
      <c r="D105" s="2337"/>
      <c r="K105" s="797"/>
      <c r="L105" s="797"/>
    </row>
    <row r="106" spans="1:12" s="963" customFormat="1">
      <c r="A106" s="2336"/>
      <c r="D106" s="2337"/>
      <c r="K106" s="797"/>
      <c r="L106" s="797"/>
    </row>
    <row r="107" spans="1:12" s="963" customFormat="1">
      <c r="A107" s="2336"/>
      <c r="D107" s="2337"/>
      <c r="K107" s="797"/>
      <c r="L107" s="797"/>
    </row>
    <row r="108" spans="1:12" s="963" customFormat="1">
      <c r="A108" s="2336"/>
      <c r="D108" s="2337"/>
      <c r="K108" s="797"/>
      <c r="L108" s="797"/>
    </row>
    <row r="109" spans="1:12" s="963" customFormat="1">
      <c r="A109" s="2336"/>
      <c r="D109" s="2337"/>
      <c r="K109" s="797"/>
      <c r="L109" s="797"/>
    </row>
    <row r="110" spans="1:12" s="963" customFormat="1">
      <c r="A110" s="2336"/>
      <c r="D110" s="2337"/>
      <c r="K110" s="797"/>
      <c r="L110" s="797"/>
    </row>
    <row r="111" spans="1:12" s="963" customFormat="1">
      <c r="A111" s="2336"/>
      <c r="D111" s="2337"/>
      <c r="K111" s="797"/>
      <c r="L111" s="797"/>
    </row>
    <row r="112" spans="1:12" s="963" customFormat="1">
      <c r="A112" s="2336"/>
      <c r="D112" s="2337"/>
      <c r="K112" s="797"/>
      <c r="L112" s="797"/>
    </row>
    <row r="113" spans="1:12" s="963" customFormat="1">
      <c r="A113" s="2336"/>
      <c r="D113" s="2337"/>
      <c r="K113" s="797"/>
      <c r="L113" s="797"/>
    </row>
    <row r="114" spans="1:12" s="963" customFormat="1">
      <c r="A114" s="2336"/>
      <c r="D114" s="2337"/>
      <c r="K114" s="797"/>
      <c r="L114" s="797"/>
    </row>
    <row r="115" spans="1:12" s="963" customFormat="1">
      <c r="A115" s="2336"/>
      <c r="D115" s="2337"/>
      <c r="K115" s="797"/>
      <c r="L115" s="797"/>
    </row>
    <row r="116" spans="1:12" s="963" customFormat="1">
      <c r="A116" s="2336"/>
      <c r="D116" s="2337"/>
      <c r="K116" s="797"/>
      <c r="L116" s="797"/>
    </row>
    <row r="117" spans="1:12" s="963" customFormat="1">
      <c r="A117" s="2336"/>
      <c r="D117" s="2337"/>
      <c r="K117" s="797"/>
      <c r="L117" s="797"/>
    </row>
    <row r="118" spans="1:12" s="963" customFormat="1">
      <c r="A118" s="2336"/>
      <c r="D118" s="2337"/>
      <c r="K118" s="797"/>
      <c r="L118" s="797"/>
    </row>
    <row r="119" spans="1:12" s="963" customFormat="1">
      <c r="A119" s="2336"/>
      <c r="D119" s="2337"/>
      <c r="K119" s="797"/>
      <c r="L119" s="797"/>
    </row>
    <row r="120" spans="1:12" s="963" customFormat="1">
      <c r="A120" s="2336"/>
      <c r="D120" s="2337"/>
      <c r="K120" s="797"/>
      <c r="L120" s="797"/>
    </row>
    <row r="121" spans="1:12" s="963" customFormat="1">
      <c r="A121" s="2336"/>
      <c r="D121" s="2337"/>
      <c r="K121" s="797"/>
      <c r="L121" s="797"/>
    </row>
    <row r="122" spans="1:12" s="963" customFormat="1">
      <c r="A122" s="2336"/>
      <c r="D122" s="2337"/>
      <c r="K122" s="797"/>
      <c r="L122" s="797"/>
    </row>
    <row r="123" spans="1:12" s="963" customFormat="1">
      <c r="A123" s="2336"/>
      <c r="D123" s="2337"/>
      <c r="K123" s="797"/>
      <c r="L123" s="797"/>
    </row>
    <row r="124" spans="1:12" s="963" customFormat="1">
      <c r="A124" s="2336"/>
      <c r="D124" s="2337"/>
      <c r="K124" s="797"/>
      <c r="L124" s="797"/>
    </row>
    <row r="125" spans="1:12" s="963" customFormat="1">
      <c r="A125" s="2336"/>
      <c r="D125" s="2337"/>
      <c r="K125" s="797"/>
      <c r="L125" s="797"/>
    </row>
    <row r="126" spans="1:12" s="963" customFormat="1">
      <c r="A126" s="2336"/>
      <c r="D126" s="2337"/>
      <c r="K126" s="797"/>
      <c r="L126" s="797"/>
    </row>
    <row r="127" spans="1:12" s="963" customFormat="1">
      <c r="A127" s="2336"/>
      <c r="D127" s="2337"/>
      <c r="K127" s="797"/>
      <c r="L127" s="797"/>
    </row>
    <row r="128" spans="1:12" s="963" customFormat="1">
      <c r="A128" s="2336"/>
      <c r="D128" s="2337"/>
      <c r="K128" s="797"/>
      <c r="L128" s="797"/>
    </row>
    <row r="129" spans="1:12" s="963" customFormat="1">
      <c r="A129" s="2336"/>
      <c r="D129" s="2337"/>
      <c r="K129" s="797"/>
      <c r="L129" s="797"/>
    </row>
    <row r="130" spans="1:12" s="963" customFormat="1">
      <c r="A130" s="2336"/>
      <c r="D130" s="2337"/>
      <c r="K130" s="797"/>
      <c r="L130" s="797"/>
    </row>
    <row r="131" spans="1:12" s="963" customFormat="1">
      <c r="A131" s="2336"/>
      <c r="D131" s="2337"/>
      <c r="K131" s="797"/>
      <c r="L131" s="797"/>
    </row>
    <row r="132" spans="1:12" s="963" customFormat="1">
      <c r="A132" s="2336"/>
      <c r="D132" s="2337"/>
      <c r="K132" s="797"/>
      <c r="L132" s="797"/>
    </row>
    <row r="133" spans="1:12" s="963" customFormat="1">
      <c r="A133" s="2336"/>
      <c r="D133" s="2337"/>
      <c r="K133" s="797"/>
      <c r="L133" s="797"/>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5"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124" t="s">
        <v>2079</v>
      </c>
      <c r="B1" s="3125"/>
      <c r="C1" s="3125"/>
      <c r="D1" s="3125"/>
      <c r="E1" s="3125"/>
      <c r="F1" s="3125"/>
      <c r="G1" s="3125"/>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2080</v>
      </c>
      <c r="D2" s="2361"/>
      <c r="E2" s="2362"/>
      <c r="F2" s="2281"/>
      <c r="G2" s="2360" t="s">
        <v>2081</v>
      </c>
      <c r="H2" s="2363"/>
      <c r="I2" s="2363"/>
      <c r="J2" s="2363"/>
      <c r="K2" s="2363"/>
      <c r="L2" s="2363"/>
      <c r="M2" s="2363"/>
      <c r="N2" s="2363"/>
      <c r="O2" s="2363"/>
      <c r="P2" s="2363"/>
      <c r="Q2" s="2363"/>
      <c r="R2" s="2363"/>
    </row>
    <row r="3" spans="1:29" ht="54">
      <c r="A3" s="414" t="s">
        <v>2082</v>
      </c>
      <c r="B3" s="1267" t="s">
        <v>2083</v>
      </c>
      <c r="C3" s="2365" t="s">
        <v>2084</v>
      </c>
      <c r="D3" s="2366"/>
      <c r="E3" s="430" t="s">
        <v>2082</v>
      </c>
      <c r="F3" s="2367" t="s">
        <v>2085</v>
      </c>
      <c r="G3" s="2368" t="s">
        <v>2086</v>
      </c>
      <c r="H3" s="2363"/>
      <c r="I3" s="2363"/>
      <c r="J3" s="2363"/>
      <c r="K3" s="2363"/>
      <c r="L3" s="2363"/>
      <c r="M3" s="2363"/>
      <c r="N3" s="2363"/>
      <c r="O3" s="2363"/>
      <c r="P3" s="2363"/>
      <c r="Q3" s="2363"/>
      <c r="R3" s="2363"/>
    </row>
    <row r="4" spans="1:29" ht="41.25">
      <c r="A4" s="430"/>
      <c r="B4" s="1794" t="s">
        <v>2087</v>
      </c>
      <c r="C4" s="2369" t="s">
        <v>2088</v>
      </c>
      <c r="D4" s="2366"/>
      <c r="E4" s="2370"/>
      <c r="F4" s="42" t="s">
        <v>2089</v>
      </c>
      <c r="G4" s="2371" t="s">
        <v>2090</v>
      </c>
      <c r="H4" s="2363"/>
      <c r="I4" s="2363"/>
      <c r="J4" s="2363"/>
      <c r="K4" s="2363"/>
      <c r="L4" s="2363"/>
      <c r="M4" s="2363"/>
      <c r="N4" s="2363"/>
      <c r="O4" s="2363"/>
      <c r="P4" s="2363"/>
      <c r="Q4" s="2363"/>
      <c r="R4" s="2363"/>
    </row>
    <row r="5" spans="1:29" ht="41.25">
      <c r="A5" s="430"/>
      <c r="B5" s="1794" t="s">
        <v>2091</v>
      </c>
      <c r="C5" s="2369" t="s">
        <v>2092</v>
      </c>
      <c r="D5" s="2366"/>
      <c r="E5" s="2370"/>
      <c r="F5" s="1794" t="s">
        <v>2093</v>
      </c>
      <c r="G5" s="2371" t="s">
        <v>2094</v>
      </c>
      <c r="H5" s="2363"/>
      <c r="I5" s="2363"/>
      <c r="J5" s="2363"/>
      <c r="K5" s="2363"/>
      <c r="L5" s="2363"/>
      <c r="M5" s="2363"/>
      <c r="N5" s="2363"/>
      <c r="O5" s="2363"/>
      <c r="P5" s="2363"/>
      <c r="Q5" s="2363"/>
      <c r="R5" s="2363"/>
    </row>
    <row r="6" spans="1:29" ht="54">
      <c r="A6" s="430"/>
      <c r="B6" s="1794" t="s">
        <v>2095</v>
      </c>
      <c r="C6" s="2371" t="s">
        <v>2090</v>
      </c>
      <c r="D6" s="2366"/>
      <c r="E6" s="2370"/>
      <c r="F6" s="1794" t="s">
        <v>2096</v>
      </c>
      <c r="G6" s="2371" t="s">
        <v>2097</v>
      </c>
      <c r="H6" s="2363"/>
      <c r="I6" s="2363"/>
      <c r="J6" s="2363"/>
      <c r="K6" s="2363"/>
      <c r="L6" s="2363"/>
      <c r="M6" s="2363"/>
      <c r="N6" s="2363"/>
      <c r="O6" s="2363"/>
      <c r="P6" s="2363"/>
      <c r="Q6" s="2363"/>
      <c r="R6" s="2363"/>
    </row>
    <row r="7" spans="1:29" ht="41.25" thickBot="1">
      <c r="A7" s="430"/>
      <c r="B7" s="1794" t="s">
        <v>2093</v>
      </c>
      <c r="C7" s="2371" t="s">
        <v>2094</v>
      </c>
      <c r="D7" s="2372"/>
      <c r="E7" s="2373"/>
      <c r="F7" s="2374" t="s">
        <v>2098</v>
      </c>
      <c r="G7" s="2375" t="s">
        <v>2099</v>
      </c>
      <c r="H7" s="2363"/>
      <c r="I7" s="2363"/>
      <c r="J7" s="2363"/>
      <c r="K7" s="2363"/>
      <c r="L7" s="2363"/>
      <c r="M7" s="2363"/>
      <c r="N7" s="2363"/>
      <c r="O7" s="2363"/>
      <c r="P7" s="2363"/>
      <c r="Q7" s="2363"/>
      <c r="R7" s="2363"/>
    </row>
    <row r="8" spans="1:29" ht="27">
      <c r="A8" s="430"/>
      <c r="B8" s="1794" t="s">
        <v>2096</v>
      </c>
      <c r="C8" s="2371" t="s">
        <v>2097</v>
      </c>
      <c r="D8" s="2372"/>
      <c r="E8" s="2372"/>
      <c r="F8" s="1132"/>
      <c r="G8" s="1132"/>
      <c r="H8" s="2363"/>
      <c r="I8" s="2363"/>
      <c r="J8" s="2363"/>
      <c r="K8" s="2363"/>
      <c r="L8" s="2363"/>
      <c r="M8" s="2363"/>
      <c r="N8" s="2363"/>
      <c r="O8" s="2363"/>
      <c r="P8" s="2363"/>
      <c r="Q8" s="2363"/>
      <c r="R8" s="2363"/>
    </row>
    <row r="9" spans="1:29" ht="27">
      <c r="A9" s="430"/>
      <c r="B9" s="1794" t="s">
        <v>2100</v>
      </c>
      <c r="C9" s="2369" t="s">
        <v>2101</v>
      </c>
      <c r="D9" s="2366"/>
      <c r="E9" s="2372"/>
      <c r="F9" s="1132"/>
      <c r="G9" s="1132"/>
      <c r="H9" s="2363"/>
      <c r="I9" s="2363"/>
      <c r="J9" s="2363"/>
      <c r="K9" s="2363"/>
      <c r="L9" s="2363"/>
      <c r="M9" s="2363"/>
      <c r="N9" s="2363"/>
      <c r="O9" s="2363"/>
      <c r="P9" s="2363"/>
      <c r="Q9" s="2363"/>
      <c r="R9" s="2363"/>
    </row>
    <row r="10" spans="1:29" s="117" customFormat="1" ht="15.75" thickBot="1">
      <c r="A10" s="2376"/>
      <c r="B10" s="2377" t="s">
        <v>2102</v>
      </c>
      <c r="C10" s="2378"/>
      <c r="D10" s="2366"/>
      <c r="E10" s="2366"/>
      <c r="F10" s="1132"/>
      <c r="G10" s="1132"/>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50"/>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0"/>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2103</v>
      </c>
      <c r="B13" s="2383"/>
      <c r="C13" s="2383"/>
      <c r="D13" s="2390"/>
      <c r="E13" s="2383"/>
      <c r="F13" s="2383"/>
      <c r="G13" s="2383"/>
    </row>
    <row r="14" spans="1:29" ht="15.75" thickBot="1">
      <c r="A14" s="2394"/>
      <c r="B14" s="2395"/>
      <c r="C14" s="2396" t="s">
        <v>2104</v>
      </c>
      <c r="D14" s="2366"/>
      <c r="E14" s="2397"/>
      <c r="F14" s="2397"/>
      <c r="G14" s="2360" t="s">
        <v>2105</v>
      </c>
    </row>
    <row r="15" spans="1:29" ht="57">
      <c r="A15" s="68" t="s">
        <v>2106</v>
      </c>
      <c r="B15" s="1266" t="s">
        <v>2083</v>
      </c>
      <c r="C15" s="2398" t="str">
        <f>C3</f>
        <v>估价对象周边居住用地比例、居住小区规模和社区发展完善程度，综合评价居住社区成熟度一般</v>
      </c>
      <c r="D15" s="2366"/>
      <c r="E15" s="2399" t="s">
        <v>2107</v>
      </c>
      <c r="F15" s="1266" t="s">
        <v>2108</v>
      </c>
      <c r="G15" s="134" t="str">
        <f>G3</f>
        <v>估价对象位于XX开发区，园区建设成熟度XX，产业集聚程度XX</v>
      </c>
    </row>
    <row r="16" spans="1:29" ht="42.75">
      <c r="A16" s="644"/>
      <c r="B16" s="2400" t="s">
        <v>2087</v>
      </c>
      <c r="C16" s="2401" t="str">
        <f>C4</f>
        <v>估价对象位于XX商圈，周边商业氛围成熟，人流量大，商业繁华度好</v>
      </c>
      <c r="D16" s="2366"/>
      <c r="E16" s="2402"/>
      <c r="F16" s="2403" t="s">
        <v>2089</v>
      </c>
      <c r="G16" s="135" t="str">
        <f>G4</f>
        <v>估价对象周边道路状况、公共交通通达情况、停车便捷程度，综合评价交通便捷度较好</v>
      </c>
    </row>
    <row r="17" spans="1:18" ht="42.75">
      <c r="A17" s="644"/>
      <c r="B17" s="2400" t="s">
        <v>2091</v>
      </c>
      <c r="C17" s="2401" t="str">
        <f>C5</f>
        <v>估价对象位于XX商圈，周边办公楼项目较多，入驻率高，办公集聚程度较好</v>
      </c>
      <c r="D17" s="2372"/>
      <c r="E17" s="2402"/>
      <c r="F17" s="2403" t="s">
        <v>2109</v>
      </c>
      <c r="G17" s="1568"/>
    </row>
    <row r="18" spans="1:18" ht="57">
      <c r="A18" s="644"/>
      <c r="B18" s="2403" t="s">
        <v>2095</v>
      </c>
      <c r="C18" s="135" t="str">
        <f>C6</f>
        <v>估价对象周边道路状况、公共交通通达情况、停车便捷程度，综合评价交通便捷度较好</v>
      </c>
      <c r="D18" s="2372"/>
      <c r="E18" s="2402"/>
      <c r="F18" s="2403" t="s">
        <v>2098</v>
      </c>
      <c r="G18" s="135" t="str">
        <f>G7</f>
        <v>该园区内是否有污染型企业，绿化情况，卫生条件，整体环境状况判断</v>
      </c>
    </row>
    <row r="19" spans="1:18" ht="28.5">
      <c r="A19" s="644"/>
      <c r="B19" s="2403" t="s">
        <v>2110</v>
      </c>
      <c r="C19" s="1568"/>
      <c r="D19" s="2366"/>
      <c r="E19" s="2402"/>
      <c r="F19" s="1794" t="s">
        <v>2093</v>
      </c>
      <c r="G19" s="135" t="str">
        <f>G5</f>
        <v>估价对象所在区域公共配套设施齐备情况</v>
      </c>
    </row>
    <row r="20" spans="1:18" ht="28.5">
      <c r="A20" s="644"/>
      <c r="B20" s="2403" t="s">
        <v>2111</v>
      </c>
      <c r="C20" s="2401" t="str">
        <f>C9</f>
        <v>区域自然环境：；人文环境；综合评价环境状况一般</v>
      </c>
      <c r="D20" s="2372"/>
      <c r="E20" s="2402"/>
      <c r="F20" s="1794" t="s">
        <v>2112</v>
      </c>
      <c r="G20" s="135" t="str">
        <f>G6</f>
        <v>估价对象所在区域基础设施水平</v>
      </c>
    </row>
    <row r="21" spans="1:18" ht="28.5">
      <c r="A21" s="644"/>
      <c r="B21" s="1794" t="s">
        <v>2093</v>
      </c>
      <c r="C21" s="135" t="str">
        <f>C7</f>
        <v>估价对象所在区域公共配套设施齐备情况</v>
      </c>
      <c r="D21" s="2366"/>
      <c r="E21" s="2402"/>
      <c r="F21" s="2403" t="s">
        <v>2113</v>
      </c>
      <c r="G21" s="2404"/>
    </row>
    <row r="22" spans="1:18" ht="13.5" customHeight="1">
      <c r="A22" s="644"/>
      <c r="B22" s="1794" t="s">
        <v>2096</v>
      </c>
      <c r="C22" s="135" t="str">
        <f>C8</f>
        <v>估价对象所在区域基础设施水平</v>
      </c>
      <c r="D22" s="2366"/>
      <c r="E22" s="2402"/>
      <c r="F22" s="2403" t="s">
        <v>2102</v>
      </c>
      <c r="G22" s="1568"/>
    </row>
    <row r="23" spans="1:18" s="2363" customFormat="1" ht="15.75" thickBot="1">
      <c r="A23" s="644"/>
      <c r="B23" s="2403" t="s">
        <v>2113</v>
      </c>
      <c r="C23" s="2404"/>
      <c r="D23" s="2391"/>
      <c r="E23" s="2405"/>
      <c r="F23" s="2406" t="s">
        <v>2114</v>
      </c>
      <c r="G23" s="2407"/>
      <c r="H23" s="2391"/>
      <c r="I23" s="2392"/>
      <c r="J23" s="2391"/>
      <c r="K23" s="2391"/>
      <c r="L23" s="2392"/>
      <c r="M23" s="2391"/>
      <c r="N23" s="2391"/>
      <c r="O23" s="2392"/>
      <c r="P23" s="2391"/>
      <c r="Q23" s="2391"/>
      <c r="R23" s="2393"/>
    </row>
    <row r="24" spans="1:18" s="2363" customFormat="1" ht="15.75" thickBot="1">
      <c r="A24" s="2408"/>
      <c r="B24" s="2406" t="s">
        <v>2115</v>
      </c>
      <c r="C24" s="136">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7"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4" workbookViewId="0">
      <selection activeCell="D23" sqref="D23"/>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83329.149999999994</v>
      </c>
      <c r="C1" s="1741"/>
      <c r="D1" s="1741"/>
      <c r="E1" s="1741"/>
      <c r="F1" s="1741"/>
      <c r="G1" s="1739"/>
    </row>
    <row r="2" spans="1:10" ht="16.5">
      <c r="A2" s="1742" t="s">
        <v>1349</v>
      </c>
      <c r="B2" s="1742">
        <f>SUM(C14:C23)</f>
        <v>86905.919999999998</v>
      </c>
      <c r="C2" s="1741"/>
      <c r="D2" s="1741"/>
      <c r="E2" s="1741"/>
      <c r="F2" s="1741"/>
      <c r="G2" s="1739"/>
    </row>
    <row r="3" spans="1:10" ht="16.5">
      <c r="A3" s="1742" t="s">
        <v>1358</v>
      </c>
      <c r="B3" s="1743">
        <f>项目基本情况!D3</f>
        <v>43691</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42240</v>
      </c>
      <c r="C5" s="1742">
        <f ca="1">ROUND(B5*10000/$B$1,0)</f>
        <v>5069</v>
      </c>
      <c r="D5" s="1742">
        <f ca="1">ROUND(B5*10000/$B$2,0)</f>
        <v>4860</v>
      </c>
      <c r="E5" s="1741"/>
      <c r="F5" s="1739"/>
      <c r="G5" s="1739"/>
    </row>
    <row r="6" spans="1:10" ht="16.5">
      <c r="A6" s="1742" t="s">
        <v>1352</v>
      </c>
      <c r="B6" s="1742">
        <f ca="1">SUM(G14:G23)</f>
        <v>42240</v>
      </c>
      <c r="C6" s="1742">
        <f ca="1">ROUND(B6*10000/$B$1,0)</f>
        <v>5069</v>
      </c>
      <c r="D6" s="1742">
        <f ca="1">ROUND(B6*10000/$B$2,0)</f>
        <v>4860</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 ca="1">SUM(I14:I23)</f>
        <v>40239</v>
      </c>
      <c r="C8" s="1742">
        <f ca="1">ROUND(B8*10000/$B$1,0)</f>
        <v>4829</v>
      </c>
      <c r="D8" s="1742">
        <f ca="1">ROUND(B8*10000/$B$2,0)</f>
        <v>4630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83329.149999999994</v>
      </c>
      <c r="C14" s="1740">
        <f>结果表!C118</f>
        <v>86905.919999999998</v>
      </c>
      <c r="D14" s="1740">
        <f ca="1">结果表!H118</f>
        <v>41557</v>
      </c>
      <c r="E14" s="1740">
        <f ca="1">ROUND(D14*10000/B14,0)</f>
        <v>4987</v>
      </c>
      <c r="F14" s="1740">
        <f ca="1">ROUND(D14*10000/C14,0)</f>
        <v>4782</v>
      </c>
      <c r="G14" s="1740">
        <f ca="1">结果表!D122</f>
        <v>41557</v>
      </c>
      <c r="H14" s="1740" t="str">
        <f>结果表!D124</f>
        <v>——</v>
      </c>
      <c r="I14" s="1740">
        <f ca="1">结果表!D126</f>
        <v>40239</v>
      </c>
      <c r="J14" s="1739"/>
    </row>
    <row r="15" spans="1:10" ht="16.5">
      <c r="A15" s="1738" t="s">
        <v>1345</v>
      </c>
      <c r="B15" s="1745">
        <v>0</v>
      </c>
      <c r="C15" s="1745">
        <v>0</v>
      </c>
      <c r="D15" s="1745">
        <f ca="1">基准地价修正!P6</f>
        <v>683</v>
      </c>
      <c r="E15" s="1740" t="e">
        <f t="shared" ref="E15:E23" ca="1" si="0">ROUND(D15*10000/B15,0)</f>
        <v>#DIV/0!</v>
      </c>
      <c r="F15" s="1740" t="e">
        <f t="shared" ref="F15:F23" ca="1" si="1">ROUND(D15*10000/C15,0)</f>
        <v>#DIV/0!</v>
      </c>
      <c r="G15" s="1746">
        <f ca="1">D15</f>
        <v>683</v>
      </c>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D31" zoomScaleNormal="100" zoomScaleSheetLayoutView="100" zoomScalePageLayoutView="80" workbookViewId="0">
      <selection activeCell="H29" sqref="H29"/>
    </sheetView>
  </sheetViews>
  <sheetFormatPr defaultColWidth="12.625" defaultRowHeight="21.75" customHeight="1"/>
  <cols>
    <col min="1" max="2" width="12.625" style="2420"/>
    <col min="3" max="4" width="12.625" style="2420" customWidth="1"/>
    <col min="5" max="9" width="12.625" style="2420"/>
    <col min="10" max="11" width="12.625" style="794" customWidth="1"/>
    <col min="12" max="12" width="12.625" style="794"/>
    <col min="13" max="13" width="14.125" style="794" bestFit="1" customWidth="1"/>
    <col min="14" max="26" width="12.625" style="794"/>
    <col min="27" max="35" width="12.625" style="2419"/>
    <col min="36" max="16384" width="12.625" style="2420"/>
  </cols>
  <sheetData>
    <row r="1" spans="1:12" ht="21.75" customHeight="1" thickBot="1">
      <c r="A1" s="2220" t="s">
        <v>2116</v>
      </c>
      <c r="B1" s="2414"/>
      <c r="C1" s="2415"/>
      <c r="D1" s="2414"/>
      <c r="E1" s="2414"/>
      <c r="F1" s="2416" t="s">
        <v>2117</v>
      </c>
      <c r="G1" s="2066" t="s">
        <v>3074</v>
      </c>
      <c r="H1" s="2417" t="str">
        <f>IF(G1="现房","——","估价对象范围")</f>
        <v>——</v>
      </c>
      <c r="I1" s="2418"/>
    </row>
    <row r="2" spans="1:12" ht="21.75" customHeight="1" thickBot="1">
      <c r="A2" s="3159" t="str">
        <f>项目基本情况!S2</f>
        <v>北京市通州区永乐南一街9号院1号楼等7幢楼房地产</v>
      </c>
      <c r="B2" s="3160"/>
      <c r="C2" s="3160"/>
      <c r="D2" s="3160"/>
      <c r="E2" s="3160"/>
      <c r="F2" s="3160"/>
      <c r="G2" s="3160"/>
      <c r="H2" s="3160"/>
      <c r="I2" s="3161"/>
    </row>
    <row r="3" spans="1:12" ht="12.75">
      <c r="A3" s="3163" t="s">
        <v>2118</v>
      </c>
      <c r="B3" s="3164"/>
      <c r="C3" s="3164"/>
      <c r="D3" s="3164"/>
      <c r="E3" s="3164"/>
      <c r="F3" s="3164"/>
      <c r="G3" s="3164"/>
      <c r="H3" s="3164"/>
      <c r="I3" s="3164"/>
    </row>
    <row r="4" spans="1:12" ht="14.25">
      <c r="A4" s="2421" t="s">
        <v>2119</v>
      </c>
      <c r="B4" s="2422" t="s">
        <v>2120</v>
      </c>
      <c r="C4" s="2423" t="s">
        <v>3075</v>
      </c>
      <c r="D4" s="2423" t="s">
        <v>3073</v>
      </c>
      <c r="E4" s="3156" t="s">
        <v>2121</v>
      </c>
      <c r="F4" s="3157"/>
      <c r="G4" s="3157"/>
      <c r="H4" s="3157"/>
      <c r="I4" s="3168"/>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139" t="s">
        <v>2122</v>
      </c>
      <c r="B5" s="3077">
        <v>25</v>
      </c>
      <c r="C5" s="3165"/>
      <c r="D5" s="3162"/>
      <c r="E5" s="139" t="s">
        <v>2123</v>
      </c>
      <c r="F5" s="2425"/>
      <c r="G5" s="2425"/>
      <c r="H5" s="2425"/>
      <c r="I5" s="1830"/>
    </row>
    <row r="6" spans="1:12" ht="12.75">
      <c r="A6" s="3139"/>
      <c r="B6" s="3077"/>
      <c r="C6" s="3167"/>
      <c r="D6" s="3162"/>
      <c r="E6" s="139" t="s">
        <v>2124</v>
      </c>
      <c r="F6" s="2425"/>
      <c r="G6" s="2425"/>
      <c r="H6" s="2425"/>
      <c r="I6" s="1830"/>
    </row>
    <row r="7" spans="1:12" ht="12.75">
      <c r="A7" s="3139"/>
      <c r="B7" s="3077"/>
      <c r="C7" s="3166"/>
      <c r="D7" s="3162"/>
      <c r="E7" s="139" t="s">
        <v>2125</v>
      </c>
      <c r="F7" s="2425"/>
      <c r="G7" s="2425"/>
      <c r="H7" s="2425"/>
      <c r="I7" s="1830"/>
    </row>
    <row r="8" spans="1:12" ht="12.75">
      <c r="A8" s="3139" t="s">
        <v>2126</v>
      </c>
      <c r="B8" s="3077">
        <v>15</v>
      </c>
      <c r="C8" s="3165"/>
      <c r="D8" s="3162"/>
      <c r="E8" s="139" t="s">
        <v>2127</v>
      </c>
      <c r="F8" s="2425"/>
      <c r="G8" s="2425"/>
      <c r="H8" s="2425"/>
      <c r="I8" s="1830"/>
    </row>
    <row r="9" spans="1:12" ht="12.75">
      <c r="A9" s="3139"/>
      <c r="B9" s="3077"/>
      <c r="C9" s="3166"/>
      <c r="D9" s="3162"/>
      <c r="E9" s="139" t="s">
        <v>2128</v>
      </c>
      <c r="F9" s="2425"/>
      <c r="G9" s="2425"/>
      <c r="H9" s="2425"/>
      <c r="I9" s="1830"/>
    </row>
    <row r="10" spans="1:12" ht="12.75">
      <c r="A10" s="3139" t="s">
        <v>2129</v>
      </c>
      <c r="B10" s="3077">
        <v>15</v>
      </c>
      <c r="C10" s="3165"/>
      <c r="D10" s="3162"/>
      <c r="E10" s="139" t="s">
        <v>2130</v>
      </c>
      <c r="F10" s="2425"/>
      <c r="G10" s="2425"/>
      <c r="H10" s="2425"/>
      <c r="I10" s="1830"/>
    </row>
    <row r="11" spans="1:12" ht="12.75">
      <c r="A11" s="3139"/>
      <c r="B11" s="3077"/>
      <c r="C11" s="3166"/>
      <c r="D11" s="3162"/>
      <c r="E11" s="139" t="s">
        <v>2131</v>
      </c>
      <c r="F11" s="2425"/>
      <c r="G11" s="2425"/>
      <c r="H11" s="2425"/>
      <c r="I11" s="1830"/>
    </row>
    <row r="12" spans="1:12" ht="12.75">
      <c r="A12" s="3139" t="s">
        <v>2132</v>
      </c>
      <c r="B12" s="3077">
        <v>15</v>
      </c>
      <c r="C12" s="3165"/>
      <c r="D12" s="3162"/>
      <c r="E12" s="139" t="s">
        <v>2133</v>
      </c>
      <c r="F12" s="2425"/>
      <c r="G12" s="2425"/>
      <c r="H12" s="2425"/>
      <c r="I12" s="1830"/>
    </row>
    <row r="13" spans="1:12" ht="12.75">
      <c r="A13" s="3139"/>
      <c r="B13" s="3077"/>
      <c r="C13" s="3166"/>
      <c r="D13" s="3162"/>
      <c r="E13" s="139" t="s">
        <v>2134</v>
      </c>
      <c r="F13" s="2425"/>
      <c r="G13" s="2425"/>
      <c r="H13" s="2425"/>
      <c r="I13" s="1830"/>
    </row>
    <row r="14" spans="1:12" ht="12.75">
      <c r="A14" s="3139" t="s">
        <v>2135</v>
      </c>
      <c r="B14" s="3077">
        <v>30</v>
      </c>
      <c r="C14" s="3142">
        <v>5</v>
      </c>
      <c r="D14" s="3190">
        <v>5</v>
      </c>
      <c r="E14" s="139" t="s">
        <v>2136</v>
      </c>
      <c r="F14" s="2425"/>
      <c r="G14" s="2425"/>
      <c r="H14" s="2425"/>
      <c r="I14" s="1830"/>
    </row>
    <row r="15" spans="1:12" ht="12.75">
      <c r="A15" s="3139"/>
      <c r="B15" s="3077"/>
      <c r="C15" s="3143"/>
      <c r="D15" s="3190"/>
      <c r="E15" s="139" t="s">
        <v>2137</v>
      </c>
      <c r="F15" s="2425"/>
      <c r="G15" s="2425"/>
      <c r="H15" s="2425"/>
      <c r="I15" s="1830"/>
    </row>
    <row r="16" spans="1:12" ht="12.75">
      <c r="A16" s="3139"/>
      <c r="B16" s="3077"/>
      <c r="C16" s="3144"/>
      <c r="D16" s="3190"/>
      <c r="E16" s="139" t="s">
        <v>2138</v>
      </c>
      <c r="F16" s="2425"/>
      <c r="G16" s="2425"/>
      <c r="H16" s="2425"/>
      <c r="I16" s="1830"/>
    </row>
    <row r="17" spans="1:35" ht="15">
      <c r="A17" s="2426" t="s">
        <v>2139</v>
      </c>
      <c r="B17" s="64"/>
      <c r="C17" s="140">
        <f>SUM(C5:C16)</f>
        <v>5</v>
      </c>
      <c r="D17" s="140">
        <f>SUM(D5:D16)</f>
        <v>5</v>
      </c>
      <c r="E17" s="137"/>
      <c r="F17" s="137"/>
      <c r="G17" s="137"/>
      <c r="H17" s="137"/>
      <c r="I17" s="137"/>
      <c r="K17" s="2424"/>
      <c r="L17" s="2427" t="s">
        <v>2140</v>
      </c>
      <c r="M17" s="2427" t="s">
        <v>2141</v>
      </c>
    </row>
    <row r="18" spans="1:35" ht="15.75" thickBot="1">
      <c r="A18" s="2428" t="s">
        <v>2142</v>
      </c>
      <c r="B18" s="2429"/>
      <c r="C18" s="141">
        <f>ROUND(C17/SUM(C17:D17),2)</f>
        <v>0.5</v>
      </c>
      <c r="D18" s="141">
        <f>1-C18</f>
        <v>0.5</v>
      </c>
      <c r="E18" s="137"/>
      <c r="F18" s="137"/>
      <c r="G18" s="137"/>
      <c r="H18" s="137"/>
      <c r="I18" s="137"/>
      <c r="K18" s="2424" t="s">
        <v>2143</v>
      </c>
      <c r="L18" s="2424">
        <f>IF(C1="",'数据-汇总表'!E3,SUMIF(项目类型,C1,'数据-汇总表'!E17:E26)+SUMIF(项目类型,C1,'数据-汇总表'!I17:I26))</f>
        <v>83329.149999999994</v>
      </c>
      <c r="M18" s="2424">
        <f>IF(C1="",'数据-汇总表'!E3,SUMIF(项目类型,C1,'数据-汇总表'!E17:E26))</f>
        <v>83329.149999999994</v>
      </c>
    </row>
    <row r="19" spans="1:35" ht="15">
      <c r="A19" s="2430" t="s">
        <v>2144</v>
      </c>
      <c r="B19" s="2431" t="s">
        <v>2145</v>
      </c>
      <c r="C19" s="142">
        <f ca="1">SUMIF(INDIRECT("'"&amp;C4&amp;"'"&amp;"!A:A"),结果表!B19,INDIRECT("'"&amp;C4&amp;"'"&amp;"!B:B"))</f>
        <v>36302</v>
      </c>
      <c r="D19" s="143">
        <f ca="1">SUMIF(INDIRECT("'"&amp;D4&amp;"'"&amp;"!A:A"),结果表!B19,INDIRECT("'"&amp;D4&amp;"'"&amp;"!B:B"))</f>
        <v>46811</v>
      </c>
      <c r="E19" s="2430" t="s">
        <v>2146</v>
      </c>
      <c r="F19" s="2431" t="s">
        <v>2145</v>
      </c>
      <c r="G19" s="144">
        <f ca="1">ROUND(C19*$C$18+D19*$D$18,0)</f>
        <v>41557</v>
      </c>
      <c r="H19" s="2432" t="s">
        <v>2147</v>
      </c>
      <c r="I19" s="137"/>
      <c r="K19" s="2424" t="s">
        <v>2148</v>
      </c>
      <c r="L19" s="2424">
        <f>IF(C1="",'数据-汇总表'!D3,SUMIF(项目类型,C1,'数据-汇总表'!D17:D26)+SUMIF(项目类型,C1,'数据-汇总表'!H17:H27))</f>
        <v>86905.919999999998</v>
      </c>
      <c r="M19" s="2424">
        <f>IF(C1="",'数据-汇总表'!D3,SUMIF(项目类型,C1,'数据-汇总表'!D17:D26))</f>
        <v>86905.919999999998</v>
      </c>
    </row>
    <row r="20" spans="1:35" ht="15">
      <c r="A20" s="2433"/>
      <c r="B20" s="1246" t="s">
        <v>2149</v>
      </c>
      <c r="C20" s="145">
        <f ca="1">SUMIF(INDIRECT("'"&amp;C4&amp;"'"&amp;"!A:A"),结果表!B20,INDIRECT("'"&amp;C4&amp;"'"&amp;"!B:B"))</f>
        <v>4363</v>
      </c>
      <c r="D20" s="146">
        <f ca="1">SUMIF(INDIRECT("'"&amp;D4&amp;"'"&amp;"!A:A"),结果表!B20,INDIRECT("'"&amp;D4&amp;"'"&amp;"!B:B"))</f>
        <v>5626</v>
      </c>
      <c r="E20" s="2433"/>
      <c r="F20" s="1246" t="s">
        <v>2149</v>
      </c>
      <c r="G20" s="147">
        <f ca="1">ROUND(C20*$C$18+D20*$D$18,0)</f>
        <v>4995</v>
      </c>
      <c r="H20" s="979" t="s">
        <v>2150</v>
      </c>
      <c r="I20" s="137"/>
    </row>
    <row r="21" spans="1:35" ht="15" customHeight="1" thickBot="1">
      <c r="A21" s="999"/>
      <c r="B21" s="2434" t="s">
        <v>2151</v>
      </c>
      <c r="C21" s="788">
        <f ca="1">ROUND(C19*10000/L19,0)</f>
        <v>4177</v>
      </c>
      <c r="D21" s="789">
        <f ca="1">ROUND(D19*10000/L19,0)</f>
        <v>5386</v>
      </c>
      <c r="E21" s="999"/>
      <c r="F21" s="2434" t="s">
        <v>2151</v>
      </c>
      <c r="G21" s="148">
        <f ca="1">ROUND(G19*10000/L19,0)</f>
        <v>4782</v>
      </c>
      <c r="H21" s="2435" t="s">
        <v>2150</v>
      </c>
      <c r="I21" s="137"/>
    </row>
    <row r="22" spans="1:35" ht="15" thickBot="1">
      <c r="A22" s="2276" t="s">
        <v>2152</v>
      </c>
      <c r="B22" s="2436"/>
      <c r="C22" s="2437"/>
      <c r="D22" s="790">
        <f ca="1">IF(C19&lt;D19,D19/C19-1,C19/D19-1)</f>
        <v>0.28948818246928543</v>
      </c>
      <c r="E22" s="137"/>
      <c r="F22" s="137"/>
      <c r="G22" s="137"/>
      <c r="H22" s="137"/>
      <c r="I22" s="137"/>
    </row>
    <row r="23" spans="1:35" ht="13.5" thickBot="1">
      <c r="A23" s="2414"/>
      <c r="B23" s="2414"/>
      <c r="C23" s="2414"/>
      <c r="D23" s="2414"/>
      <c r="E23" s="137"/>
      <c r="F23" s="137"/>
      <c r="G23" s="137"/>
      <c r="H23" s="137"/>
      <c r="I23" s="137"/>
    </row>
    <row r="24" spans="1:35" ht="14.25">
      <c r="A24" s="3133" t="s">
        <v>2153</v>
      </c>
      <c r="B24" s="2431" t="s">
        <v>2145</v>
      </c>
      <c r="C24" s="144">
        <f>IF(B30=0,0,D30)</f>
        <v>0</v>
      </c>
      <c r="D24" s="2438"/>
      <c r="E24" s="137"/>
      <c r="F24" s="137"/>
      <c r="G24" s="137"/>
      <c r="H24" s="137"/>
      <c r="I24" s="137"/>
    </row>
    <row r="25" spans="1:35" ht="14.25">
      <c r="A25" s="3134"/>
      <c r="B25" s="1246" t="s">
        <v>2149</v>
      </c>
      <c r="C25" s="149">
        <f>IF(B30=0,0,C30)</f>
        <v>0</v>
      </c>
      <c r="D25" s="2439"/>
      <c r="E25" s="137"/>
      <c r="F25" s="137"/>
      <c r="G25" s="137"/>
      <c r="H25" s="137"/>
      <c r="I25" s="137"/>
    </row>
    <row r="26" spans="1:35" ht="13.5" customHeight="1">
      <c r="A26" s="2440" t="s">
        <v>2154</v>
      </c>
      <c r="B26" s="150" t="s">
        <v>2155</v>
      </c>
      <c r="C26" s="150" t="s">
        <v>2156</v>
      </c>
      <c r="D26" s="151" t="s">
        <v>2157</v>
      </c>
      <c r="E26" s="137"/>
      <c r="F26" s="137"/>
      <c r="G26" s="137"/>
      <c r="H26" s="137"/>
      <c r="I26" s="137"/>
    </row>
    <row r="27" spans="1:35" ht="14.25">
      <c r="A27" s="2440"/>
      <c r="B27" s="150">
        <v>0</v>
      </c>
      <c r="C27" s="150">
        <v>0</v>
      </c>
      <c r="D27" s="151">
        <f>ROUND(C27*B27/10000,0)</f>
        <v>0</v>
      </c>
      <c r="E27" s="137"/>
      <c r="F27" s="137"/>
      <c r="G27" s="137"/>
      <c r="H27" s="137"/>
      <c r="I27" s="137"/>
    </row>
    <row r="28" spans="1:35" ht="14.25">
      <c r="A28" s="2440"/>
      <c r="B28" s="150"/>
      <c r="C28" s="150"/>
      <c r="D28" s="151"/>
      <c r="E28" s="137"/>
      <c r="F28" s="137"/>
      <c r="G28" s="137"/>
      <c r="H28" s="137"/>
      <c r="I28" s="137"/>
    </row>
    <row r="29" spans="1:35" ht="14.25">
      <c r="A29" s="2440"/>
      <c r="B29" s="150"/>
      <c r="C29" s="150"/>
      <c r="D29" s="151"/>
      <c r="E29" s="137"/>
      <c r="F29" s="137"/>
      <c r="G29" s="137"/>
      <c r="H29" s="137"/>
      <c r="I29" s="137"/>
    </row>
    <row r="30" spans="1:35" ht="14.25">
      <c r="A30" s="150" t="s">
        <v>2158</v>
      </c>
      <c r="B30" s="150"/>
      <c r="C30" s="150"/>
      <c r="D30" s="150"/>
      <c r="E30" s="2913" t="s">
        <v>3028</v>
      </c>
      <c r="F30" s="137"/>
      <c r="G30" s="137"/>
      <c r="H30" s="137"/>
      <c r="I30" s="137"/>
    </row>
    <row r="31" spans="1:35" s="2442" customFormat="1" ht="15" thickBot="1">
      <c r="A31" s="2441"/>
      <c r="B31" s="2441"/>
      <c r="C31" s="2441"/>
      <c r="D31" s="2441"/>
      <c r="E31" s="137"/>
      <c r="F31" s="137"/>
      <c r="G31" s="137"/>
      <c r="H31" s="137"/>
      <c r="I31" s="137"/>
      <c r="J31" s="794"/>
      <c r="K31" s="794"/>
      <c r="L31" s="794"/>
      <c r="M31" s="794"/>
      <c r="N31" s="794"/>
      <c r="O31" s="794"/>
      <c r="P31" s="794"/>
      <c r="Q31" s="794"/>
      <c r="R31" s="794"/>
      <c r="S31" s="794"/>
      <c r="T31" s="794"/>
      <c r="U31" s="794"/>
      <c r="V31" s="794"/>
      <c r="W31" s="794"/>
      <c r="X31" s="794"/>
      <c r="Y31" s="794"/>
      <c r="Z31" s="794"/>
      <c r="AA31" s="2419"/>
      <c r="AB31" s="2419"/>
      <c r="AC31" s="2419"/>
      <c r="AD31" s="2419"/>
      <c r="AE31" s="2419"/>
      <c r="AF31" s="2419"/>
      <c r="AG31" s="2419"/>
      <c r="AH31" s="2419"/>
      <c r="AI31" s="2419"/>
    </row>
    <row r="32" spans="1:35" ht="15.75" thickBot="1">
      <c r="A32" s="2443" t="s">
        <v>2159</v>
      </c>
      <c r="B32" s="2444"/>
      <c r="C32" s="152">
        <f ca="1">IF(D32="总价",G19-C24,G20-C25)</f>
        <v>41557</v>
      </c>
      <c r="D32" s="2445" t="s">
        <v>2160</v>
      </c>
      <c r="E32" s="137"/>
      <c r="F32" s="137"/>
      <c r="G32" s="137"/>
      <c r="H32" s="137"/>
      <c r="I32" s="137"/>
    </row>
    <row r="33" spans="1:15" ht="15">
      <c r="A33" s="956" t="s">
        <v>2161</v>
      </c>
      <c r="B33" s="2446"/>
      <c r="C33" s="2447" t="s">
        <v>3182</v>
      </c>
      <c r="D33" s="2448" t="s">
        <v>3075</v>
      </c>
      <c r="E33" s="2449" t="s">
        <v>2162</v>
      </c>
      <c r="F33" s="2450" t="str">
        <f>IF(D32="楼面单价","取值（单价）","取值（总价）")</f>
        <v>取值（总价）</v>
      </c>
      <c r="G33" s="137"/>
      <c r="H33" s="137"/>
      <c r="I33" s="137"/>
    </row>
    <row r="34" spans="1:15" ht="15">
      <c r="A34" s="2451"/>
      <c r="B34" s="2452" t="s">
        <v>2163</v>
      </c>
      <c r="C34" s="156">
        <f ca="1">IF(C33="自定义",F34,C32-C35)</f>
        <v>11096</v>
      </c>
      <c r="D34" s="1054">
        <f ca="1">IF(C33="自定义",ROUND(C34/C32,3),IF(C33="收益比率",SUMIF(INDIRECT("'"&amp;D33&amp;"'"&amp;"!b:b"),"土地收益比率",INDIRECT("'"&amp;D33&amp;"'"&amp;"!c:c")),SUMIF(INDIRECT("'"&amp;D33&amp;"'"&amp;"!b:b"),"土地成本比率",INDIRECT("'"&amp;D33&amp;"'"&amp;"!c:c"))))</f>
        <v>0.26700000000000002</v>
      </c>
      <c r="E34" s="2453" t="s">
        <v>2164</v>
      </c>
      <c r="F34" s="1735"/>
      <c r="G34" s="137"/>
      <c r="H34" s="137"/>
      <c r="I34" s="137"/>
    </row>
    <row r="35" spans="1:15" ht="15.75" thickBot="1">
      <c r="A35" s="2454"/>
      <c r="B35" s="2455" t="s">
        <v>2165</v>
      </c>
      <c r="C35" s="1440">
        <f ca="1">IF(C33="自定义",F35,ROUND(C32*D35,0))</f>
        <v>30461</v>
      </c>
      <c r="D35" s="1441">
        <f ca="1">IF(C33="自定义",ROUND(C35/C32,3),IF(C33="收益比率",SUMIF(INDIRECT("'"&amp;D33&amp;"'"&amp;"!b:b"),"建筑物收益比率",INDIRECT("'"&amp;D33&amp;"'"&amp;"!c:c")),SUMIF(INDIRECT("'"&amp;D33&amp;"'"&amp;"!b:b"),"建筑物成本比率",INDIRECT("'"&amp;D33&amp;"'"&amp;"!c:c"))))</f>
        <v>0.73299999999999998</v>
      </c>
      <c r="E35" s="2456" t="s">
        <v>2166</v>
      </c>
      <c r="F35" s="162"/>
      <c r="G35" s="137"/>
      <c r="H35" s="137"/>
      <c r="I35" s="137"/>
    </row>
    <row r="36" spans="1:15" ht="15.75" thickBot="1">
      <c r="A36" s="3151" t="s">
        <v>2167</v>
      </c>
      <c r="B36" s="2457" t="s">
        <v>2168</v>
      </c>
      <c r="C36" s="153"/>
      <c r="D36" s="2458"/>
      <c r="E36" s="2459"/>
      <c r="F36" s="2460"/>
      <c r="G36" s="137"/>
      <c r="H36" s="137"/>
      <c r="I36" s="137"/>
    </row>
    <row r="37" spans="1:15" ht="15.75" thickBot="1">
      <c r="A37" s="3152"/>
      <c r="B37" s="2262" t="s">
        <v>2169</v>
      </c>
      <c r="C37" s="155"/>
      <c r="D37" s="1391"/>
      <c r="E37" s="1391"/>
      <c r="F37" s="2460"/>
      <c r="G37" s="137"/>
      <c r="H37" s="137"/>
      <c r="I37" s="137"/>
    </row>
    <row r="38" spans="1:15" ht="15.75" thickBot="1">
      <c r="A38" s="3153"/>
      <c r="B38" s="2461" t="s">
        <v>2170</v>
      </c>
      <c r="C38" s="726"/>
      <c r="D38" s="2462" t="s">
        <v>2171</v>
      </c>
      <c r="E38" s="1391"/>
      <c r="F38" s="2460"/>
      <c r="G38" s="137"/>
      <c r="H38" s="137"/>
      <c r="I38" s="137"/>
    </row>
    <row r="39" spans="1:15" ht="15">
      <c r="A39" s="2433" t="s">
        <v>2172</v>
      </c>
      <c r="B39" s="2463" t="s">
        <v>2173</v>
      </c>
      <c r="C39" s="2464" t="s">
        <v>2174</v>
      </c>
      <c r="D39" s="2464" t="s">
        <v>2175</v>
      </c>
      <c r="E39" s="2465" t="s">
        <v>2176</v>
      </c>
      <c r="F39" s="2460"/>
      <c r="G39" s="137"/>
      <c r="H39" s="137"/>
      <c r="I39" s="137"/>
    </row>
    <row r="40" spans="1:15" ht="14.25">
      <c r="A40" s="2466" t="s">
        <v>2177</v>
      </c>
      <c r="B40" s="157"/>
      <c r="C40" s="158"/>
      <c r="D40" s="158"/>
      <c r="E40" s="159"/>
      <c r="F40" s="2460"/>
      <c r="G40" s="137"/>
      <c r="H40" s="137"/>
      <c r="I40" s="137"/>
    </row>
    <row r="41" spans="1:15" ht="14.25">
      <c r="A41" s="2466" t="s">
        <v>2178</v>
      </c>
      <c r="B41" s="157"/>
      <c r="C41" s="158"/>
      <c r="D41" s="158"/>
      <c r="E41" s="159"/>
      <c r="F41" s="2460"/>
      <c r="G41" s="137"/>
      <c r="H41" s="137"/>
      <c r="I41" s="137"/>
    </row>
    <row r="42" spans="1:15" ht="15" thickBot="1">
      <c r="A42" s="2467"/>
      <c r="B42" s="160"/>
      <c r="C42" s="161"/>
      <c r="D42" s="161"/>
      <c r="E42" s="162"/>
      <c r="F42" s="2460"/>
      <c r="G42" s="137"/>
      <c r="H42" s="137"/>
      <c r="I42" s="137"/>
    </row>
    <row r="43" spans="1:15" ht="12.75">
      <c r="A43" s="2160"/>
      <c r="B43" s="2160"/>
      <c r="C43" s="2160"/>
      <c r="D43" s="2160"/>
      <c r="E43" s="2160"/>
      <c r="F43" s="2468"/>
      <c r="G43" s="2468"/>
      <c r="H43" s="2468"/>
      <c r="I43" s="2469"/>
    </row>
    <row r="44" spans="1:15" ht="18.75">
      <c r="A44" s="2470" t="s">
        <v>2179</v>
      </c>
      <c r="B44" s="2471"/>
      <c r="C44" s="2471"/>
      <c r="D44" s="2472"/>
      <c r="E44" s="2472"/>
      <c r="F44" s="2473"/>
      <c r="G44" s="2473"/>
      <c r="H44" s="2473"/>
      <c r="I44" s="2473"/>
      <c r="J44" s="2474" t="s">
        <v>2180</v>
      </c>
      <c r="K44" s="2475"/>
      <c r="L44" s="2475"/>
      <c r="M44" s="2475"/>
      <c r="N44" s="2475"/>
      <c r="O44" s="2475"/>
    </row>
    <row r="45" spans="1:15" ht="14.25" customHeight="1" thickBot="1">
      <c r="A45" s="3130" t="s">
        <v>2181</v>
      </c>
      <c r="B45" s="3131"/>
      <c r="C45" s="3132"/>
      <c r="D45" s="163">
        <f ca="1">ROUND(H101*F45,0)</f>
        <v>24934</v>
      </c>
      <c r="E45" s="164" t="s">
        <v>2182</v>
      </c>
      <c r="F45" s="165">
        <v>0.6</v>
      </c>
      <c r="G45" s="166" t="s">
        <v>2183</v>
      </c>
      <c r="H45" s="137"/>
      <c r="I45" s="137"/>
      <c r="J45" s="3194" t="s">
        <v>2184</v>
      </c>
      <c r="K45" s="3194"/>
      <c r="L45" s="3194"/>
      <c r="M45" s="3194"/>
      <c r="N45" s="3194"/>
      <c r="O45" s="3194"/>
    </row>
    <row r="46" spans="1:15" ht="14.25" customHeight="1">
      <c r="A46" s="3127" t="s">
        <v>2185</v>
      </c>
      <c r="B46" s="3128"/>
      <c r="C46" s="3128"/>
      <c r="D46" s="3128"/>
      <c r="E46" s="3128"/>
      <c r="F46" s="3128"/>
      <c r="G46" s="3129"/>
      <c r="H46" s="2476"/>
      <c r="I46" s="167"/>
      <c r="J46" s="1808">
        <v>1</v>
      </c>
      <c r="K46" s="3194" t="s">
        <v>2186</v>
      </c>
      <c r="L46" s="3194"/>
      <c r="M46" s="3214"/>
      <c r="N46" s="3214"/>
      <c r="O46" s="3214"/>
    </row>
    <row r="47" spans="1:15" ht="12" customHeight="1">
      <c r="A47" s="168" t="s">
        <v>2187</v>
      </c>
      <c r="B47" s="169"/>
      <c r="C47" s="170"/>
      <c r="D47" s="171" t="s">
        <v>2188</v>
      </c>
      <c r="E47" s="24" t="s">
        <v>2189</v>
      </c>
      <c r="F47" s="172" t="s">
        <v>2190</v>
      </c>
      <c r="G47" s="173" t="s">
        <v>2191</v>
      </c>
      <c r="H47" s="2476"/>
      <c r="I47" s="167"/>
      <c r="J47" s="1808">
        <v>2</v>
      </c>
      <c r="K47" s="3194" t="s">
        <v>2192</v>
      </c>
      <c r="L47" s="3194"/>
      <c r="M47" s="3215">
        <f>'数据-取费表'!B2</f>
        <v>43691</v>
      </c>
      <c r="N47" s="3215"/>
      <c r="O47" s="3215"/>
    </row>
    <row r="48" spans="1:15" ht="25.5">
      <c r="A48" s="3158" t="s">
        <v>2193</v>
      </c>
      <c r="B48" s="3141"/>
      <c r="C48" s="3141"/>
      <c r="D48" s="139">
        <f ca="1">IF(H48="情况1",0,IF(H48="情况2",D52,IF(H48="情况3",D53,IF(H48="情况4",D54))))</f>
        <v>1306</v>
      </c>
      <c r="E48" s="1797" t="str">
        <f>IF(H48="情况4","(销售额-原购置价)×税（费）率","销售额×税（费）率")</f>
        <v>(销售额-原购置价)×税（费）率</v>
      </c>
      <c r="F48" s="174">
        <f>IF(H48="情况1","免征",'数据-取费表'!B41)</f>
        <v>5.5000000000000007E-2</v>
      </c>
      <c r="G48" s="2477" t="s">
        <v>2194</v>
      </c>
      <c r="H48" s="2478" t="s">
        <v>3188</v>
      </c>
      <c r="I48" s="2476"/>
      <c r="J48" s="1808">
        <v>3</v>
      </c>
      <c r="K48" s="3194" t="s">
        <v>2195</v>
      </c>
      <c r="L48" s="3194"/>
      <c r="M48" s="3216">
        <f ca="1">H101</f>
        <v>41557</v>
      </c>
      <c r="N48" s="3216"/>
      <c r="O48" s="3216"/>
    </row>
    <row r="49" spans="1:35" ht="25.5" customHeight="1">
      <c r="A49" s="175" t="s">
        <v>2196</v>
      </c>
      <c r="B49" s="3126" t="s">
        <v>2197</v>
      </c>
      <c r="C49" s="3126"/>
      <c r="D49" s="176">
        <v>0</v>
      </c>
      <c r="E49" s="23" t="s">
        <v>2198</v>
      </c>
      <c r="F49" s="28" t="s">
        <v>34</v>
      </c>
      <c r="G49" s="3200"/>
      <c r="H49" s="137"/>
      <c r="I49" s="2479"/>
      <c r="J49" s="1808">
        <v>4</v>
      </c>
      <c r="K49" s="3194" t="str">
        <f>IF(项目基本情况!E8="房地产抵押价值","房地产抵押价值","抵押担保权已注销时的房地产抵押价值")</f>
        <v>房地产抵押价值</v>
      </c>
      <c r="L49" s="3194"/>
      <c r="M49" s="3216">
        <f ca="1">IF(项目基本情况!E8="房地产抵押价值",H107,H109)</f>
        <v>41557</v>
      </c>
      <c r="N49" s="3216"/>
      <c r="O49" s="3216"/>
    </row>
    <row r="50" spans="1:35" ht="25.5" customHeight="1">
      <c r="A50" s="177"/>
      <c r="B50" s="3126" t="s">
        <v>2199</v>
      </c>
      <c r="C50" s="3126"/>
      <c r="D50" s="178"/>
      <c r="E50" s="31"/>
      <c r="F50" s="179"/>
      <c r="G50" s="3201"/>
      <c r="H50" s="137"/>
      <c r="I50" s="2479"/>
      <c r="J50" s="3194" t="s">
        <v>2200</v>
      </c>
      <c r="K50" s="3194"/>
      <c r="L50" s="3194"/>
      <c r="M50" s="3194"/>
      <c r="N50" s="3194"/>
      <c r="O50" s="3194"/>
    </row>
    <row r="51" spans="1:35" ht="12" customHeight="1">
      <c r="A51" s="180"/>
      <c r="B51" s="3126" t="s">
        <v>2201</v>
      </c>
      <c r="C51" s="3126"/>
      <c r="D51" s="181"/>
      <c r="E51" s="30"/>
      <c r="F51" s="179"/>
      <c r="G51" s="3202"/>
      <c r="H51" s="137"/>
      <c r="I51" s="2479"/>
      <c r="J51" s="2480" t="s">
        <v>2202</v>
      </c>
      <c r="K51" s="3194" t="s">
        <v>2203</v>
      </c>
      <c r="L51" s="3194"/>
      <c r="M51" s="2480" t="s">
        <v>2204</v>
      </c>
      <c r="N51" s="2480" t="s">
        <v>2205</v>
      </c>
      <c r="O51" s="2480" t="s">
        <v>2206</v>
      </c>
    </row>
    <row r="52" spans="1:35" ht="24" customHeight="1">
      <c r="A52" s="182" t="s">
        <v>2207</v>
      </c>
      <c r="B52" s="3126" t="s">
        <v>2208</v>
      </c>
      <c r="C52" s="3126"/>
      <c r="D52" s="181">
        <f ca="1">ROUND(D45*'数据-取费表'!B41/(1+'数据-取费表'!C42),0)</f>
        <v>1306</v>
      </c>
      <c r="E52" s="11" t="s">
        <v>2209</v>
      </c>
      <c r="F52" s="183">
        <f>'数据-取费表'!B41</f>
        <v>5.5000000000000007E-2</v>
      </c>
      <c r="G52" s="2481"/>
      <c r="H52" s="137"/>
      <c r="I52" s="2479"/>
      <c r="J52" s="1808">
        <v>1</v>
      </c>
      <c r="K52" s="3195" t="s">
        <v>2210</v>
      </c>
      <c r="L52" s="3195"/>
      <c r="M52" s="1750">
        <f ca="1">D48</f>
        <v>1306</v>
      </c>
      <c r="N52" s="1808" t="str">
        <f>E48</f>
        <v>(销售额-原购置价)×税（费）率</v>
      </c>
      <c r="O52" s="1751">
        <f>F48</f>
        <v>5.5000000000000007E-2</v>
      </c>
    </row>
    <row r="53" spans="1:35" ht="12" customHeight="1">
      <c r="A53" s="182" t="s">
        <v>2211</v>
      </c>
      <c r="B53" s="3149" t="s">
        <v>2212</v>
      </c>
      <c r="C53" s="3150"/>
      <c r="D53" s="181">
        <f ca="1">ROUND(D45*'数据-取费表'!B41/(1+'数据-取费表'!C42),0)</f>
        <v>1306</v>
      </c>
      <c r="E53" s="11" t="s">
        <v>2209</v>
      </c>
      <c r="F53" s="183">
        <f>'数据-取费表'!B41</f>
        <v>5.5000000000000007E-2</v>
      </c>
      <c r="G53" s="2481"/>
      <c r="H53" s="137"/>
      <c r="I53" s="2479"/>
      <c r="J53" s="1808">
        <v>2</v>
      </c>
      <c r="K53" s="3195" t="s">
        <v>2213</v>
      </c>
      <c r="L53" s="3195"/>
      <c r="M53" s="1750">
        <f t="shared" ref="M53:O54" ca="1" si="0">D55</f>
        <v>12</v>
      </c>
      <c r="N53" s="1808" t="str">
        <f t="shared" si="0"/>
        <v>销售额×税（费）率</v>
      </c>
      <c r="O53" s="1751">
        <f t="shared" si="0"/>
        <v>5.0000000000000001E-4</v>
      </c>
    </row>
    <row r="54" spans="1:35" ht="12" customHeight="1">
      <c r="A54" s="182" t="s">
        <v>2214</v>
      </c>
      <c r="B54" s="3149" t="s">
        <v>2215</v>
      </c>
      <c r="C54" s="3150"/>
      <c r="D54" s="181">
        <f ca="1">C68</f>
        <v>1306</v>
      </c>
      <c r="E54" s="30" t="s">
        <v>2216</v>
      </c>
      <c r="F54" s="183">
        <f>'数据-取费表'!B41</f>
        <v>5.5000000000000007E-2</v>
      </c>
      <c r="G54" s="2481"/>
      <c r="H54" s="2482"/>
      <c r="I54" s="2479"/>
      <c r="J54" s="1808">
        <v>3</v>
      </c>
      <c r="K54" s="3195" t="s">
        <v>2217</v>
      </c>
      <c r="L54" s="3195"/>
      <c r="M54" s="1750">
        <f t="shared" ca="1" si="0"/>
        <v>0</v>
      </c>
      <c r="N54" s="1808" t="str">
        <f t="shared" si="0"/>
        <v>增值额×税（费）率</v>
      </c>
      <c r="O54" s="1752" t="str">
        <f t="shared" si="0"/>
        <v>——</v>
      </c>
    </row>
    <row r="55" spans="1:35" ht="24" customHeight="1">
      <c r="A55" s="3140" t="s">
        <v>2218</v>
      </c>
      <c r="B55" s="3141"/>
      <c r="C55" s="3141"/>
      <c r="D55" s="184">
        <f ca="1">IF(H55="个人住宅",0,ROUND(D45*I55,0))</f>
        <v>12</v>
      </c>
      <c r="E55" s="11" t="s">
        <v>2219</v>
      </c>
      <c r="F55" s="183">
        <f>IF(H55="正常",I55,"免征")</f>
        <v>5.0000000000000001E-4</v>
      </c>
      <c r="G55" s="2481"/>
      <c r="H55" s="2478" t="s">
        <v>2220</v>
      </c>
      <c r="I55" s="185">
        <f>'数据-取费表'!B49</f>
        <v>5.0000000000000001E-4</v>
      </c>
      <c r="J55" s="1808" t="str">
        <f>IF(H59="非个人房产","",4)</f>
        <v/>
      </c>
      <c r="K55" s="3195" t="str">
        <f>IF(H59="非个人房产","——","个人所得税")</f>
        <v>——</v>
      </c>
      <c r="L55" s="3195"/>
      <c r="M55" s="1753" t="str">
        <f>D59</f>
        <v>——</v>
      </c>
      <c r="N55" s="1806" t="str">
        <f>E59</f>
        <v>——</v>
      </c>
      <c r="O55" s="1754" t="str">
        <f>F59</f>
        <v>——</v>
      </c>
    </row>
    <row r="56" spans="1:35" ht="24.75">
      <c r="A56" s="3140" t="s">
        <v>2221</v>
      </c>
      <c r="B56" s="3141"/>
      <c r="C56" s="3141"/>
      <c r="D56" s="184">
        <f ca="1">IF(H56="个人住宅",D57,D58)</f>
        <v>0</v>
      </c>
      <c r="E56" s="11" t="s">
        <v>2222</v>
      </c>
      <c r="F56" s="183" t="str">
        <f>IF(H56="正常",F58,"免征")</f>
        <v>——</v>
      </c>
      <c r="G56" s="2483" t="s">
        <v>2223</v>
      </c>
      <c r="H56" s="2484" t="s">
        <v>2220</v>
      </c>
      <c r="I56" s="2485"/>
      <c r="J56" s="1808" t="str">
        <f>IF(项目基本情况!K6="上海银行",IF(J55="",4,J55+1),"")</f>
        <v/>
      </c>
      <c r="K56" s="3218" t="str">
        <f>IF(项目基本情况!K6="上海银行","其他处置费用","")</f>
        <v/>
      </c>
      <c r="L56" s="3219"/>
      <c r="M56" s="1750" t="str">
        <f>IF(项目基本情况!K6="上海银行",M69,"")</f>
        <v/>
      </c>
      <c r="N56" s="3221" t="str">
        <f>IF(项目基本情况!K6="上海银行","包含处置中涉及的律师、诉讼、拍卖、评估等费用","")</f>
        <v/>
      </c>
      <c r="O56" s="3222"/>
    </row>
    <row r="57" spans="1:35" ht="12.75">
      <c r="A57" s="182" t="s">
        <v>2196</v>
      </c>
      <c r="B57" s="3156" t="s">
        <v>2224</v>
      </c>
      <c r="C57" s="3168"/>
      <c r="D57" s="186">
        <v>0</v>
      </c>
      <c r="E57" s="23" t="s">
        <v>2198</v>
      </c>
      <c r="F57" s="154"/>
      <c r="G57" s="2481"/>
      <c r="H57" s="2485"/>
      <c r="I57" s="2485"/>
      <c r="J57" s="3195">
        <f>IF(AND(J55="",J56=""),4,IF(项目基本情况!K6="上海银行",结果表!J56+1,结果表!J55+1))</f>
        <v>4</v>
      </c>
      <c r="K57" s="3195" t="s">
        <v>2225</v>
      </c>
      <c r="L57" s="2486" t="s">
        <v>2226</v>
      </c>
      <c r="M57" s="1755"/>
      <c r="N57" s="1756">
        <f ca="1">SUMIF(M52:M56,"&lt;9e307")</f>
        <v>1318</v>
      </c>
      <c r="O57" s="2487"/>
      <c r="P57" s="1749">
        <f ca="1">N57/M49</f>
        <v>3.171547513054359E-2</v>
      </c>
    </row>
    <row r="58" spans="1:35" ht="24.75">
      <c r="A58" s="182" t="s">
        <v>2207</v>
      </c>
      <c r="B58" s="3156" t="s">
        <v>2227</v>
      </c>
      <c r="C58" s="3157"/>
      <c r="D58" s="184">
        <f ca="1">IF(H58="转让取得",C81,C97)</f>
        <v>0</v>
      </c>
      <c r="E58" s="11" t="s">
        <v>2222</v>
      </c>
      <c r="F58" s="24" t="s">
        <v>34</v>
      </c>
      <c r="G58" s="2481"/>
      <c r="H58" s="2484" t="s">
        <v>3184</v>
      </c>
      <c r="I58" s="2485"/>
      <c r="J58" s="3195"/>
      <c r="K58" s="3195"/>
      <c r="L58" s="2486" t="s">
        <v>2228</v>
      </c>
      <c r="M58" s="1757"/>
      <c r="N58" s="2488" t="str">
        <f ca="1">NUMBERSTRING(INT(N57*10000),2)&amp;"元整"</f>
        <v>壹仟叁佰壹拾捌万元整</v>
      </c>
      <c r="O58" s="2489"/>
    </row>
    <row r="59" spans="1:35" ht="24.75" thickBot="1">
      <c r="A59" s="3198" t="s">
        <v>2229</v>
      </c>
      <c r="B59" s="3199"/>
      <c r="C59" s="3199"/>
      <c r="D59" s="187" t="str">
        <f>IF(H59="非个人房产","——",IF(H59="个人住宅",0,ROUND(D45*I59,0)))</f>
        <v>——</v>
      </c>
      <c r="E59" s="188" t="str">
        <f>IF(H59="非个人房产","——","销售额×税（费）率")</f>
        <v>——</v>
      </c>
      <c r="F59" s="189" t="str">
        <f>IF(H59="非个人房产","——",IF(H59="个人住宅","免征",I59))</f>
        <v>——</v>
      </c>
      <c r="G59" s="2490" t="s">
        <v>2223</v>
      </c>
      <c r="H59" s="2484" t="s">
        <v>3185</v>
      </c>
      <c r="I59" s="190">
        <v>0.01</v>
      </c>
      <c r="J59" s="3196">
        <f>J57+1</f>
        <v>5</v>
      </c>
      <c r="K59" s="3195" t="s">
        <v>2230</v>
      </c>
      <c r="L59" s="1808" t="s">
        <v>2226</v>
      </c>
      <c r="M59" s="1758"/>
      <c r="N59" s="1759">
        <f ca="1">M49-N57</f>
        <v>40239</v>
      </c>
      <c r="O59" s="2491"/>
    </row>
    <row r="60" spans="1:35" ht="12" customHeight="1">
      <c r="A60" s="2492"/>
      <c r="B60" s="2414"/>
      <c r="C60" s="2414"/>
      <c r="D60" s="2414"/>
      <c r="E60" s="2161"/>
      <c r="F60" s="2485"/>
      <c r="G60" s="2485"/>
      <c r="H60" s="2493"/>
      <c r="I60" s="137"/>
      <c r="J60" s="3197"/>
      <c r="K60" s="3195"/>
      <c r="L60" s="2486" t="s">
        <v>2228</v>
      </c>
      <c r="M60" s="1757"/>
      <c r="N60" s="2488" t="str">
        <f ca="1">NUMBERSTRING(INT(N59*10000),2)&amp;"元整"</f>
        <v>肆亿零贰佰叁拾玖万元整</v>
      </c>
      <c r="O60" s="2489"/>
    </row>
    <row r="61" spans="1:35" ht="13.5" thickBot="1">
      <c r="A61" s="3138" t="s">
        <v>2231</v>
      </c>
      <c r="B61" s="3138"/>
      <c r="C61" s="3138"/>
      <c r="D61" s="3138"/>
      <c r="E61" s="3138"/>
      <c r="F61" s="2485"/>
      <c r="G61" s="2485"/>
      <c r="H61" s="2493"/>
      <c r="I61" s="137"/>
      <c r="J61" s="1808">
        <f>J59+1</f>
        <v>6</v>
      </c>
      <c r="K61" s="3195" t="s">
        <v>2232</v>
      </c>
      <c r="L61" s="3195"/>
      <c r="M61" s="1760"/>
      <c r="N61" s="1761">
        <f ca="1">ROUND(N59*10000/'数据-汇总表'!E3,0)</f>
        <v>4829</v>
      </c>
      <c r="O61" s="2494"/>
    </row>
    <row r="62" spans="1:35" ht="12.75">
      <c r="A62" s="3154" t="s">
        <v>2233</v>
      </c>
      <c r="B62" s="3155"/>
      <c r="C62" s="1800"/>
      <c r="D62" s="1800" t="s">
        <v>2234</v>
      </c>
      <c r="E62" s="191" t="s">
        <v>2235</v>
      </c>
      <c r="F62" s="2485"/>
      <c r="G62" s="2485"/>
      <c r="H62" s="2493"/>
      <c r="I62" s="137"/>
    </row>
    <row r="63" spans="1:35" ht="12.75">
      <c r="A63" s="202" t="s">
        <v>775</v>
      </c>
      <c r="B63" s="192" t="s">
        <v>2236</v>
      </c>
      <c r="C63" s="193">
        <f ca="1">ROUND((C64+C65)/(1+'数据-取费表'!C42),0)</f>
        <v>23747</v>
      </c>
      <c r="D63" s="194"/>
      <c r="E63" s="195"/>
      <c r="F63" s="2485"/>
      <c r="G63" s="2485"/>
      <c r="H63" s="2493"/>
      <c r="I63" s="137"/>
      <c r="J63" s="3220" t="s">
        <v>2237</v>
      </c>
      <c r="K63" s="2495" t="s">
        <v>2238</v>
      </c>
      <c r="L63" s="1748">
        <f ca="1">IF(M49&gt;10000,M49*0.5%,IF(AND(M49&gt;1000,M49&lt;=10000),M49*1%,IF(AND(M49&gt;100,M49&lt;=1000),M49*3%,IF(AND(M49&gt;10,M49&lt;=100),M49*5%,M49*8%))))</f>
        <v>207.785</v>
      </c>
      <c r="M63" s="24">
        <f ca="1">ROUND(L63,1)</f>
        <v>207.8</v>
      </c>
      <c r="Z63" s="2419"/>
      <c r="AI63" s="2420"/>
    </row>
    <row r="64" spans="1:35" ht="14.25" customHeight="1">
      <c r="A64" s="196" t="s">
        <v>770</v>
      </c>
      <c r="B64" s="197" t="s">
        <v>2239</v>
      </c>
      <c r="C64" s="198">
        <f ca="1">D45</f>
        <v>24934</v>
      </c>
      <c r="D64" s="199" t="s">
        <v>32</v>
      </c>
      <c r="E64" s="200"/>
      <c r="F64" s="2485"/>
      <c r="G64" s="2485"/>
      <c r="H64" s="2493"/>
      <c r="I64" s="137"/>
      <c r="J64" s="3220"/>
      <c r="K64" s="2495" t="s">
        <v>2240</v>
      </c>
      <c r="L64" s="1748">
        <f ca="1">IF(M49&gt;2000,M49*0.5%,IF(AND(M49&gt;1000,M49&lt;=2000),M49*0.6%,IF(AND(M49&gt;500,M49&lt;=1000),M49*0.7%,IF(AND(M49&gt;200,M49&lt;=500),M49*0.8%,IF(AND(M49&gt;100,M49&lt;=200),M49*0.9%,IF(AND(M49&gt;50,M49&lt;=100),M49*1%,IF(AND(M49&gt;20,M49&lt;=50),M49*1.5%,IF(AND(M49&gt;10,M49&lt;=20),M49*2%,IF(AND(M49&gt;1,M49&lt;=10),M49*2.5%)))))))))</f>
        <v>207.785</v>
      </c>
      <c r="M64" s="24">
        <f t="shared" ref="M64:M65" ca="1" si="1">ROUND(L64,1)</f>
        <v>207.8</v>
      </c>
      <c r="N64" s="137" t="s">
        <v>2241</v>
      </c>
      <c r="Z64" s="2419"/>
      <c r="AI64" s="2420"/>
    </row>
    <row r="65" spans="1:35" ht="14.25" customHeight="1">
      <c r="A65" s="196" t="s">
        <v>771</v>
      </c>
      <c r="B65" s="197" t="s">
        <v>2242</v>
      </c>
      <c r="C65" s="201"/>
      <c r="D65" s="199"/>
      <c r="E65" s="200"/>
      <c r="F65" s="2485"/>
      <c r="G65" s="2485"/>
      <c r="H65" s="2493"/>
      <c r="I65" s="137"/>
      <c r="J65" s="3220"/>
      <c r="K65" s="2495" t="s">
        <v>2243</v>
      </c>
      <c r="L65" s="1748">
        <f ca="1">IF(M49&gt;1000,M49*0.1%,IF(AND(M49&gt;500,M49&lt;=1000),M49*0.5%,IF(AND(M49&gt;50,M49&lt;=500),M49*1%,IF(AND(M49&gt;1,M49&lt;=50),M49*1.5%))))</f>
        <v>41.557000000000002</v>
      </c>
      <c r="M65" s="24">
        <f t="shared" ca="1" si="1"/>
        <v>41.6</v>
      </c>
      <c r="N65" s="137" t="s">
        <v>2241</v>
      </c>
      <c r="Z65" s="2419"/>
      <c r="AI65" s="2420"/>
    </row>
    <row r="66" spans="1:35" ht="14.25" customHeight="1">
      <c r="A66" s="202" t="s">
        <v>772</v>
      </c>
      <c r="B66" s="203" t="s">
        <v>2244</v>
      </c>
      <c r="C66" s="204"/>
      <c r="D66" s="205" t="s">
        <v>32</v>
      </c>
      <c r="E66" s="1772" t="s">
        <v>1367</v>
      </c>
      <c r="F66" s="2485"/>
      <c r="G66" s="2485"/>
      <c r="H66" s="2493"/>
      <c r="I66" s="137"/>
      <c r="J66" s="3220"/>
      <c r="K66" s="2495" t="s">
        <v>2245</v>
      </c>
      <c r="L66" s="1748">
        <f ca="1">M49*0.5%</f>
        <v>207.785</v>
      </c>
      <c r="M66" s="24">
        <f ca="1">IF(L66&gt;0.5,0.5,ROUND(L66,0))</f>
        <v>0.5</v>
      </c>
      <c r="N66" s="137" t="s">
        <v>2246</v>
      </c>
      <c r="Z66" s="2419"/>
      <c r="AI66" s="2420"/>
    </row>
    <row r="67" spans="1:35" ht="14.25" customHeight="1">
      <c r="A67" s="202" t="s">
        <v>773</v>
      </c>
      <c r="B67" s="203" t="s">
        <v>2247</v>
      </c>
      <c r="C67" s="206">
        <f ca="1">C63-C66</f>
        <v>23747</v>
      </c>
      <c r="D67" s="199" t="s">
        <v>32</v>
      </c>
      <c r="E67" s="200"/>
      <c r="F67" s="2485"/>
      <c r="G67" s="2485"/>
      <c r="H67" s="2493"/>
      <c r="I67" s="137"/>
      <c r="J67" s="3220"/>
      <c r="K67" s="2495" t="s">
        <v>2248</v>
      </c>
      <c r="L67" s="1748">
        <f ca="1">IF(M49&gt;=10000,(8.25+(M49-10000)*0.01%),IF(AND(M49&gt;=8000,M49&lt;10000),(7.85+(M49-8000)*0.02%),IF(AND(M49&gt;=5000,M49&lt;8000),(6.65+(M49-5000)*0.04%),IF(AND(M49&gt;=2000,M49&lt;5000),(4.25+(PM49-2000)*0.08%),IF(AND(M49&gt;=1000,M49&lt;2000),(2.75+(M49-1000)*0.15%),IF(AND(M49&gt;=100,M49&lt;1000),(0.5+(M49-100)*0.25%),IF(AND(M49&gt;0,M49&lt;100),M49*0.5%)))))))</f>
        <v>11.4057</v>
      </c>
      <c r="M67" s="24">
        <f ca="1">ROUND(L67*0.9,1)</f>
        <v>10.3</v>
      </c>
      <c r="Z67" s="2419"/>
      <c r="AI67" s="2420"/>
    </row>
    <row r="68" spans="1:35" ht="14.25" customHeight="1" thickBot="1">
      <c r="A68" s="207" t="s">
        <v>774</v>
      </c>
      <c r="B68" s="208" t="s">
        <v>2249</v>
      </c>
      <c r="C68" s="209">
        <f ca="1">IF(C67&lt;=0,0,ROUND(C67*D68,0))</f>
        <v>1306</v>
      </c>
      <c r="D68" s="210">
        <f>'数据-取费表'!B41</f>
        <v>5.5000000000000007E-2</v>
      </c>
      <c r="E68" s="211"/>
      <c r="F68" s="2485"/>
      <c r="G68" s="2485"/>
      <c r="H68" s="2493"/>
      <c r="I68" s="137"/>
      <c r="J68" s="3220"/>
      <c r="K68" s="2495" t="s">
        <v>2250</v>
      </c>
      <c r="L68" s="1748">
        <f ca="1">IF(M49&gt;10000,M49*0.5%,IF(AND(M49&gt;5000,M49&lt;=10000),M49*1%,IF(AND(M49&gt;1000,M49&lt;=5000),M49*2%,IF(AND(M49&gt;200,M49&lt;=1000),M49*3%,M49*5%))))</f>
        <v>207.785</v>
      </c>
      <c r="M68" s="24">
        <f ca="1">ROUND(L68,1)</f>
        <v>207.8</v>
      </c>
      <c r="Z68" s="2419"/>
      <c r="AI68" s="2420"/>
    </row>
    <row r="69" spans="1:35" s="2442" customFormat="1" ht="16.5" customHeight="1">
      <c r="A69" s="2496"/>
      <c r="B69" s="2497"/>
      <c r="C69" s="2498"/>
      <c r="D69" s="2499"/>
      <c r="E69" s="2500"/>
      <c r="F69" s="2161"/>
      <c r="G69" s="2161"/>
      <c r="H69" s="2160"/>
      <c r="I69" s="2414"/>
      <c r="J69" s="3220"/>
      <c r="K69" s="2495" t="s">
        <v>2251</v>
      </c>
      <c r="L69" s="2501"/>
      <c r="M69" s="24">
        <f ca="1">ROUND(SUM(M63:M68),0)</f>
        <v>676</v>
      </c>
      <c r="N69" s="1749">
        <f ca="1">M69/M49</f>
        <v>1.6266814255119475E-2</v>
      </c>
      <c r="O69" s="794"/>
      <c r="P69" s="794"/>
      <c r="Q69" s="794"/>
      <c r="R69" s="794"/>
      <c r="S69" s="794"/>
      <c r="T69" s="794"/>
      <c r="U69" s="794"/>
      <c r="V69" s="794"/>
      <c r="W69" s="794"/>
      <c r="X69" s="794"/>
      <c r="Y69" s="794"/>
      <c r="Z69" s="2419"/>
      <c r="AA69" s="2419"/>
      <c r="AB69" s="2419"/>
      <c r="AC69" s="2419"/>
      <c r="AD69" s="2419"/>
      <c r="AE69" s="2419"/>
      <c r="AF69" s="2419"/>
      <c r="AG69" s="2419"/>
      <c r="AH69" s="2419"/>
    </row>
    <row r="70" spans="1:35" s="2503" customFormat="1" ht="15" thickBot="1">
      <c r="A70" s="3178" t="s">
        <v>2252</v>
      </c>
      <c r="B70" s="3179"/>
      <c r="C70" s="3179"/>
      <c r="D70" s="3179"/>
      <c r="E70" s="3179"/>
      <c r="F70" s="3179"/>
      <c r="G70" s="3179"/>
      <c r="H70" s="3179"/>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54" t="s">
        <v>2233</v>
      </c>
      <c r="B71" s="3155"/>
      <c r="C71" s="1800"/>
      <c r="D71" s="1800" t="s">
        <v>2234</v>
      </c>
      <c r="E71" s="212" t="s">
        <v>2235</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2" t="s">
        <v>775</v>
      </c>
      <c r="B72" s="203" t="s">
        <v>2253</v>
      </c>
      <c r="C72" s="206">
        <f ca="1">ROUND(D45/(1+'数据-取费表'!C42),0)</f>
        <v>23747</v>
      </c>
      <c r="D72" s="199" t="s">
        <v>32</v>
      </c>
      <c r="E72" s="1799"/>
      <c r="F72" s="1793"/>
      <c r="G72" s="1793"/>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2" t="s">
        <v>772</v>
      </c>
      <c r="B73" s="172" t="s">
        <v>2254</v>
      </c>
      <c r="C73" s="206">
        <f ca="1">C74+C78</f>
        <v>35540003</v>
      </c>
      <c r="D73" s="199" t="s">
        <v>32</v>
      </c>
      <c r="E73" s="1799"/>
      <c r="F73" s="1793"/>
      <c r="G73" s="1793"/>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6" t="s">
        <v>770</v>
      </c>
      <c r="B74" s="197" t="s">
        <v>2255</v>
      </c>
      <c r="C74" s="199">
        <f>ROUND(IF(G77="2016年5月1日后购买",C75/(1+'数据-取费表'!C42)+C76+C77,C75+C76+C77),0)</f>
        <v>35539884</v>
      </c>
      <c r="D74" s="199" t="s">
        <v>32</v>
      </c>
      <c r="E74" s="1799"/>
      <c r="F74" s="1793"/>
      <c r="G74" s="1793"/>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6" t="s">
        <v>776</v>
      </c>
      <c r="B75" s="197" t="s">
        <v>2256</v>
      </c>
      <c r="C75" s="217">
        <v>34488000</v>
      </c>
      <c r="D75" s="199" t="s">
        <v>32</v>
      </c>
      <c r="E75" s="218" t="s">
        <v>2257</v>
      </c>
      <c r="F75" s="2507" t="s">
        <v>2258</v>
      </c>
      <c r="G75" s="218" t="s">
        <v>2259</v>
      </c>
      <c r="H75" s="219">
        <v>8</v>
      </c>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6" t="s">
        <v>777</v>
      </c>
      <c r="B76" s="220" t="s">
        <v>2260</v>
      </c>
      <c r="C76" s="199">
        <f>IF(F75="购房发票",ROUND(C75*H75*D76,0),0)</f>
        <v>0</v>
      </c>
      <c r="D76" s="221">
        <v>0.05</v>
      </c>
      <c r="E76" s="3149" t="s">
        <v>2261</v>
      </c>
      <c r="F76" s="3126"/>
      <c r="G76" s="3126"/>
      <c r="H76" s="3177"/>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6" t="s">
        <v>778</v>
      </c>
      <c r="B77" s="197" t="s">
        <v>2262</v>
      </c>
      <c r="C77" s="199">
        <f>ROUND(IF(G77="个人住宅",0,IF(G77="2016年5月1日前购买",C75*D77,C75*D77/(1+'数据-取费表'!C42))),0)</f>
        <v>1051884</v>
      </c>
      <c r="D77" s="222">
        <f>'数据-取费表'!B48+'数据-取费表'!B49</f>
        <v>3.0499999999999999E-2</v>
      </c>
      <c r="E77" s="15" t="s">
        <v>2263</v>
      </c>
      <c r="F77" s="223"/>
      <c r="G77" s="2509" t="s">
        <v>3186</v>
      </c>
      <c r="H77" s="1804"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6" t="s">
        <v>771</v>
      </c>
      <c r="B78" s="197" t="s">
        <v>2264</v>
      </c>
      <c r="C78" s="224">
        <f ca="1">ROUND(D45*D78/(1+'数据-取费表'!C42),0)</f>
        <v>119</v>
      </c>
      <c r="D78" s="225">
        <f>'数据-取费表'!B43</f>
        <v>5.000000000000001E-3</v>
      </c>
      <c r="E78" s="3135" t="s">
        <v>2265</v>
      </c>
      <c r="F78" s="3136"/>
      <c r="G78" s="3136"/>
      <c r="H78" s="3145"/>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3" t="s">
        <v>2266</v>
      </c>
      <c r="C79" s="206">
        <f ca="1">C72-C73</f>
        <v>-35516256</v>
      </c>
      <c r="D79" s="199" t="s">
        <v>32</v>
      </c>
      <c r="E79" s="1799"/>
      <c r="F79" s="1793"/>
      <c r="G79" s="1793"/>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3" t="s">
        <v>2267</v>
      </c>
      <c r="C80" s="226">
        <f ca="1">IF(C79&lt;=0,0,C79/C73)</f>
        <v>0</v>
      </c>
      <c r="D80" s="199" t="s">
        <v>32</v>
      </c>
      <c r="E80" s="15" t="str">
        <f ca="1">IF(C80&gt;=200%,"增值额超过扣除项目金额200%",IF(C80&gt;=100%,"增值额超过扣除项目金额100%，未超过200%",IF(C80&gt;=50%,"增值额超过扣除项目金额50%，未超过100%",IF(C80&lt;50%,"增值额未超过扣除项目金额50%"))))</f>
        <v>增值额未超过扣除项目金额50%</v>
      </c>
      <c r="F80" s="1793"/>
      <c r="G80" s="1793"/>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8" t="s">
        <v>2268</v>
      </c>
      <c r="C81" s="227">
        <f ca="1">ROUND(IF(C79&lt;=0,0,IF(C80&gt;=200%,C79*60%-C73*35%,IF(C80&gt;=100%,C79*50%-C73*15%,IF(C80&gt;=50%,C79*40%-C73*5%,IF(C80&lt;50%,C79*30%,0))))),0)</f>
        <v>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2"/>
      <c r="B82" s="733"/>
      <c r="C82" s="7"/>
      <c r="D82" s="7"/>
      <c r="E82" s="733"/>
      <c r="F82" s="733"/>
      <c r="G82" s="733"/>
      <c r="H82" s="734"/>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78" t="s">
        <v>2269</v>
      </c>
      <c r="B83" s="3179"/>
      <c r="C83" s="3179"/>
      <c r="D83" s="3179"/>
      <c r="E83" s="3179"/>
      <c r="F83" s="3179"/>
      <c r="G83" s="3179"/>
      <c r="H83" s="3179"/>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54" t="s">
        <v>2233</v>
      </c>
      <c r="B84" s="3155"/>
      <c r="C84" s="1800"/>
      <c r="D84" s="1800" t="s">
        <v>2234</v>
      </c>
      <c r="E84" s="212" t="s">
        <v>2235</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2" t="s">
        <v>775</v>
      </c>
      <c r="B85" s="203" t="s">
        <v>2253</v>
      </c>
      <c r="C85" s="206">
        <f ca="1">ROUND(D45/(1+'数据-取费表'!C42),0)</f>
        <v>23747</v>
      </c>
      <c r="D85" s="199" t="s">
        <v>32</v>
      </c>
      <c r="E85" s="1799"/>
      <c r="F85" s="1793"/>
      <c r="G85" s="1793"/>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2" t="s">
        <v>772</v>
      </c>
      <c r="B86" s="172" t="s">
        <v>2254</v>
      </c>
      <c r="C86" s="206">
        <f ca="1">IF(H88="仅含出让金",C87+C90+C91+C92+C93+C94,C87+C91+C92+C93+C94)</f>
        <v>36955.240797999999</v>
      </c>
      <c r="D86" s="234"/>
      <c r="E86" s="1799"/>
      <c r="F86" s="1793"/>
      <c r="G86" s="1793"/>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6" t="s">
        <v>770</v>
      </c>
      <c r="B87" s="197" t="s">
        <v>2270</v>
      </c>
      <c r="C87" s="224">
        <f>C88+C89</f>
        <v>3553.8</v>
      </c>
      <c r="D87" s="225"/>
      <c r="E87" s="1795"/>
      <c r="F87" s="1796"/>
      <c r="G87" s="1796"/>
      <c r="H87" s="1798"/>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6" t="s">
        <v>776</v>
      </c>
      <c r="B88" s="197" t="s">
        <v>2271</v>
      </c>
      <c r="C88" s="235">
        <f>34488000/10000</f>
        <v>3448.8</v>
      </c>
      <c r="D88" s="225"/>
      <c r="E88" s="236" t="s">
        <v>2272</v>
      </c>
      <c r="F88" s="1796"/>
      <c r="G88" s="237" t="s">
        <v>2273</v>
      </c>
      <c r="H88" s="2513" t="s">
        <v>3187</v>
      </c>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6" t="s">
        <v>777</v>
      </c>
      <c r="B89" s="197" t="s">
        <v>2262</v>
      </c>
      <c r="C89" s="224">
        <f>ROUND(C88*D89,0)</f>
        <v>105</v>
      </c>
      <c r="D89" s="225">
        <f>'数据-取费表'!B48+'数据-取费表'!B49</f>
        <v>3.0499999999999999E-2</v>
      </c>
      <c r="E89" s="236" t="s">
        <v>2274</v>
      </c>
      <c r="F89" s="1796"/>
      <c r="G89" s="1796"/>
      <c r="H89" s="1798"/>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6" t="s">
        <v>771</v>
      </c>
      <c r="B90" s="197" t="s">
        <v>2275</v>
      </c>
      <c r="C90" s="235" t="str">
        <f>成本法!C19</f>
        <v>0</v>
      </c>
      <c r="D90" s="225"/>
      <c r="E90" s="236" t="str">
        <f>IF(H88="-","土地取得成本中已包含该笔费用"," ")</f>
        <v xml:space="preserve"> </v>
      </c>
      <c r="F90" s="1796"/>
      <c r="G90" s="1796"/>
      <c r="H90" s="1798"/>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6" t="s">
        <v>2276</v>
      </c>
      <c r="B91" s="197" t="s">
        <v>2277</v>
      </c>
      <c r="C91" s="224">
        <f>IF(H91="——",成本法!C33,I91)</f>
        <v>24781.440798</v>
      </c>
      <c r="D91" s="225"/>
      <c r="E91" s="3135" t="s">
        <v>2278</v>
      </c>
      <c r="F91" s="3136"/>
      <c r="G91" s="3136"/>
      <c r="H91" s="2514" t="s">
        <v>2279</v>
      </c>
      <c r="I91" s="2515">
        <f>Sheet1!E19/10000</f>
        <v>24781.440798</v>
      </c>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6" t="s">
        <v>2280</v>
      </c>
      <c r="B92" s="197" t="s">
        <v>2281</v>
      </c>
      <c r="C92" s="224">
        <f>ROUND((C87+C90+C91)*D92,0)</f>
        <v>2834</v>
      </c>
      <c r="D92" s="225">
        <v>0.1</v>
      </c>
      <c r="E92" s="3135" t="s">
        <v>2282</v>
      </c>
      <c r="F92" s="3136"/>
      <c r="G92" s="3136"/>
      <c r="H92" s="3145"/>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6" t="s">
        <v>2283</v>
      </c>
      <c r="B93" s="197" t="s">
        <v>2264</v>
      </c>
      <c r="C93" s="224">
        <f ca="1">ROUND(D45*D93/(1+'数据-取费表'!C42),0)</f>
        <v>119</v>
      </c>
      <c r="D93" s="225">
        <f>'数据-取费表'!B43</f>
        <v>5.000000000000001E-3</v>
      </c>
      <c r="E93" s="3135" t="s">
        <v>2265</v>
      </c>
      <c r="F93" s="3136"/>
      <c r="G93" s="3136"/>
      <c r="H93" s="3145"/>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6" t="s">
        <v>2284</v>
      </c>
      <c r="B94" s="197" t="s">
        <v>2285</v>
      </c>
      <c r="C94" s="235">
        <f>ROUND((C87+C90+C91)*D94,0)</f>
        <v>5667</v>
      </c>
      <c r="D94" s="225">
        <v>0.2</v>
      </c>
      <c r="E94" s="3146" t="s">
        <v>2286</v>
      </c>
      <c r="F94" s="3147"/>
      <c r="G94" s="3147"/>
      <c r="H94" s="3148"/>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3" t="s">
        <v>2266</v>
      </c>
      <c r="C95" s="206">
        <f ca="1">ROUND(C85-C86,0)</f>
        <v>-13208</v>
      </c>
      <c r="D95" s="199" t="s">
        <v>32</v>
      </c>
      <c r="E95" s="1799"/>
      <c r="F95" s="1793"/>
      <c r="G95" s="1793"/>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3" t="s">
        <v>2267</v>
      </c>
      <c r="C96" s="226">
        <f ca="1">IF(C95&lt;=0,0,C95/C86)</f>
        <v>0</v>
      </c>
      <c r="D96" s="199"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3"/>
      <c r="G96" s="1793"/>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8" t="s">
        <v>2268</v>
      </c>
      <c r="C97" s="227">
        <f ca="1">ROUND(IF(C95&lt;=0,0,IF(C96&gt;=200%,C95*60%-C86*35%,IF(C96&gt;=100%,C95*50%-C86*15%,IF(C96&gt;=50%,C95*40%-C86*5%,IF(C96&lt;50%,C95*30%,0))))),0)</f>
        <v>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1"/>
      <c r="F98" s="2161"/>
      <c r="G98" s="2161"/>
      <c r="H98" s="2160"/>
      <c r="I98" s="137"/>
    </row>
    <row r="99" spans="1:35" ht="21.75" customHeight="1" thickBot="1">
      <c r="A99" s="2470" t="s">
        <v>2287</v>
      </c>
      <c r="B99" s="2414"/>
      <c r="C99" s="2414"/>
      <c r="D99" s="2414"/>
      <c r="E99" s="2161"/>
      <c r="F99" s="2161"/>
      <c r="G99" s="2161"/>
      <c r="H99" s="2160"/>
      <c r="I99" s="137"/>
    </row>
    <row r="100" spans="1:35" ht="18.75" customHeight="1">
      <c r="A100" s="3120" t="s">
        <v>2288</v>
      </c>
      <c r="B100" s="3121"/>
      <c r="C100" s="3121"/>
      <c r="D100" s="3137"/>
      <c r="E100" s="3121" t="s">
        <v>2289</v>
      </c>
      <c r="F100" s="3121"/>
      <c r="G100" s="3121"/>
      <c r="H100" s="3137"/>
      <c r="I100" s="137"/>
    </row>
    <row r="101" spans="1:35" ht="18.75" customHeight="1">
      <c r="A101" s="3203" t="s">
        <v>2290</v>
      </c>
      <c r="B101" s="3204"/>
      <c r="C101" s="735" t="str">
        <f>C4</f>
        <v>成本法</v>
      </c>
      <c r="D101" s="736" t="str">
        <f>D4</f>
        <v>收益法</v>
      </c>
      <c r="E101" s="3217" t="s">
        <v>2291</v>
      </c>
      <c r="F101" s="3170"/>
      <c r="G101" s="2516" t="s">
        <v>2292</v>
      </c>
      <c r="H101" s="1044">
        <f ca="1">H118</f>
        <v>41557</v>
      </c>
      <c r="I101" s="137"/>
    </row>
    <row r="102" spans="1:35" ht="18.75" customHeight="1">
      <c r="A102" s="3172" t="s">
        <v>2293</v>
      </c>
      <c r="B102" s="2516" t="s">
        <v>2292</v>
      </c>
      <c r="C102" s="735">
        <f ca="1">C19</f>
        <v>36302</v>
      </c>
      <c r="D102" s="736">
        <f ca="1">D19</f>
        <v>46811</v>
      </c>
      <c r="E102" s="3217"/>
      <c r="F102" s="3170"/>
      <c r="G102" s="2516" t="s">
        <v>2294</v>
      </c>
      <c r="H102" s="370">
        <f ca="1">I118</f>
        <v>4987</v>
      </c>
      <c r="I102" s="137"/>
    </row>
    <row r="103" spans="1:35" ht="42.75" customHeight="1">
      <c r="A103" s="3172"/>
      <c r="B103" s="2516" t="s">
        <v>2294</v>
      </c>
      <c r="C103" s="737">
        <f ca="1">C20</f>
        <v>4363</v>
      </c>
      <c r="D103" s="738">
        <f ca="1">D20</f>
        <v>5626</v>
      </c>
      <c r="E103" s="3212" t="s">
        <v>2295</v>
      </c>
      <c r="F103" s="3213"/>
      <c r="G103" s="2517" t="s">
        <v>2296</v>
      </c>
      <c r="H103" s="1044">
        <f>IF(D36="正常操作",H104+H105+H106,H105+H106)</f>
        <v>0</v>
      </c>
      <c r="I103" s="137"/>
    </row>
    <row r="104" spans="1:35" ht="18.75" customHeight="1">
      <c r="A104" s="3172" t="s">
        <v>2297</v>
      </c>
      <c r="B104" s="2518" t="s">
        <v>2292</v>
      </c>
      <c r="C104" s="739">
        <f ca="1">H118</f>
        <v>41557</v>
      </c>
      <c r="D104" s="740"/>
      <c r="E104" s="2262" t="s">
        <v>2298</v>
      </c>
      <c r="F104" s="2253"/>
      <c r="G104" s="2517" t="s">
        <v>2296</v>
      </c>
      <c r="H104" s="1045">
        <f>IF(D36="同一抵押权人同一抵押物续贷",C36&amp;"（未扣减，详见特别提示）",C36)</f>
        <v>0</v>
      </c>
      <c r="I104" s="137"/>
    </row>
    <row r="105" spans="1:35" ht="18.75" customHeight="1" thickBot="1">
      <c r="A105" s="3173"/>
      <c r="B105" s="2519" t="s">
        <v>2294</v>
      </c>
      <c r="C105" s="741">
        <f ca="1">I118</f>
        <v>4987</v>
      </c>
      <c r="D105" s="742"/>
      <c r="E105" s="2262" t="s">
        <v>2299</v>
      </c>
      <c r="F105" s="2253"/>
      <c r="G105" s="2517" t="s">
        <v>2296</v>
      </c>
      <c r="H105" s="1045">
        <f>C37</f>
        <v>0</v>
      </c>
      <c r="I105" s="137"/>
    </row>
    <row r="106" spans="1:35" ht="18.75" customHeight="1">
      <c r="A106" s="2414" t="s">
        <v>2300</v>
      </c>
      <c r="B106" s="2414"/>
      <c r="C106" s="2414"/>
      <c r="D106" s="2414"/>
      <c r="E106" s="2520" t="s">
        <v>2301</v>
      </c>
      <c r="F106" s="2253"/>
      <c r="G106" s="2517" t="s">
        <v>2296</v>
      </c>
      <c r="H106" s="1045">
        <f>C38</f>
        <v>0</v>
      </c>
      <c r="I106" s="137"/>
    </row>
    <row r="107" spans="1:35" ht="18.75" customHeight="1">
      <c r="A107" s="137"/>
      <c r="B107" s="137"/>
      <c r="C107" s="137"/>
      <c r="D107" s="137"/>
      <c r="E107" s="3169" t="str">
        <f>IF(项目基本情况!E8="已注销","——","3.房地产抵押价值")</f>
        <v>3.房地产抵押价值</v>
      </c>
      <c r="F107" s="3170"/>
      <c r="G107" s="2516" t="s">
        <v>2292</v>
      </c>
      <c r="H107" s="1044">
        <f ca="1">IF(E107="——","——",H101-H103)</f>
        <v>41557</v>
      </c>
      <c r="I107" s="137"/>
    </row>
    <row r="108" spans="1:35" ht="18.75" customHeight="1">
      <c r="A108" s="137"/>
      <c r="B108" s="137"/>
      <c r="C108" s="137"/>
      <c r="D108" s="137"/>
      <c r="E108" s="3169"/>
      <c r="F108" s="3170"/>
      <c r="G108" s="2516" t="s">
        <v>2294</v>
      </c>
      <c r="H108" s="370">
        <f ca="1">ROUND(H107*10000/'数据-汇总表'!E3,0)</f>
        <v>4987</v>
      </c>
      <c r="I108" s="137"/>
    </row>
    <row r="109" spans="1:35" ht="18.75" customHeight="1">
      <c r="A109" s="137"/>
      <c r="B109" s="137"/>
      <c r="C109" s="137"/>
      <c r="D109" s="137"/>
      <c r="E109" s="3169" t="str">
        <f>IF(项目基本情况!E8="已注销及未注销","4.抵押担保权已注销时的房地产抵押价值",IF(项目基本情况!E8="已注销","3.抵押担保权已注销时的房地产抵押价值","——"))</f>
        <v>——</v>
      </c>
      <c r="F109" s="3170"/>
      <c r="G109" s="2516" t="s">
        <v>2292</v>
      </c>
      <c r="H109" s="347" t="str">
        <f>IF(E109="——","——",H101-H105-H106)</f>
        <v>——</v>
      </c>
      <c r="I109" s="137"/>
    </row>
    <row r="110" spans="1:35" ht="18.75" customHeight="1">
      <c r="A110" s="137"/>
      <c r="B110" s="137"/>
      <c r="C110" s="137"/>
      <c r="D110" s="137"/>
      <c r="E110" s="3169"/>
      <c r="F110" s="3170"/>
      <c r="G110" s="2516" t="s">
        <v>2294</v>
      </c>
      <c r="H110" s="370" t="str">
        <f>IF(H109="——","——",ROUND(H109*10000/'数据-汇总表'!E3,0))</f>
        <v>——</v>
      </c>
      <c r="I110" s="137"/>
    </row>
    <row r="111" spans="1:35" ht="18.75" customHeight="1">
      <c r="A111" s="137"/>
      <c r="B111" s="137"/>
      <c r="C111" s="137"/>
      <c r="D111" s="137"/>
      <c r="E111" s="3205" t="str">
        <f>IF(项目基本情况!E9="抵押净值",IF(OR(项目基本情况!E8="已注销",项目基本情况!E8="房地产抵押价值"),"4.抵押净值","5.抵押净值"),"——")</f>
        <v>4.抵押净值</v>
      </c>
      <c r="F111" s="3206"/>
      <c r="G111" s="2516" t="s">
        <v>2292</v>
      </c>
      <c r="H111" s="1044">
        <f ca="1">IF(E111="——","——",N59)</f>
        <v>40239</v>
      </c>
      <c r="I111" s="137"/>
    </row>
    <row r="112" spans="1:35" ht="18.75" customHeight="1" thickBot="1">
      <c r="A112" s="137"/>
      <c r="B112" s="137"/>
      <c r="C112" s="137"/>
      <c r="D112" s="137"/>
      <c r="E112" s="3207"/>
      <c r="F112" s="3208"/>
      <c r="G112" s="2521" t="s">
        <v>2294</v>
      </c>
      <c r="H112" s="789">
        <f ca="1">IF(E111="——","——",N61)</f>
        <v>4829</v>
      </c>
      <c r="I112" s="137"/>
    </row>
    <row r="113" spans="1:11" ht="18.75" customHeight="1">
      <c r="A113" s="137"/>
      <c r="B113" s="137"/>
      <c r="C113" s="137"/>
      <c r="D113" s="137"/>
      <c r="E113" s="3174" t="s">
        <v>2300</v>
      </c>
      <c r="F113" s="3174"/>
      <c r="G113" s="3174"/>
      <c r="H113" s="3174"/>
      <c r="I113" s="137"/>
    </row>
    <row r="114" spans="1:11" ht="3.75" customHeight="1">
      <c r="A114" s="2414"/>
      <c r="B114" s="2414"/>
      <c r="C114" s="2414"/>
      <c r="D114" s="2414"/>
      <c r="E114" s="2492"/>
      <c r="F114" s="2492"/>
      <c r="G114" s="2492"/>
      <c r="H114" s="2492"/>
      <c r="I114" s="2414"/>
    </row>
    <row r="115" spans="1:11" ht="18.75" customHeight="1">
      <c r="A115" s="3187" t="s">
        <v>2302</v>
      </c>
      <c r="B115" s="3188"/>
      <c r="C115" s="3188"/>
      <c r="D115" s="3188"/>
      <c r="E115" s="3188"/>
      <c r="F115" s="3188"/>
      <c r="G115" s="3188"/>
      <c r="H115" s="3188"/>
      <c r="I115" s="3189"/>
    </row>
    <row r="116" spans="1:11" ht="27" customHeight="1">
      <c r="A116" s="3077" t="s">
        <v>2303</v>
      </c>
      <c r="B116" s="3175" t="s">
        <v>2304</v>
      </c>
      <c r="C116" s="3175" t="s">
        <v>2305</v>
      </c>
      <c r="D116" s="3192" t="s">
        <v>2306</v>
      </c>
      <c r="E116" s="3193"/>
      <c r="F116" s="3183" t="s">
        <v>3183</v>
      </c>
      <c r="G116" s="3183"/>
      <c r="H116" s="3077" t="s">
        <v>2307</v>
      </c>
      <c r="I116" s="3077"/>
    </row>
    <row r="117" spans="1:11" ht="18.75" customHeight="1">
      <c r="A117" s="3077"/>
      <c r="B117" s="3176"/>
      <c r="C117" s="3176"/>
      <c r="D117" s="1794" t="s">
        <v>2308</v>
      </c>
      <c r="E117" s="1794" t="s">
        <v>2309</v>
      </c>
      <c r="F117" s="1794" t="s">
        <v>2308</v>
      </c>
      <c r="G117" s="1794" t="s">
        <v>2310</v>
      </c>
      <c r="H117" s="1794" t="s">
        <v>2308</v>
      </c>
      <c r="I117" s="1794" t="s">
        <v>2310</v>
      </c>
    </row>
    <row r="118" spans="1:11" ht="24.75" customHeight="1">
      <c r="A118" s="2522" t="str">
        <f>项目基本情况!S2</f>
        <v>北京市通州区永乐南一街9号院1号楼等7幢楼房地产</v>
      </c>
      <c r="B118" s="1794">
        <f>M18</f>
        <v>83329.149999999994</v>
      </c>
      <c r="C118" s="1794">
        <f>M19</f>
        <v>86905.919999999998</v>
      </c>
      <c r="D118" s="1794">
        <f ca="1">ROUND(IF(D32="总价",C34,E118*B118/10000),0)</f>
        <v>11096</v>
      </c>
      <c r="E118" s="1794">
        <f ca="1">ROUND(IF(C33="自定义",IF(D32="楼面单价",C34,D118*10000/B118),I118-G118),0)</f>
        <v>1331</v>
      </c>
      <c r="F118" s="1794">
        <f ca="1">ROUND(IF(D32="总价",C35,G118*B118/10000),0)</f>
        <v>30461</v>
      </c>
      <c r="G118" s="1794">
        <f ca="1">ROUND(IF(D32="楼面单价",C35,F118*10000/B118),0)</f>
        <v>3656</v>
      </c>
      <c r="H118" s="1794">
        <f ca="1">ROUND(IF(D32="总价",C32,I118*B118/10000),0)</f>
        <v>41557</v>
      </c>
      <c r="I118" s="1794">
        <f ca="1">ROUND(IF(D32="楼面单价",C32,H118*10000/B118),0)</f>
        <v>4987</v>
      </c>
    </row>
    <row r="119" spans="1:11" ht="18.75" customHeight="1">
      <c r="A119" s="3077" t="s">
        <v>2311</v>
      </c>
      <c r="B119" s="3077"/>
      <c r="C119" s="3077"/>
      <c r="D119" s="3180" t="str">
        <f ca="1">NUMBERSTRING(INT(D118*10000),2)&amp;"元整"</f>
        <v>壹亿壹仟零玖拾陆万元整</v>
      </c>
      <c r="E119" s="3182"/>
      <c r="F119" s="3180" t="str">
        <f ca="1">NUMBERSTRING(INT(F118*10000),2)&amp;"元整"</f>
        <v>叁亿零肆佰陆拾壹万元整</v>
      </c>
      <c r="G119" s="3182"/>
      <c r="H119" s="3180" t="str">
        <f ca="1">NUMBERSTRING(INT(H118*10000),2)&amp;"元整"</f>
        <v>肆亿壹仟伍佰伍拾柒万元整</v>
      </c>
      <c r="I119" s="3182"/>
    </row>
    <row r="120" spans="1:11" ht="18.75" customHeight="1">
      <c r="A120" s="3209" t="str">
        <f>IF(项目基本情况!B9="房地产市场价值","",MID(E103,3,LEN(E103)-2))</f>
        <v>估价师知悉的法定优先受偿款</v>
      </c>
      <c r="B120" s="3210"/>
      <c r="C120" s="3211"/>
      <c r="D120" s="3209">
        <f>H103</f>
        <v>0</v>
      </c>
      <c r="E120" s="3210"/>
      <c r="F120" s="3210"/>
      <c r="G120" s="3210"/>
      <c r="H120" s="3210"/>
      <c r="I120" s="3211"/>
      <c r="K120" s="2419" t="str">
        <f>IF(D120=0,"故，本次评估不存在"&amp;A120,"故，本次评估"&amp;A120&amp;"为人民币"&amp;D120&amp;"万元整。")</f>
        <v>故，本次评估不存在估价师知悉的法定优先受偿款</v>
      </c>
    </row>
    <row r="121" spans="1:11" ht="18.75" customHeight="1">
      <c r="A121" s="3184" t="s">
        <v>2311</v>
      </c>
      <c r="B121" s="3185"/>
      <c r="C121" s="3186"/>
      <c r="D121" s="3180" t="str">
        <f>IF(D120=0,"零元整",NUMBERSTRING(INT(D120*10000),2)&amp;"元整")</f>
        <v>零元整</v>
      </c>
      <c r="E121" s="3181"/>
      <c r="F121" s="3181"/>
      <c r="G121" s="3181"/>
      <c r="H121" s="3181"/>
      <c r="I121" s="3182"/>
    </row>
    <row r="122" spans="1:11" ht="18.75" customHeight="1">
      <c r="A122" s="3171" t="str">
        <f>IF(项目基本情况!B9="房地产市场价值","",MID(E107,3,LEN(E107)-2))</f>
        <v>房地产抵押价值</v>
      </c>
      <c r="B122" s="3171"/>
      <c r="C122" s="3171"/>
      <c r="D122" s="3209">
        <f ca="1">H107</f>
        <v>41557</v>
      </c>
      <c r="E122" s="3210"/>
      <c r="F122" s="3210"/>
      <c r="G122" s="3210"/>
      <c r="H122" s="3210"/>
      <c r="I122" s="3211"/>
    </row>
    <row r="123" spans="1:11" ht="18.75" customHeight="1">
      <c r="A123" s="3077" t="s">
        <v>2311</v>
      </c>
      <c r="B123" s="3077"/>
      <c r="C123" s="3077"/>
      <c r="D123" s="3180" t="str">
        <f ca="1">NUMBERSTRING(INT(D122*10000),2)&amp;"元整"</f>
        <v>肆亿壹仟伍佰伍拾柒万元整</v>
      </c>
      <c r="E123" s="3181"/>
      <c r="F123" s="3181"/>
      <c r="G123" s="3181"/>
      <c r="H123" s="3181"/>
      <c r="I123" s="3182"/>
    </row>
    <row r="124" spans="1:11" ht="18.75" customHeight="1">
      <c r="A124" s="3171" t="str">
        <f>IF(项目基本情况!B9="房地产市场价值","",MID(E109,3,LEN(E109)-2))</f>
        <v/>
      </c>
      <c r="B124" s="3171"/>
      <c r="C124" s="3171"/>
      <c r="D124" s="3209" t="str">
        <f>H109</f>
        <v>——</v>
      </c>
      <c r="E124" s="3210"/>
      <c r="F124" s="3210"/>
      <c r="G124" s="3210"/>
      <c r="H124" s="3210"/>
      <c r="I124" s="3211"/>
    </row>
    <row r="125" spans="1:11" ht="18.75" customHeight="1">
      <c r="A125" s="3077" t="s">
        <v>2311</v>
      </c>
      <c r="B125" s="3077"/>
      <c r="C125" s="3077"/>
      <c r="D125" s="3180" t="e">
        <f>NUMBERSTRING(INT(D124*10000),2)&amp;"元整"</f>
        <v>#VALUE!</v>
      </c>
      <c r="E125" s="3181"/>
      <c r="F125" s="3181"/>
      <c r="G125" s="3181"/>
      <c r="H125" s="3181"/>
      <c r="I125" s="3182"/>
    </row>
    <row r="126" spans="1:11" ht="18.75" customHeight="1">
      <c r="A126" s="3171" t="str">
        <f>IF(项目基本情况!B9="房地产市场价值","",MID(E111,3,LEN(E111)-2))</f>
        <v>抵押净值</v>
      </c>
      <c r="B126" s="3171"/>
      <c r="C126" s="3171"/>
      <c r="D126" s="3209">
        <f ca="1">H111</f>
        <v>40239</v>
      </c>
      <c r="E126" s="3210"/>
      <c r="F126" s="3210"/>
      <c r="G126" s="3210"/>
      <c r="H126" s="3210"/>
      <c r="I126" s="3211"/>
    </row>
    <row r="127" spans="1:11" ht="18.75" customHeight="1">
      <c r="A127" s="3077" t="s">
        <v>2311</v>
      </c>
      <c r="B127" s="3077"/>
      <c r="C127" s="3077"/>
      <c r="D127" s="3180" t="str">
        <f ca="1">NUMBERSTRING(INT(D126*10000),2)&amp;"元整"</f>
        <v>肆亿零贰佰叁拾玖万元整</v>
      </c>
      <c r="E127" s="3181"/>
      <c r="F127" s="3181"/>
      <c r="G127" s="3181"/>
      <c r="H127" s="3181"/>
      <c r="I127" s="3182"/>
    </row>
    <row r="128" spans="1:11" ht="21.75" customHeight="1">
      <c r="A128" s="3191" t="s">
        <v>2312</v>
      </c>
      <c r="B128" s="3191"/>
      <c r="C128" s="3191"/>
      <c r="D128" s="3191"/>
      <c r="E128" s="3191"/>
      <c r="F128" s="3191"/>
      <c r="G128" s="3191"/>
      <c r="H128" s="3191"/>
      <c r="I128" s="3191"/>
    </row>
    <row r="129" spans="1:35" ht="21.75" customHeight="1">
      <c r="A129" s="2523" t="s">
        <v>2313</v>
      </c>
      <c r="B129" s="2524"/>
      <c r="C129" s="2525" t="s">
        <v>2314</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4"/>
    </row>
    <row r="135" spans="1:35" ht="21.75" customHeight="1">
      <c r="A135" s="794"/>
      <c r="B135" s="794"/>
      <c r="C135" s="794"/>
      <c r="D135" s="794"/>
      <c r="E135" s="794"/>
      <c r="F135" s="2539" t="s">
        <v>2315</v>
      </c>
      <c r="G135" s="2540"/>
      <c r="H135" s="2540"/>
      <c r="I135" s="2541" t="s">
        <v>2316</v>
      </c>
    </row>
    <row r="136" spans="1:35" ht="21.75" customHeight="1">
      <c r="A136" s="794"/>
      <c r="B136" s="2542" t="s">
        <v>2317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0"/>
      <c r="C138" s="2540"/>
      <c r="D138" s="2540"/>
      <c r="E138" s="2540"/>
      <c r="F138" s="2540"/>
      <c r="G138" s="2540"/>
      <c r="H138" s="2540"/>
      <c r="I138" s="2541" t="s">
        <v>2318</v>
      </c>
    </row>
    <row r="139" spans="1:35" ht="21.75" customHeight="1">
      <c r="A139" s="794"/>
      <c r="B139" s="2542" t="s">
        <v>2319</v>
      </c>
      <c r="C139" s="794"/>
      <c r="D139" s="794"/>
      <c r="E139" s="794"/>
      <c r="F139" s="794"/>
      <c r="G139" s="794"/>
      <c r="H139" s="794"/>
      <c r="I139" s="794"/>
    </row>
    <row r="140" spans="1:35" ht="21.75" customHeight="1">
      <c r="A140" s="794"/>
      <c r="B140" s="2542"/>
      <c r="C140" s="794"/>
      <c r="D140" s="794"/>
      <c r="E140" s="794"/>
      <c r="F140" s="794"/>
      <c r="G140" s="794"/>
      <c r="H140" s="794"/>
      <c r="I140" s="794"/>
    </row>
    <row r="141" spans="1:35" ht="21.75" customHeight="1">
      <c r="A141" s="794"/>
      <c r="B141" s="2540"/>
      <c r="C141" s="2540"/>
      <c r="D141" s="2540"/>
      <c r="E141" s="2540"/>
      <c r="F141" s="2540"/>
      <c r="G141" s="2540"/>
      <c r="H141" s="2540"/>
      <c r="I141" s="2541" t="s">
        <v>2318</v>
      </c>
    </row>
    <row r="142" spans="1:35" ht="21.75" customHeight="1">
      <c r="A142" s="794"/>
      <c r="B142" s="2542"/>
      <c r="C142" s="2543"/>
      <c r="D142" s="2544"/>
      <c r="E142" s="2544"/>
      <c r="F142" s="2336"/>
      <c r="G142" s="794"/>
      <c r="H142" s="794"/>
      <c r="I142" s="794"/>
    </row>
    <row r="143" spans="1:35" s="138" customFormat="1" ht="21.75" customHeight="1">
      <c r="A143" s="794"/>
      <c r="B143" s="2542"/>
      <c r="C143" s="2543"/>
      <c r="D143" s="2544"/>
      <c r="E143" s="2544"/>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9"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9"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9"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9"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9"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9"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9"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9"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9"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9"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9"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9"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9"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9"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9"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9"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9"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9"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9"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9"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9"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9"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9"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9"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9"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9"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9"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9"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9"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9"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9"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9"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9"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9"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9"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9"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9"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9"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9"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9"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9"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9"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9"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9"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9"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9"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9"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9"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9"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9"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9"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9"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9"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9"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9"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9"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9"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9"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9"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9"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9"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9"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9"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9"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9"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9"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9"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9"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9"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9"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9"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9"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9"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9"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9"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9"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9"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9"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9"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9"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9"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9"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9"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9"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9"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9"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9"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9"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9"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9"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9"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9"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9"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9"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9"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9"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9"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9"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9"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9"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9"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9"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9"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9"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10"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33" t="str">
        <f>项目基本情况!B1</f>
        <v>北京市通州区永乐南一街9号院1号楼等7幢楼房地产抵押价值预评估</v>
      </c>
      <c r="C37" s="3033"/>
      <c r="D37" s="3033"/>
      <c r="E37" s="3033"/>
      <c r="F37" s="3033"/>
      <c r="G37" s="3033"/>
      <c r="H37" s="3033"/>
      <c r="I37" s="3033"/>
    </row>
    <row r="38" spans="1:9">
      <c r="A38" s="1015"/>
      <c r="B38" s="1015"/>
    </row>
    <row r="39" spans="1:9">
      <c r="A39" s="1013" t="s">
        <v>818</v>
      </c>
      <c r="B39" s="1013" t="s">
        <v>820</v>
      </c>
    </row>
    <row r="40" spans="1:9">
      <c r="A40" s="1013"/>
      <c r="B40" s="1940" t="str">
        <f>项目基本情况!B5</f>
        <v>北京林海滩商贸有限公司</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 ca="1">项目基本情况!K4</f>
        <v>郑燚（注册号：1120070131)、王鹏（注册号：1120050019)</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8"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2320</v>
      </c>
      <c r="B1" s="1935" t="s">
        <v>3067</v>
      </c>
      <c r="C1" s="241"/>
      <c r="D1" s="241"/>
      <c r="E1" s="241"/>
      <c r="F1" s="241"/>
      <c r="G1" s="1378">
        <f>MATCH(B1,'数据-取费表'!A6:A16,0)+5</f>
        <v>6</v>
      </c>
    </row>
    <row r="2" spans="1:9" s="243" customFormat="1" ht="18" customHeight="1">
      <c r="A2" s="244" t="s">
        <v>2321</v>
      </c>
      <c r="B2" s="245">
        <f ca="1">IF(D2="——",C52,C52-E2)</f>
        <v>36302</v>
      </c>
      <c r="C2" s="242" t="s">
        <v>2322</v>
      </c>
      <c r="D2" s="2545" t="s">
        <v>70</v>
      </c>
      <c r="E2" s="1439" t="e">
        <f ca="1">SUMIF(INDIRECT("'"&amp;G2&amp;"'"&amp;"!A:A"),"承租人权益价值",INDIRECT("'"&amp;G2&amp;"'"&amp;"!c:c"))</f>
        <v>#REF!</v>
      </c>
      <c r="F2" s="2546" t="s">
        <v>2322</v>
      </c>
      <c r="G2" s="2547"/>
    </row>
    <row r="3" spans="1:9" s="243" customFormat="1" ht="18" customHeight="1" thickBot="1">
      <c r="A3" s="246" t="s">
        <v>2323</v>
      </c>
      <c r="B3" s="247">
        <f ca="1">ROUND(B2*10000/(IF(B1="",'数据-汇总表'!E3,INDIRECT("'数据-取费表'!k"&amp;$G$1))),0)</f>
        <v>4363</v>
      </c>
      <c r="C3" s="242" t="s">
        <v>2324</v>
      </c>
      <c r="D3" s="242"/>
      <c r="E3" s="242"/>
      <c r="F3" s="242"/>
      <c r="G3" s="242"/>
    </row>
    <row r="4" spans="1:9" s="251" customFormat="1" ht="15.75">
      <c r="A4" s="248" t="s">
        <v>2325</v>
      </c>
      <c r="B4" s="249"/>
      <c r="C4" s="249"/>
      <c r="D4" s="249"/>
      <c r="E4" s="249"/>
      <c r="F4" s="249"/>
      <c r="G4" s="250"/>
    </row>
    <row r="5" spans="1:9" s="257" customFormat="1" ht="13.5" customHeight="1">
      <c r="A5" s="298" t="s">
        <v>2326</v>
      </c>
      <c r="B5" s="253" t="s">
        <v>2327</v>
      </c>
      <c r="C5" s="254">
        <f ca="1">C6+C7+C8</f>
        <v>7856</v>
      </c>
      <c r="D5" s="254" t="s">
        <v>2328</v>
      </c>
      <c r="E5" s="255" t="s">
        <v>2329</v>
      </c>
      <c r="F5" s="255" t="s">
        <v>2330</v>
      </c>
      <c r="G5" s="256"/>
    </row>
    <row r="6" spans="1:9" s="257" customFormat="1" ht="13.5" customHeight="1">
      <c r="A6" s="948" t="s">
        <v>2331</v>
      </c>
      <c r="B6" s="258" t="s">
        <v>2332</v>
      </c>
      <c r="C6" s="259">
        <f ca="1">基准地价修正!B2</f>
        <v>6008</v>
      </c>
      <c r="D6" s="260"/>
      <c r="E6" s="261"/>
      <c r="F6" s="261"/>
      <c r="G6" s="262"/>
    </row>
    <row r="7" spans="1:9" s="257" customFormat="1" ht="13.5" customHeight="1">
      <c r="A7" s="948" t="s">
        <v>2333</v>
      </c>
      <c r="B7" s="258" t="s">
        <v>2334</v>
      </c>
      <c r="C7" s="263">
        <f ca="1">ROUND(C6*F7,0)</f>
        <v>183</v>
      </c>
      <c r="D7" s="263"/>
      <c r="E7" s="261"/>
      <c r="F7" s="264">
        <f>IF(项目基本情况!B8="出让",0,'数据-取费表'!B48+'数据-取费表'!B49)</f>
        <v>3.0499999999999999E-2</v>
      </c>
      <c r="G7" s="262"/>
    </row>
    <row r="8" spans="1:9" s="266" customFormat="1">
      <c r="A8" s="948" t="s">
        <v>2335</v>
      </c>
      <c r="B8" s="258" t="s">
        <v>2336</v>
      </c>
      <c r="C8" s="263">
        <f ca="1">IF(G8="已包含在土地购买价格中","0",IF(B1="",'数据-取费表'!B29,IF(G9="全部缴纳",C9+C10,H9)))</f>
        <v>1665</v>
      </c>
      <c r="D8" s="265"/>
      <c r="E8" s="263"/>
      <c r="F8" s="264"/>
      <c r="G8" s="2548" t="s">
        <v>3089</v>
      </c>
    </row>
    <row r="9" spans="1:9" s="257" customFormat="1" ht="13.5" customHeight="1">
      <c r="A9" s="949" t="s">
        <v>800</v>
      </c>
      <c r="B9" s="267" t="s">
        <v>2337</v>
      </c>
      <c r="C9" s="268">
        <f ca="1">ROUND(D9*E9/10000,0)</f>
        <v>0</v>
      </c>
      <c r="D9" s="1031">
        <f ca="1">IF(B1="",'数据-汇总表'!E5,IF(INDIRECT("'数据-取费表'!c"&amp;$G$1)="住宅",INDIRECT("'数据-取费表'!k"&amp;$G$1),0))</f>
        <v>0</v>
      </c>
      <c r="E9" s="268">
        <f>'数据-取费表'!B27</f>
        <v>0</v>
      </c>
      <c r="F9" s="264"/>
      <c r="G9" s="2549" t="s">
        <v>3090</v>
      </c>
      <c r="H9" s="1389"/>
      <c r="I9" s="2550" t="s">
        <v>2338</v>
      </c>
    </row>
    <row r="10" spans="1:9" s="257" customFormat="1" ht="13.5" customHeight="1">
      <c r="A10" s="949" t="s">
        <v>801</v>
      </c>
      <c r="B10" s="267" t="s">
        <v>2339</v>
      </c>
      <c r="C10" s="268">
        <f ca="1">ROUND(D10*E10/10000,0)</f>
        <v>1665</v>
      </c>
      <c r="D10" s="1031">
        <f ca="1">IF(B1="",'数据-汇总表'!E6,IF(INDIRECT("'数据-取费表'!c"&amp;$G$1)="住宅",INDIRECT("'数据-取费表'!s"&amp;$G$1),INDIRECT("'数据-取费表'!k"&amp;$G$1)+INDIRECT("'数据-取费表'!s"&amp;$G$1)))</f>
        <v>83271.239999999991</v>
      </c>
      <c r="E10" s="268">
        <f>'数据-取费表'!B28</f>
        <v>200</v>
      </c>
      <c r="F10" s="264"/>
      <c r="G10" s="269"/>
    </row>
    <row r="11" spans="1:9" s="257" customFormat="1" ht="13.5" hidden="1" customHeight="1">
      <c r="A11" s="270" t="s">
        <v>7</v>
      </c>
      <c r="B11" s="258" t="s">
        <v>2340</v>
      </c>
      <c r="C11" s="254"/>
      <c r="D11" s="1033"/>
      <c r="E11" s="261"/>
      <c r="F11" s="261"/>
      <c r="G11" s="262"/>
    </row>
    <row r="12" spans="1:9" s="257" customFormat="1" ht="13.5" hidden="1" customHeight="1">
      <c r="A12" s="270" t="s">
        <v>8</v>
      </c>
      <c r="B12" s="258" t="s">
        <v>2341</v>
      </c>
      <c r="C12" s="254">
        <v>0</v>
      </c>
      <c r="D12" s="1033"/>
      <c r="E12" s="271"/>
      <c r="F12" s="264">
        <v>3.0499999999999999E-2</v>
      </c>
      <c r="G12" s="262"/>
    </row>
    <row r="13" spans="1:9" s="257" customFormat="1" ht="13.5" hidden="1" customHeight="1">
      <c r="A13" s="270" t="s">
        <v>9</v>
      </c>
      <c r="B13" s="258" t="s">
        <v>2342</v>
      </c>
      <c r="C13" s="254"/>
      <c r="D13" s="1033"/>
      <c r="E13" s="261"/>
      <c r="F13" s="261"/>
      <c r="G13" s="262"/>
    </row>
    <row r="14" spans="1:9" s="257" customFormat="1" ht="13.5" hidden="1" customHeight="1">
      <c r="A14" s="270" t="s">
        <v>10</v>
      </c>
      <c r="B14" s="258" t="s">
        <v>2343</v>
      </c>
      <c r="C14" s="254"/>
      <c r="D14" s="1033"/>
      <c r="E14" s="261"/>
      <c r="F14" s="261"/>
      <c r="G14" s="262" t="s">
        <v>2344</v>
      </c>
    </row>
    <row r="15" spans="1:9" s="257" customFormat="1" ht="13.5" hidden="1" customHeight="1">
      <c r="A15" s="270" t="s">
        <v>11</v>
      </c>
      <c r="B15" s="258" t="s">
        <v>2345</v>
      </c>
      <c r="C15" s="263"/>
      <c r="D15" s="1033"/>
      <c r="E15" s="261"/>
      <c r="F15" s="261"/>
      <c r="G15" s="262" t="s">
        <v>2346</v>
      </c>
    </row>
    <row r="16" spans="1:9" s="257" customFormat="1" ht="13.5" hidden="1" customHeight="1">
      <c r="A16" s="270" t="s">
        <v>12</v>
      </c>
      <c r="B16" s="258" t="s">
        <v>2343</v>
      </c>
      <c r="C16" s="263"/>
      <c r="D16" s="1033"/>
      <c r="E16" s="261"/>
      <c r="F16" s="261"/>
      <c r="G16" s="262"/>
    </row>
    <row r="17" spans="1:7" s="257" customFormat="1" ht="13.5" hidden="1" customHeight="1">
      <c r="A17" s="270" t="s">
        <v>13</v>
      </c>
      <c r="B17" s="258" t="s">
        <v>2347</v>
      </c>
      <c r="C17" s="272"/>
      <c r="D17" s="1034"/>
      <c r="E17" s="272"/>
      <c r="F17" s="272"/>
      <c r="G17" s="262" t="s">
        <v>2346</v>
      </c>
    </row>
    <row r="18" spans="1:7" s="257" customFormat="1" ht="13.5" hidden="1" customHeight="1">
      <c r="A18" s="270" t="s">
        <v>14</v>
      </c>
      <c r="B18" s="258" t="s">
        <v>2348</v>
      </c>
      <c r="C18" s="263">
        <v>0</v>
      </c>
      <c r="D18" s="1033"/>
      <c r="E18" s="261"/>
      <c r="F18" s="264">
        <v>3.0499999999999999E-2</v>
      </c>
      <c r="G18" s="262" t="s">
        <v>2349</v>
      </c>
    </row>
    <row r="19" spans="1:7" s="266" customFormat="1" ht="13.5" customHeight="1">
      <c r="A19" s="298" t="s">
        <v>2350</v>
      </c>
      <c r="B19" s="253" t="s">
        <v>2351</v>
      </c>
      <c r="C19" s="254" t="str">
        <f>IF(G19="已包含在土地取得成本中","0",ROUND(D19*E19/10000,0))</f>
        <v>0</v>
      </c>
      <c r="D19" s="1035">
        <f ca="1">D9+D10</f>
        <v>83271.239999999991</v>
      </c>
      <c r="E19" s="254">
        <f>'数据-取费表'!B31</f>
        <v>200</v>
      </c>
      <c r="F19" s="274"/>
      <c r="G19" s="3028" t="s">
        <v>3199</v>
      </c>
    </row>
    <row r="20" spans="1:7" s="257" customFormat="1" ht="13.5" customHeight="1">
      <c r="A20" s="298" t="s">
        <v>2352</v>
      </c>
      <c r="B20" s="253" t="s">
        <v>2353</v>
      </c>
      <c r="C20" s="275">
        <f ca="1">ROUND((C5+C19)*F20,0)</f>
        <v>79</v>
      </c>
      <c r="D20" s="275"/>
      <c r="E20" s="275"/>
      <c r="F20" s="276">
        <f>'数据-取费表'!B37</f>
        <v>0.01</v>
      </c>
      <c r="G20" s="277" t="s">
        <v>2354</v>
      </c>
    </row>
    <row r="21" spans="1:7" s="257" customFormat="1" ht="13.5" customHeight="1">
      <c r="A21" s="298" t="s">
        <v>2355</v>
      </c>
      <c r="B21" s="253" t="s">
        <v>2356</v>
      </c>
      <c r="C21" s="278">
        <f>F21</f>
        <v>0.01</v>
      </c>
      <c r="D21" s="279" t="s">
        <v>2357</v>
      </c>
      <c r="E21" s="275"/>
      <c r="F21" s="276">
        <f>'数据-取费表'!B38</f>
        <v>0.01</v>
      </c>
      <c r="G21" s="277" t="s">
        <v>2358</v>
      </c>
    </row>
    <row r="22" spans="1:7" s="257" customFormat="1" ht="13.5" customHeight="1">
      <c r="A22" s="298" t="s">
        <v>2359</v>
      </c>
      <c r="B22" s="253" t="s">
        <v>2360</v>
      </c>
      <c r="C22" s="1353">
        <f ca="1">ROUND(SUM(C23:C25),0)</f>
        <v>344</v>
      </c>
      <c r="D22" s="278">
        <f ca="1">C26</f>
        <v>2.0000000000000001E-4</v>
      </c>
      <c r="E22" s="279" t="s">
        <v>2357</v>
      </c>
      <c r="F22" s="280">
        <f ca="1">'数据-取费表'!B40</f>
        <v>4.3499999999999997E-2</v>
      </c>
      <c r="G22" s="277" t="str">
        <f>IF('数据-取费表'!B22&lt;=1,"单利计息","复利计息")</f>
        <v>单利计息</v>
      </c>
    </row>
    <row r="23" spans="1:7" s="257" customFormat="1" ht="13.5" customHeight="1">
      <c r="A23" s="950" t="s">
        <v>2361</v>
      </c>
      <c r="B23" s="258" t="s">
        <v>2362</v>
      </c>
      <c r="C23" s="1354">
        <f ca="1">ROUND(IF('数据-取费表'!B22&lt;=1,C5*F22*'数据-取费表'!B23,C5*(POWER((1+F22),'数据-取费表'!B23)-1)),0)</f>
        <v>342</v>
      </c>
      <c r="D23" s="281"/>
      <c r="E23" s="281"/>
      <c r="F23" s="282"/>
      <c r="G23" s="283" t="s">
        <v>2363</v>
      </c>
    </row>
    <row r="24" spans="1:7" s="257" customFormat="1" ht="13.5" customHeight="1">
      <c r="A24" s="950" t="s">
        <v>2364</v>
      </c>
      <c r="B24" s="258" t="s">
        <v>2365</v>
      </c>
      <c r="C24" s="1354">
        <f ca="1">ROUND(IF('数据-取费表'!B22&lt;=1,C19*F22*('数据-取费表'!B19/2+'数据-取费表'!B21),C19*(POWER((1+F22),('数据-取费表'!B19/2+'数据-取费表'!B21))-1)),0)</f>
        <v>0</v>
      </c>
      <c r="D24" s="281"/>
      <c r="E24" s="281"/>
      <c r="F24" s="282"/>
      <c r="G24" s="283" t="s">
        <v>2366</v>
      </c>
    </row>
    <row r="25" spans="1:7" s="257" customFormat="1" ht="24">
      <c r="A25" s="950" t="s">
        <v>2367</v>
      </c>
      <c r="B25" s="258" t="s">
        <v>2368</v>
      </c>
      <c r="C25" s="1354">
        <f ca="1">ROUND(IF('数据-取费表'!B22&lt;=1,C20*F22*'数据-取费表'!B23/2,C20*(POWER((1+F22),'数据-取费表'!B23/2)-1)),0)</f>
        <v>2</v>
      </c>
      <c r="D25" s="281"/>
      <c r="E25" s="284"/>
      <c r="F25" s="282"/>
      <c r="G25" s="285" t="s">
        <v>2369</v>
      </c>
    </row>
    <row r="26" spans="1:7" s="257" customFormat="1">
      <c r="A26" s="950" t="s">
        <v>795</v>
      </c>
      <c r="B26" s="258" t="s">
        <v>2370</v>
      </c>
      <c r="C26" s="281">
        <f ca="1">ROUND(IF('数据-取费表'!B22&lt;=1,F21*F22*'数据-取费表'!B23/2,F21*(POWER((1+F22),'数据-取费表'!B23/2)-1)),4)</f>
        <v>2.0000000000000001E-4</v>
      </c>
      <c r="D26" s="281"/>
      <c r="E26" s="284"/>
      <c r="F26" s="282"/>
      <c r="G26" s="286"/>
    </row>
    <row r="27" spans="1:7" s="257" customFormat="1" ht="24.75">
      <c r="A27" s="298" t="s">
        <v>2371</v>
      </c>
      <c r="B27" s="287" t="s">
        <v>2372</v>
      </c>
      <c r="C27" s="288">
        <f ca="1">C28</f>
        <v>794</v>
      </c>
      <c r="D27" s="278">
        <f ca="1">C29</f>
        <v>1E-3</v>
      </c>
      <c r="E27" s="279" t="s">
        <v>2373</v>
      </c>
      <c r="F27" s="289">
        <f ca="1">IF(B1="",'数据-取费表'!Q16,INDIRECT("'数据-取费表'!q"&amp;$G$1))</f>
        <v>0.1</v>
      </c>
      <c r="G27" s="290" t="s">
        <v>2374</v>
      </c>
    </row>
    <row r="28" spans="1:7" s="257" customFormat="1" ht="13.5" customHeight="1">
      <c r="A28" s="950" t="s">
        <v>791</v>
      </c>
      <c r="B28" s="291" t="s">
        <v>2375</v>
      </c>
      <c r="C28" s="292">
        <f ca="1">ROUND((C5+C19+C20)*F27*'数据-取费表'!B21/'数据-取费表'!B20,0)</f>
        <v>794</v>
      </c>
      <c r="D28" s="278"/>
      <c r="E28" s="279"/>
      <c r="F28" s="289"/>
      <c r="G28" s="290"/>
    </row>
    <row r="29" spans="1:7" s="257" customFormat="1" ht="13.5" customHeight="1">
      <c r="A29" s="950" t="s">
        <v>792</v>
      </c>
      <c r="B29" s="291" t="s">
        <v>2376</v>
      </c>
      <c r="C29" s="281">
        <f ca="1">ROUND(C21*F27*'数据-取费表'!B21/'数据-取费表'!B20,4)</f>
        <v>1E-3</v>
      </c>
      <c r="D29" s="278"/>
      <c r="E29" s="279"/>
      <c r="F29" s="289"/>
      <c r="G29" s="290"/>
    </row>
    <row r="30" spans="1:7" s="257" customFormat="1" ht="13.5" customHeight="1">
      <c r="A30" s="298" t="s">
        <v>2377</v>
      </c>
      <c r="B30" s="253" t="s">
        <v>2378</v>
      </c>
      <c r="C30" s="278">
        <f>ROUND(F30/(1+'数据-取费表'!C42),4)</f>
        <v>5.2400000000000002E-2</v>
      </c>
      <c r="D30" s="279" t="s">
        <v>2373</v>
      </c>
      <c r="E30" s="284"/>
      <c r="F30" s="280">
        <f>'数据-取费表'!B41</f>
        <v>5.5000000000000007E-2</v>
      </c>
      <c r="G30" s="277" t="s">
        <v>2379</v>
      </c>
    </row>
    <row r="31" spans="1:7" ht="16.5" customHeight="1">
      <c r="A31" s="252">
        <v>1</v>
      </c>
      <c r="B31" s="253" t="s">
        <v>2380</v>
      </c>
      <c r="C31" s="254">
        <f ca="1">ROUND((C5+C19+C20+C22+C27)/(1-C21-D22-D27-C30),0)</f>
        <v>9689</v>
      </c>
      <c r="D31" s="273"/>
      <c r="E31" s="254"/>
      <c r="F31" s="293"/>
      <c r="G31" s="277" t="s">
        <v>2381</v>
      </c>
    </row>
    <row r="32" spans="1:7" s="251" customFormat="1" ht="15.75">
      <c r="A32" s="295" t="s">
        <v>2382</v>
      </c>
      <c r="B32" s="296"/>
      <c r="C32" s="296"/>
      <c r="D32" s="296"/>
      <c r="E32" s="296"/>
      <c r="F32" s="296"/>
      <c r="G32" s="297"/>
    </row>
    <row r="33" spans="1:7" s="257" customFormat="1" ht="13.5" customHeight="1">
      <c r="A33" s="298" t="s">
        <v>782</v>
      </c>
      <c r="B33" s="253" t="s">
        <v>2383</v>
      </c>
      <c r="C33" s="299">
        <f ca="1">SUM(C34:C38)</f>
        <v>23400</v>
      </c>
      <c r="D33" s="275"/>
      <c r="E33" s="255"/>
      <c r="F33" s="284"/>
      <c r="G33" s="277"/>
    </row>
    <row r="34" spans="1:7" s="301" customFormat="1" ht="13.5" customHeight="1">
      <c r="A34" s="950" t="s">
        <v>791</v>
      </c>
      <c r="B34" s="258" t="s">
        <v>2384</v>
      </c>
      <c r="C34" s="263">
        <f ca="1">IF(B1="",IF(F34=100%,'数据-取费表'!M16,'数据-取费表'!O16),IF(F34=100%,INDIRECT("'数据-取费表'!m"&amp;$G$1)+INDIRECT("'数据-取费表'!t"&amp;$G$1),INDIRECT("'数据-取费表'!o"&amp;$G$1)+INDIRECT("'数据-取费表'!aq"&amp;$G$1)))</f>
        <v>20799</v>
      </c>
      <c r="D34" s="260"/>
      <c r="E34" s="263"/>
      <c r="F34" s="300">
        <f ca="1">IF('数据-取费表'!B24=0,1,IF(B1="",'数据-取费表'!N16,INDIRECT("'数据-取费表'!n"&amp;$G$1)))</f>
        <v>1</v>
      </c>
      <c r="G34" s="262" t="s">
        <v>2385</v>
      </c>
    </row>
    <row r="35" spans="1:7" ht="13.5" customHeight="1">
      <c r="A35" s="950" t="s">
        <v>796</v>
      </c>
      <c r="B35" s="258" t="s">
        <v>2386</v>
      </c>
      <c r="C35" s="263">
        <f ca="1">ROUND(C34*F35,0)</f>
        <v>624</v>
      </c>
      <c r="D35" s="263"/>
      <c r="E35" s="263"/>
      <c r="F35" s="302">
        <f>'数据-取费表'!B33</f>
        <v>0.03</v>
      </c>
      <c r="G35" s="262" t="s">
        <v>2387</v>
      </c>
    </row>
    <row r="36" spans="1:7" ht="24">
      <c r="A36" s="950" t="s">
        <v>797</v>
      </c>
      <c r="B36" s="258" t="s">
        <v>2388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2389</v>
      </c>
    </row>
    <row r="37" spans="1:7" s="301" customFormat="1" ht="13.5" customHeight="1">
      <c r="A37" s="950" t="s">
        <v>798</v>
      </c>
      <c r="B37" s="258" t="s">
        <v>2390</v>
      </c>
      <c r="C37" s="292">
        <f ca="1">ROUND(E37*D37*F34/10000,0)</f>
        <v>1665</v>
      </c>
      <c r="D37" s="260">
        <f ca="1">D19</f>
        <v>83271.239999999991</v>
      </c>
      <c r="E37" s="292">
        <f>'数据-取费表'!B35</f>
        <v>200</v>
      </c>
      <c r="F37" s="302"/>
      <c r="G37" s="304" t="s">
        <v>2391</v>
      </c>
    </row>
    <row r="38" spans="1:7" ht="13.5" customHeight="1">
      <c r="A38" s="950" t="s">
        <v>799</v>
      </c>
      <c r="B38" s="258" t="s">
        <v>2392</v>
      </c>
      <c r="C38" s="263">
        <f ca="1">ROUND(C34*F38,0)</f>
        <v>312</v>
      </c>
      <c r="D38" s="263"/>
      <c r="E38" s="263"/>
      <c r="F38" s="302">
        <f>'数据-取费表'!B36</f>
        <v>1.4999999999999999E-2</v>
      </c>
      <c r="G38" s="262" t="s">
        <v>2387</v>
      </c>
    </row>
    <row r="39" spans="1:7" s="257" customFormat="1" ht="13.5" customHeight="1">
      <c r="A39" s="298" t="s">
        <v>2393</v>
      </c>
      <c r="B39" s="253" t="s">
        <v>2394</v>
      </c>
      <c r="C39" s="275">
        <f ca="1">ROUND(C33*F20,0)</f>
        <v>234</v>
      </c>
      <c r="D39" s="275"/>
      <c r="E39" s="275"/>
      <c r="F39" s="276"/>
      <c r="G39" s="277" t="s">
        <v>2395</v>
      </c>
    </row>
    <row r="40" spans="1:7" s="257" customFormat="1" ht="13.5" customHeight="1">
      <c r="A40" s="298" t="s">
        <v>2396</v>
      </c>
      <c r="B40" s="253" t="s">
        <v>2397</v>
      </c>
      <c r="C40" s="1727">
        <f>F21</f>
        <v>0.01</v>
      </c>
      <c r="D40" s="279" t="s">
        <v>2398</v>
      </c>
      <c r="E40" s="275"/>
      <c r="F40" s="276"/>
      <c r="G40" s="277" t="s">
        <v>2399</v>
      </c>
    </row>
    <row r="41" spans="1:7" s="257" customFormat="1" ht="13.5" customHeight="1">
      <c r="A41" s="298" t="s">
        <v>2400</v>
      </c>
      <c r="B41" s="253" t="s">
        <v>2401</v>
      </c>
      <c r="C41" s="275">
        <f ca="1">ROUND(SUM(C42:C43),0)</f>
        <v>514</v>
      </c>
      <c r="D41" s="278">
        <f ca="1">C44</f>
        <v>2.0000000000000001E-4</v>
      </c>
      <c r="E41" s="279" t="s">
        <v>2398</v>
      </c>
      <c r="F41" s="280"/>
      <c r="G41" s="277" t="str">
        <f>IF('数据-取费表'!B22&lt;=1,"单利计息","复利计息")</f>
        <v>单利计息</v>
      </c>
    </row>
    <row r="42" spans="1:7" ht="13.5" customHeight="1">
      <c r="A42" s="950" t="s">
        <v>791</v>
      </c>
      <c r="B42" s="258" t="s">
        <v>2402</v>
      </c>
      <c r="C42" s="281">
        <f ca="1">ROUND(IF('数据-取费表'!B22&lt;=1,C33*F22*'数据-取费表'!B21/2,C33*(POWER((1+F22),'数据-取费表'!B21/2)-1)),0)</f>
        <v>509</v>
      </c>
      <c r="D42" s="281"/>
      <c r="E42" s="281"/>
      <c r="F42" s="282"/>
      <c r="G42" s="3223" t="s">
        <v>2403</v>
      </c>
    </row>
    <row r="43" spans="1:7" ht="13.5" customHeight="1">
      <c r="A43" s="950" t="s">
        <v>792</v>
      </c>
      <c r="B43" s="258" t="s">
        <v>2404</v>
      </c>
      <c r="C43" s="281">
        <f ca="1">ROUND(IF('数据-取费表'!B22&lt;=1,C39*F22*'数据-取费表'!B21/2,C39*(POWER((1+F22),'数据-取费表'!B21/2)-1)),0)</f>
        <v>5</v>
      </c>
      <c r="D43" s="281"/>
      <c r="E43" s="281"/>
      <c r="F43" s="282"/>
      <c r="G43" s="3224"/>
    </row>
    <row r="44" spans="1:7" ht="13.5" customHeight="1">
      <c r="A44" s="950" t="s">
        <v>793</v>
      </c>
      <c r="B44" s="258" t="s">
        <v>2405</v>
      </c>
      <c r="C44" s="281">
        <f ca="1">ROUND(IF('数据-取费表'!B22&lt;=1,C40*F22*'数据-取费表'!B21/2,C40*(POWER((1+F22),'数据-取费表'!B21/2)-1)),4)</f>
        <v>2.0000000000000001E-4</v>
      </c>
      <c r="D44" s="281"/>
      <c r="E44" s="281"/>
      <c r="F44" s="282"/>
      <c r="G44" s="3225"/>
    </row>
    <row r="45" spans="1:7" s="257" customFormat="1" ht="13.5" customHeight="1">
      <c r="A45" s="298" t="s">
        <v>2406</v>
      </c>
      <c r="B45" s="287" t="s">
        <v>2372</v>
      </c>
      <c r="C45" s="288">
        <f ca="1">C46</f>
        <v>2363</v>
      </c>
      <c r="D45" s="278">
        <f ca="1">C47</f>
        <v>1E-3</v>
      </c>
      <c r="E45" s="279" t="s">
        <v>2398</v>
      </c>
      <c r="F45" s="289"/>
      <c r="G45" s="290" t="s">
        <v>2407</v>
      </c>
    </row>
    <row r="46" spans="1:7" s="257" customFormat="1" ht="13.5" customHeight="1">
      <c r="A46" s="950" t="s">
        <v>791</v>
      </c>
      <c r="B46" s="291" t="s">
        <v>2408</v>
      </c>
      <c r="C46" s="292">
        <f ca="1">ROUND((C33+C39)*F27,0)</f>
        <v>2363</v>
      </c>
      <c r="D46" s="306"/>
      <c r="E46" s="279"/>
      <c r="F46" s="289"/>
      <c r="G46" s="290"/>
    </row>
    <row r="47" spans="1:7" s="257" customFormat="1" ht="13.5" customHeight="1">
      <c r="A47" s="950" t="s">
        <v>792</v>
      </c>
      <c r="B47" s="291" t="s">
        <v>2409</v>
      </c>
      <c r="C47" s="281">
        <f ca="1">ROUND(C40*F27,4)</f>
        <v>1E-3</v>
      </c>
      <c r="D47" s="306"/>
      <c r="E47" s="279"/>
      <c r="F47" s="289"/>
      <c r="G47" s="290"/>
    </row>
    <row r="48" spans="1:7" s="257" customFormat="1" ht="13.5" customHeight="1">
      <c r="A48" s="298" t="s">
        <v>2371</v>
      </c>
      <c r="B48" s="253" t="s">
        <v>2410</v>
      </c>
      <c r="C48" s="1727">
        <f>ROUND(F30/(1+'数据-取费表'!C42),4)</f>
        <v>5.2400000000000002E-2</v>
      </c>
      <c r="D48" s="279" t="s">
        <v>2398</v>
      </c>
      <c r="E48" s="275"/>
      <c r="F48" s="280"/>
      <c r="G48" s="277" t="s">
        <v>2411</v>
      </c>
    </row>
    <row r="49" spans="1:7" ht="16.5" customHeight="1">
      <c r="A49" s="298" t="s">
        <v>2377</v>
      </c>
      <c r="B49" s="253" t="s">
        <v>2412</v>
      </c>
      <c r="C49" s="275">
        <f ca="1">ROUND((C33+C39+C41+C45)/(1-C40-D41-D45-C48),0)</f>
        <v>28312</v>
      </c>
      <c r="D49" s="275"/>
      <c r="E49" s="275"/>
      <c r="F49" s="307"/>
      <c r="G49" s="277" t="s">
        <v>2413</v>
      </c>
    </row>
    <row r="50" spans="1:7" s="301" customFormat="1" ht="24">
      <c r="A50" s="298" t="s">
        <v>2414</v>
      </c>
      <c r="B50" s="253" t="s">
        <v>2415</v>
      </c>
      <c r="C50" s="275"/>
      <c r="D50" s="275"/>
      <c r="E50" s="275"/>
      <c r="F50" s="307">
        <f>IF('数据-取费表'!B24=0,'数据-取费表'!N16,1)</f>
        <v>0.94</v>
      </c>
      <c r="G50" s="290" t="s">
        <v>2416</v>
      </c>
    </row>
    <row r="51" spans="1:7" ht="16.5" customHeight="1">
      <c r="A51" s="298" t="s">
        <v>2417</v>
      </c>
      <c r="B51" s="253" t="s">
        <v>2418</v>
      </c>
      <c r="C51" s="275">
        <f ca="1">ROUND(C49*F50,0)</f>
        <v>26613</v>
      </c>
      <c r="D51" s="275"/>
      <c r="E51" s="275"/>
      <c r="F51" s="307"/>
      <c r="G51" s="277" t="s">
        <v>2419</v>
      </c>
    </row>
    <row r="52" spans="1:7" s="251" customFormat="1" ht="16.5" thickBot="1">
      <c r="A52" s="308" t="s">
        <v>2420</v>
      </c>
      <c r="B52" s="309"/>
      <c r="C52" s="310">
        <f ca="1">C31+C51</f>
        <v>36302</v>
      </c>
      <c r="D52" s="309"/>
      <c r="E52" s="309"/>
      <c r="F52" s="309"/>
      <c r="G52" s="311"/>
    </row>
    <row r="55" spans="1:7" ht="15">
      <c r="B55" s="313" t="s">
        <v>2421</v>
      </c>
      <c r="C55" s="314"/>
    </row>
    <row r="56" spans="1:7">
      <c r="B56" s="316" t="s">
        <v>1507</v>
      </c>
      <c r="C56" s="318">
        <f ca="1">1-C57</f>
        <v>0.26700000000000002</v>
      </c>
    </row>
    <row r="57" spans="1:7">
      <c r="B57" s="316" t="s">
        <v>1508</v>
      </c>
      <c r="C57" s="317">
        <f ca="1">ROUND(C51/C52,3)</f>
        <v>0.73299999999999998</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2320</v>
      </c>
      <c r="B1" s="1935"/>
      <c r="C1" s="2551" t="s">
        <v>2422</v>
      </c>
      <c r="D1" s="241"/>
      <c r="E1" s="241"/>
      <c r="F1" s="241"/>
      <c r="G1" s="1378">
        <f>MATCH(B1,'数据-取费表'!A6:A16,0)+5</f>
        <v>7</v>
      </c>
      <c r="H1" s="1281" t="str">
        <f>IF(ISERROR(FIND("住宅",B1)),"非住宅","住宅")</f>
        <v>非住宅</v>
      </c>
    </row>
    <row r="2" spans="1:8" s="243" customFormat="1" ht="18" customHeight="1">
      <c r="A2" s="244" t="s">
        <v>2321</v>
      </c>
      <c r="B2" s="245">
        <f ca="1">ROUND(IF(D2="——",C52/10000,C52/10000-E2),0)</f>
        <v>30726</v>
      </c>
      <c r="C2" s="242" t="s">
        <v>2322</v>
      </c>
      <c r="D2" s="2545" t="s">
        <v>70</v>
      </c>
      <c r="E2" s="1439" t="e">
        <f ca="1">SUMIF(INDIRECT("'"&amp;G2&amp;"'"&amp;"!A:A"),"承租人权益价值",INDIRECT("'"&amp;G2&amp;"'"&amp;"!c:c"))</f>
        <v>#REF!</v>
      </c>
      <c r="F2" s="2546" t="s">
        <v>2322</v>
      </c>
      <c r="G2" s="2547"/>
    </row>
    <row r="3" spans="1:8" s="243" customFormat="1" ht="18" customHeight="1" thickBot="1">
      <c r="A3" s="246" t="s">
        <v>2323</v>
      </c>
      <c r="B3" s="247">
        <f ca="1">ROUND(B2*10000/(IF(B1="",'数据-汇总表'!E3,INDIRECT("'数据-取费表'!k"&amp;$G$1))),0)</f>
        <v>3687</v>
      </c>
      <c r="C3" s="242" t="s">
        <v>2324</v>
      </c>
      <c r="D3" s="242"/>
      <c r="E3" s="242"/>
      <c r="F3" s="242"/>
      <c r="G3" s="242"/>
    </row>
    <row r="4" spans="1:8" s="251" customFormat="1" ht="15.75">
      <c r="A4" s="248" t="s">
        <v>2325</v>
      </c>
      <c r="B4" s="249"/>
      <c r="C4" s="249"/>
      <c r="D4" s="249"/>
      <c r="E4" s="249"/>
      <c r="F4" s="249"/>
      <c r="G4" s="250"/>
    </row>
    <row r="5" spans="1:8" s="257" customFormat="1" ht="13.5" customHeight="1">
      <c r="A5" s="298" t="s">
        <v>2326</v>
      </c>
      <c r="B5" s="253" t="s">
        <v>2327</v>
      </c>
      <c r="C5" s="254">
        <f ca="1">C6+C7+C8</f>
        <v>16665830</v>
      </c>
      <c r="D5" s="254" t="s">
        <v>2328</v>
      </c>
      <c r="E5" s="255" t="s">
        <v>2329</v>
      </c>
      <c r="F5" s="255" t="s">
        <v>2330</v>
      </c>
      <c r="G5" s="256"/>
    </row>
    <row r="6" spans="1:8" s="257" customFormat="1" ht="13.5" customHeight="1">
      <c r="A6" s="948" t="s">
        <v>2331</v>
      </c>
      <c r="B6" s="258" t="s">
        <v>2332</v>
      </c>
      <c r="C6" s="259"/>
      <c r="D6" s="260"/>
      <c r="E6" s="261"/>
      <c r="F6" s="261"/>
      <c r="G6" s="262"/>
    </row>
    <row r="7" spans="1:8" s="257" customFormat="1" ht="13.5" customHeight="1">
      <c r="A7" s="948" t="s">
        <v>2333</v>
      </c>
      <c r="B7" s="258" t="s">
        <v>2334</v>
      </c>
      <c r="C7" s="263">
        <f>ROUND(C6*F7,0)</f>
        <v>0</v>
      </c>
      <c r="D7" s="263"/>
      <c r="E7" s="261"/>
      <c r="F7" s="264">
        <f>IF(项目基本情况!B8="出让",0,'数据-取费表'!B48+'数据-取费表'!B49)</f>
        <v>3.0499999999999999E-2</v>
      </c>
      <c r="G7" s="262"/>
    </row>
    <row r="8" spans="1:8" s="266" customFormat="1">
      <c r="A8" s="948" t="s">
        <v>2335</v>
      </c>
      <c r="B8" s="258" t="s">
        <v>2336</v>
      </c>
      <c r="C8" s="263">
        <f ca="1">IF(G8="已包含在土地购买价格中",0,C9+C10)</f>
        <v>16665830</v>
      </c>
      <c r="D8" s="265"/>
      <c r="E8" s="263"/>
      <c r="F8" s="264"/>
      <c r="G8" s="2548"/>
    </row>
    <row r="9" spans="1:8" s="257" customFormat="1" ht="13.5" customHeight="1">
      <c r="A9" s="949" t="s">
        <v>800</v>
      </c>
      <c r="B9" s="267" t="s">
        <v>2337</v>
      </c>
      <c r="C9" s="268">
        <f ca="1">ROUND(D9*E9,0)</f>
        <v>0</v>
      </c>
      <c r="D9" s="1031">
        <f ca="1">IF(B1="",'数据-汇总表'!E5,IF(INDIRECT("'数据-取费表'!c"&amp;$G$1)="住宅",INDIRECT("'数据-取费表'!k"&amp;$G$1),0))</f>
        <v>0</v>
      </c>
      <c r="E9" s="268">
        <f>'数据-取费表'!B27</f>
        <v>0</v>
      </c>
      <c r="F9" s="264"/>
      <c r="G9" s="269"/>
    </row>
    <row r="10" spans="1:8" s="257" customFormat="1" ht="13.5" customHeight="1">
      <c r="A10" s="949" t="s">
        <v>801</v>
      </c>
      <c r="B10" s="267" t="s">
        <v>2339</v>
      </c>
      <c r="C10" s="268">
        <f ca="1">ROUND(D10*E10,0)</f>
        <v>16665830</v>
      </c>
      <c r="D10" s="1031">
        <f ca="1">IF(B1="",'数据-汇总表'!E6,IF(INDIRECT("'数据-取费表'!c"&amp;$G$1)="住宅",INDIRECT("'数据-取费表'!s"&amp;$G$1),INDIRECT("'数据-取费表'!k"&amp;$G$1)+INDIRECT("'数据-取费表'!s"&amp;$G$1)))</f>
        <v>83329.149999999994</v>
      </c>
      <c r="E10" s="268">
        <f>'数据-取费表'!B28</f>
        <v>200</v>
      </c>
      <c r="F10" s="264"/>
      <c r="G10" s="269"/>
    </row>
    <row r="11" spans="1:8" s="257" customFormat="1" ht="13.5" hidden="1" customHeight="1">
      <c r="A11" s="270" t="s">
        <v>7</v>
      </c>
      <c r="B11" s="258" t="s">
        <v>2340</v>
      </c>
      <c r="C11" s="254"/>
      <c r="D11" s="1033"/>
      <c r="E11" s="261"/>
      <c r="F11" s="261"/>
      <c r="G11" s="262"/>
    </row>
    <row r="12" spans="1:8" s="257" customFormat="1" ht="13.5" hidden="1" customHeight="1">
      <c r="A12" s="270" t="s">
        <v>8</v>
      </c>
      <c r="B12" s="258" t="s">
        <v>2423</v>
      </c>
      <c r="C12" s="254">
        <v>0</v>
      </c>
      <c r="D12" s="1033"/>
      <c r="E12" s="271"/>
      <c r="F12" s="264">
        <v>3.0499999999999999E-2</v>
      </c>
      <c r="G12" s="262"/>
    </row>
    <row r="13" spans="1:8" s="257" customFormat="1" ht="13.5" hidden="1" customHeight="1">
      <c r="A13" s="270" t="s">
        <v>9</v>
      </c>
      <c r="B13" s="258" t="s">
        <v>2424</v>
      </c>
      <c r="C13" s="254"/>
      <c r="D13" s="1033"/>
      <c r="E13" s="261"/>
      <c r="F13" s="261"/>
      <c r="G13" s="262"/>
    </row>
    <row r="14" spans="1:8" s="257" customFormat="1" ht="13.5" hidden="1" customHeight="1">
      <c r="A14" s="270" t="s">
        <v>10</v>
      </c>
      <c r="B14" s="258" t="s">
        <v>2336</v>
      </c>
      <c r="C14" s="254"/>
      <c r="D14" s="1033"/>
      <c r="E14" s="261"/>
      <c r="F14" s="261"/>
      <c r="G14" s="262" t="s">
        <v>2425</v>
      </c>
    </row>
    <row r="15" spans="1:8" s="257" customFormat="1" ht="13.5" hidden="1" customHeight="1">
      <c r="A15" s="270" t="s">
        <v>11</v>
      </c>
      <c r="B15" s="258" t="s">
        <v>2426</v>
      </c>
      <c r="C15" s="263"/>
      <c r="D15" s="1033"/>
      <c r="E15" s="261"/>
      <c r="F15" s="261"/>
      <c r="G15" s="262" t="s">
        <v>2427</v>
      </c>
    </row>
    <row r="16" spans="1:8" s="257" customFormat="1" ht="13.5" hidden="1" customHeight="1">
      <c r="A16" s="270" t="s">
        <v>12</v>
      </c>
      <c r="B16" s="258" t="s">
        <v>2336</v>
      </c>
      <c r="C16" s="263"/>
      <c r="D16" s="1033"/>
      <c r="E16" s="261"/>
      <c r="F16" s="261"/>
      <c r="G16" s="262"/>
    </row>
    <row r="17" spans="1:7" s="257" customFormat="1" ht="13.5" hidden="1" customHeight="1">
      <c r="A17" s="270" t="s">
        <v>13</v>
      </c>
      <c r="B17" s="258" t="s">
        <v>2428</v>
      </c>
      <c r="C17" s="272"/>
      <c r="D17" s="1034"/>
      <c r="E17" s="272"/>
      <c r="F17" s="272"/>
      <c r="G17" s="262" t="s">
        <v>2427</v>
      </c>
    </row>
    <row r="18" spans="1:7" s="257" customFormat="1" ht="13.5" hidden="1" customHeight="1">
      <c r="A18" s="270" t="s">
        <v>14</v>
      </c>
      <c r="B18" s="258" t="s">
        <v>2429</v>
      </c>
      <c r="C18" s="263">
        <v>0</v>
      </c>
      <c r="D18" s="1033"/>
      <c r="E18" s="261"/>
      <c r="F18" s="264">
        <v>3.0499999999999999E-2</v>
      </c>
      <c r="G18" s="262" t="s">
        <v>2430</v>
      </c>
    </row>
    <row r="19" spans="1:7" s="266" customFormat="1" ht="13.5" customHeight="1">
      <c r="A19" s="298" t="s">
        <v>2431</v>
      </c>
      <c r="B19" s="253" t="s">
        <v>2432</v>
      </c>
      <c r="C19" s="254">
        <f ca="1">IF(G19="已包含在土地取得成本中","0",ROUND(D19*E19,0))</f>
        <v>16665830</v>
      </c>
      <c r="D19" s="1035">
        <f ca="1">D9+D10</f>
        <v>83329.149999999994</v>
      </c>
      <c r="E19" s="254">
        <f>'数据-取费表'!B31</f>
        <v>200</v>
      </c>
      <c r="F19" s="274"/>
      <c r="G19" s="2548"/>
    </row>
    <row r="20" spans="1:7" s="257" customFormat="1" ht="13.5" customHeight="1">
      <c r="A20" s="298" t="s">
        <v>2433</v>
      </c>
      <c r="B20" s="253" t="s">
        <v>2434</v>
      </c>
      <c r="C20" s="275">
        <f ca="1">ROUND((C5+C19)*F20,0)</f>
        <v>333317</v>
      </c>
      <c r="D20" s="275"/>
      <c r="E20" s="275"/>
      <c r="F20" s="276">
        <f>'数据-取费表'!B37</f>
        <v>0.01</v>
      </c>
      <c r="G20" s="277" t="s">
        <v>2435</v>
      </c>
    </row>
    <row r="21" spans="1:7" s="257" customFormat="1" ht="13.5" customHeight="1">
      <c r="A21" s="298" t="s">
        <v>2436</v>
      </c>
      <c r="B21" s="253" t="s">
        <v>2437</v>
      </c>
      <c r="C21" s="278">
        <f>F21</f>
        <v>0.01</v>
      </c>
      <c r="D21" s="279" t="s">
        <v>2438</v>
      </c>
      <c r="E21" s="275"/>
      <c r="F21" s="276">
        <f>'数据-取费表'!B38</f>
        <v>0.01</v>
      </c>
      <c r="G21" s="277" t="s">
        <v>2439</v>
      </c>
    </row>
    <row r="22" spans="1:7" s="257" customFormat="1" ht="13.5" customHeight="1">
      <c r="A22" s="298" t="s">
        <v>2440</v>
      </c>
      <c r="B22" s="253" t="s">
        <v>2441</v>
      </c>
      <c r="C22" s="1379">
        <f ca="1">ROUND(SUM(C23:C25),0)</f>
        <v>1457178</v>
      </c>
      <c r="D22" s="278">
        <f ca="1">C26</f>
        <v>2.0000000000000001E-4</v>
      </c>
      <c r="E22" s="279" t="s">
        <v>2438</v>
      </c>
      <c r="F22" s="280">
        <f ca="1">'数据-取费表'!B40</f>
        <v>4.3499999999999997E-2</v>
      </c>
      <c r="G22" s="277" t="str">
        <f>IF('数据-取费表'!B22&lt;=1,"单利计息","复利计息")</f>
        <v>单利计息</v>
      </c>
    </row>
    <row r="23" spans="1:7" s="257" customFormat="1" ht="13.5" customHeight="1">
      <c r="A23" s="950" t="s">
        <v>2331</v>
      </c>
      <c r="B23" s="258" t="s">
        <v>2442</v>
      </c>
      <c r="C23" s="1380">
        <f ca="1">ROUND(IF('数据-取费表'!B22&lt;=1,C5*F22*'数据-取费表'!B22,C5*(POWER((1+F22),'数据-取费表'!B22)-1)),0)</f>
        <v>724964</v>
      </c>
      <c r="D23" s="281"/>
      <c r="E23" s="281"/>
      <c r="F23" s="282"/>
      <c r="G23" s="283" t="s">
        <v>2443</v>
      </c>
    </row>
    <row r="24" spans="1:7" s="257" customFormat="1" ht="13.5" customHeight="1">
      <c r="A24" s="950" t="s">
        <v>2333</v>
      </c>
      <c r="B24" s="258" t="s">
        <v>2444</v>
      </c>
      <c r="C24" s="1380">
        <f ca="1">ROUND(IF('数据-取费表'!B22&lt;=1,C19*F22*('数据-取费表'!B19/2+'数据-取费表'!B20),C19*(POWER((1+F22),('数据-取费表'!B19/2+'数据-取费表'!B20))-1)),0)</f>
        <v>724964</v>
      </c>
      <c r="D24" s="281"/>
      <c r="E24" s="281"/>
      <c r="F24" s="282"/>
      <c r="G24" s="283" t="s">
        <v>2445</v>
      </c>
    </row>
    <row r="25" spans="1:7" s="257" customFormat="1" ht="24">
      <c r="A25" s="950" t="s">
        <v>2335</v>
      </c>
      <c r="B25" s="258" t="s">
        <v>2446</v>
      </c>
      <c r="C25" s="1380">
        <f ca="1">ROUND(IF('数据-取费表'!B22&lt;=1,C20*F22*'数据-取费表'!B22/2,C20*(POWER((1+F22),'数据-取费表'!B22/2)-1)),0)</f>
        <v>7250</v>
      </c>
      <c r="D25" s="281"/>
      <c r="E25" s="284"/>
      <c r="F25" s="282"/>
      <c r="G25" s="285" t="s">
        <v>2447</v>
      </c>
    </row>
    <row r="26" spans="1:7" s="257" customFormat="1">
      <c r="A26" s="950" t="s">
        <v>795</v>
      </c>
      <c r="B26" s="258" t="s">
        <v>2370</v>
      </c>
      <c r="C26" s="281">
        <f ca="1">ROUND(IF('数据-取费表'!B22&lt;=1,F21*F22*'数据-取费表'!B22/2,F21*(POWER((1+F22),'数据-取费表'!B22/2)-1)),4)</f>
        <v>2.0000000000000001E-4</v>
      </c>
      <c r="D26" s="281"/>
      <c r="E26" s="284"/>
      <c r="F26" s="282"/>
      <c r="G26" s="286"/>
    </row>
    <row r="27" spans="1:7" s="257" customFormat="1" ht="24.75">
      <c r="A27" s="298" t="s">
        <v>2371</v>
      </c>
      <c r="B27" s="287" t="s">
        <v>2372</v>
      </c>
      <c r="C27" s="288">
        <f ca="1">C28</f>
        <v>3366498</v>
      </c>
      <c r="D27" s="278">
        <f ca="1">C29</f>
        <v>1E-3</v>
      </c>
      <c r="E27" s="279" t="s">
        <v>2373</v>
      </c>
      <c r="F27" s="289">
        <f ca="1">IF(B1="",'数据-取费表'!Q16,INDIRECT("'数据-取费表'!q"&amp;$G$1))</f>
        <v>0.1</v>
      </c>
      <c r="G27" s="290" t="s">
        <v>2374</v>
      </c>
    </row>
    <row r="28" spans="1:7" s="257" customFormat="1" ht="13.5" customHeight="1">
      <c r="A28" s="950" t="s">
        <v>791</v>
      </c>
      <c r="B28" s="291" t="s">
        <v>2375</v>
      </c>
      <c r="C28" s="292">
        <f ca="1">ROUND((C5+C19+C20)*F27,0)</f>
        <v>3366498</v>
      </c>
      <c r="D28" s="278"/>
      <c r="E28" s="279"/>
      <c r="F28" s="289"/>
      <c r="G28" s="290"/>
    </row>
    <row r="29" spans="1:7" s="257" customFormat="1" ht="13.5" customHeight="1">
      <c r="A29" s="950" t="s">
        <v>792</v>
      </c>
      <c r="B29" s="291" t="s">
        <v>2376</v>
      </c>
      <c r="C29" s="281">
        <f ca="1">ROUND(C21*F27,4)</f>
        <v>1E-3</v>
      </c>
      <c r="D29" s="278"/>
      <c r="E29" s="279"/>
      <c r="F29" s="289"/>
      <c r="G29" s="290"/>
    </row>
    <row r="30" spans="1:7" s="257" customFormat="1" ht="13.5" customHeight="1">
      <c r="A30" s="298" t="s">
        <v>2377</v>
      </c>
      <c r="B30" s="253" t="s">
        <v>2378</v>
      </c>
      <c r="C30" s="278">
        <f>ROUND(F30/(1+'数据-取费表'!C42),4)</f>
        <v>5.2400000000000002E-2</v>
      </c>
      <c r="D30" s="279" t="s">
        <v>2373</v>
      </c>
      <c r="E30" s="284"/>
      <c r="F30" s="280">
        <f>'数据-取费表'!B41</f>
        <v>5.5000000000000007E-2</v>
      </c>
      <c r="G30" s="277" t="s">
        <v>2379</v>
      </c>
    </row>
    <row r="31" spans="1:7" ht="16.5" customHeight="1">
      <c r="A31" s="252">
        <v>1</v>
      </c>
      <c r="B31" s="253" t="s">
        <v>2380</v>
      </c>
      <c r="C31" s="254">
        <f ca="1">ROUND((C5+C19+C20+C22+C27)/(1-C21-D22-D27-C30),0)</f>
        <v>41102790</v>
      </c>
      <c r="D31" s="273"/>
      <c r="E31" s="254"/>
      <c r="F31" s="293"/>
      <c r="G31" s="277" t="s">
        <v>2381</v>
      </c>
    </row>
    <row r="32" spans="1:7" s="251" customFormat="1" ht="15.75">
      <c r="A32" s="295" t="s">
        <v>2448</v>
      </c>
      <c r="B32" s="296"/>
      <c r="C32" s="296"/>
      <c r="D32" s="296"/>
      <c r="E32" s="296"/>
      <c r="F32" s="296"/>
      <c r="G32" s="297"/>
    </row>
    <row r="33" spans="1:7" s="257" customFormat="1" ht="13.5" customHeight="1">
      <c r="A33" s="298" t="s">
        <v>782</v>
      </c>
      <c r="B33" s="253" t="s">
        <v>2449</v>
      </c>
      <c r="C33" s="299">
        <f ca="1">SUM(C34:C38)</f>
        <v>234019429</v>
      </c>
      <c r="D33" s="275"/>
      <c r="E33" s="255"/>
      <c r="F33" s="284"/>
      <c r="G33" s="277"/>
    </row>
    <row r="34" spans="1:7" s="301" customFormat="1" ht="13.5" customHeight="1">
      <c r="A34" s="950" t="s">
        <v>791</v>
      </c>
      <c r="B34" s="258" t="s">
        <v>2384</v>
      </c>
      <c r="C34" s="263">
        <f ca="1">ROUND(IF(B1="",SUMPRODUCT('数据-取费表'!K6:K14,'数据-取费表'!L6:L14),INDIRECT("'数据-取费表'!l"&amp;$G$1)*INDIRECT("'数据-取费表'!k"&amp;$G$1)+'数据-取费表'!L14*INDIRECT("'数据-取费表'!S"&amp;$G$1)),0)</f>
        <v>207993875</v>
      </c>
      <c r="D34" s="260"/>
      <c r="E34" s="263"/>
      <c r="F34" s="300"/>
      <c r="G34" s="262"/>
    </row>
    <row r="35" spans="1:7" ht="13.5" customHeight="1">
      <c r="A35" s="950" t="s">
        <v>796</v>
      </c>
      <c r="B35" s="258" t="s">
        <v>2386</v>
      </c>
      <c r="C35" s="263">
        <f ca="1">ROUND(C34*F35,0)</f>
        <v>6239816</v>
      </c>
      <c r="D35" s="263"/>
      <c r="E35" s="263"/>
      <c r="F35" s="302">
        <f>'数据-取费表'!B33</f>
        <v>0.03</v>
      </c>
      <c r="G35" s="262" t="s">
        <v>2387</v>
      </c>
    </row>
    <row r="36" spans="1:7" ht="24">
      <c r="A36" s="950" t="s">
        <v>797</v>
      </c>
      <c r="B36" s="258" t="s">
        <v>2388</v>
      </c>
      <c r="C36" s="263">
        <f ca="1">ROUND(IF(B1="",SUM('数据-取费表'!AP6:AP13)*F36,IF(INDIRECT("'数据-取费表'!c"&amp;$G$1)="住宅",INDIRECT("'数据-取费表'!k"&amp;$G$1)*INDIRECT("'数据-取费表'!l"&amp;$G$1)*F36,0)),0)</f>
        <v>0</v>
      </c>
      <c r="D36" s="263"/>
      <c r="E36" s="263"/>
      <c r="F36" s="302">
        <f>'数据-取费表'!B34</f>
        <v>0</v>
      </c>
      <c r="G36" s="303" t="s">
        <v>2389</v>
      </c>
    </row>
    <row r="37" spans="1:7" s="301" customFormat="1" ht="13.5" customHeight="1">
      <c r="A37" s="950" t="s">
        <v>798</v>
      </c>
      <c r="B37" s="258" t="s">
        <v>2390</v>
      </c>
      <c r="C37" s="292">
        <f ca="1">ROUND(E37*D37,0)</f>
        <v>16665830</v>
      </c>
      <c r="D37" s="260">
        <f ca="1">D19</f>
        <v>83329.149999999994</v>
      </c>
      <c r="E37" s="292">
        <f>'数据-取费表'!B35</f>
        <v>200</v>
      </c>
      <c r="F37" s="302"/>
      <c r="G37" s="304"/>
    </row>
    <row r="38" spans="1:7" ht="13.5" customHeight="1">
      <c r="A38" s="950" t="s">
        <v>799</v>
      </c>
      <c r="B38" s="258" t="s">
        <v>2392</v>
      </c>
      <c r="C38" s="263">
        <f ca="1">ROUND(C34*F38,0)</f>
        <v>3119908</v>
      </c>
      <c r="D38" s="263"/>
      <c r="E38" s="263"/>
      <c r="F38" s="302">
        <f>'数据-取费表'!B36</f>
        <v>1.4999999999999999E-2</v>
      </c>
      <c r="G38" s="262" t="s">
        <v>2387</v>
      </c>
    </row>
    <row r="39" spans="1:7" s="257" customFormat="1" ht="13.5" customHeight="1">
      <c r="A39" s="298" t="s">
        <v>2393</v>
      </c>
      <c r="B39" s="253" t="s">
        <v>2394</v>
      </c>
      <c r="C39" s="275">
        <f ca="1">ROUND(C33*F20,0)</f>
        <v>2340194</v>
      </c>
      <c r="D39" s="275"/>
      <c r="E39" s="275"/>
      <c r="F39" s="276"/>
      <c r="G39" s="277" t="s">
        <v>2395</v>
      </c>
    </row>
    <row r="40" spans="1:7" s="257" customFormat="1" ht="13.5" customHeight="1">
      <c r="A40" s="298" t="s">
        <v>2396</v>
      </c>
      <c r="B40" s="253" t="s">
        <v>2397</v>
      </c>
      <c r="C40" s="1727">
        <f>F21</f>
        <v>0.01</v>
      </c>
      <c r="D40" s="279" t="s">
        <v>2398</v>
      </c>
      <c r="E40" s="275"/>
      <c r="F40" s="276"/>
      <c r="G40" s="277" t="s">
        <v>2399</v>
      </c>
    </row>
    <row r="41" spans="1:7" s="257" customFormat="1" ht="13.5" customHeight="1">
      <c r="A41" s="298" t="s">
        <v>2400</v>
      </c>
      <c r="B41" s="253" t="s">
        <v>2401</v>
      </c>
      <c r="C41" s="275">
        <f ca="1">ROUND(SUM(C42:C43),0)</f>
        <v>5140822</v>
      </c>
      <c r="D41" s="278">
        <f ca="1">C44</f>
        <v>2.0000000000000001E-4</v>
      </c>
      <c r="E41" s="279" t="s">
        <v>2398</v>
      </c>
      <c r="F41" s="280"/>
      <c r="G41" s="277" t="str">
        <f>IF('数据-取费表'!B22&lt;=1,"单利计息","复利计息")</f>
        <v>单利计息</v>
      </c>
    </row>
    <row r="42" spans="1:7" ht="13.5" customHeight="1">
      <c r="A42" s="950" t="s">
        <v>791</v>
      </c>
      <c r="B42" s="258" t="s">
        <v>2402</v>
      </c>
      <c r="C42" s="281">
        <f ca="1">ROUND(IF('数据-取费表'!B22&lt;=1,C33*F22*'数据-取费表'!B20/2,C33*(POWER((1+F22),'数据-取费表'!B20/2)-1)),0)</f>
        <v>5089923</v>
      </c>
      <c r="D42" s="281"/>
      <c r="E42" s="281"/>
      <c r="F42" s="282"/>
      <c r="G42" s="3223" t="s">
        <v>2450</v>
      </c>
    </row>
    <row r="43" spans="1:7" ht="13.5" customHeight="1">
      <c r="A43" s="950" t="s">
        <v>792</v>
      </c>
      <c r="B43" s="258" t="s">
        <v>2404</v>
      </c>
      <c r="C43" s="281">
        <f ca="1">ROUND(IF('数据-取费表'!B22&lt;=1,C39*F22*'数据-取费表'!B20/2,C39*(POWER((1+F22),'数据-取费表'!B20/2)-1)),0)</f>
        <v>50899</v>
      </c>
      <c r="D43" s="281"/>
      <c r="E43" s="281"/>
      <c r="F43" s="282"/>
      <c r="G43" s="3224"/>
    </row>
    <row r="44" spans="1:7" ht="13.5" customHeight="1">
      <c r="A44" s="950" t="s">
        <v>793</v>
      </c>
      <c r="B44" s="258" t="s">
        <v>2405</v>
      </c>
      <c r="C44" s="281">
        <f ca="1">ROUND(IF('数据-取费表'!B22&lt;=1,C40*F22*'数据-取费表'!B20/2,C40*(POWER((1+F22),'数据-取费表'!B20/2)-1)),4)</f>
        <v>2.0000000000000001E-4</v>
      </c>
      <c r="D44" s="281"/>
      <c r="E44" s="281"/>
      <c r="F44" s="282"/>
      <c r="G44" s="3225"/>
    </row>
    <row r="45" spans="1:7" s="257" customFormat="1" ht="13.5" customHeight="1">
      <c r="A45" s="298" t="s">
        <v>2406</v>
      </c>
      <c r="B45" s="287" t="s">
        <v>2372</v>
      </c>
      <c r="C45" s="288">
        <f ca="1">C46</f>
        <v>23635962</v>
      </c>
      <c r="D45" s="278">
        <f ca="1">C47</f>
        <v>1E-3</v>
      </c>
      <c r="E45" s="279" t="s">
        <v>2398</v>
      </c>
      <c r="F45" s="289"/>
      <c r="G45" s="290" t="s">
        <v>2407</v>
      </c>
    </row>
    <row r="46" spans="1:7" s="257" customFormat="1" ht="13.5" customHeight="1">
      <c r="A46" s="950" t="s">
        <v>791</v>
      </c>
      <c r="B46" s="291" t="s">
        <v>2408</v>
      </c>
      <c r="C46" s="292">
        <f ca="1">ROUND((C33+C39)*F27,0)</f>
        <v>23635962</v>
      </c>
      <c r="D46" s="306"/>
      <c r="E46" s="279"/>
      <c r="F46" s="289"/>
      <c r="G46" s="290"/>
    </row>
    <row r="47" spans="1:7" s="257" customFormat="1" ht="13.5" customHeight="1">
      <c r="A47" s="950" t="s">
        <v>792</v>
      </c>
      <c r="B47" s="291" t="s">
        <v>2409</v>
      </c>
      <c r="C47" s="281">
        <f ca="1">ROUND(C40*F27,4)</f>
        <v>1E-3</v>
      </c>
      <c r="D47" s="306"/>
      <c r="E47" s="279"/>
      <c r="F47" s="289"/>
      <c r="G47" s="290"/>
    </row>
    <row r="48" spans="1:7" s="257" customFormat="1" ht="13.5" customHeight="1">
      <c r="A48" s="298" t="s">
        <v>2371</v>
      </c>
      <c r="B48" s="253" t="s">
        <v>2410</v>
      </c>
      <c r="C48" s="305">
        <f>ROUND(F30/(1+'数据-取费表'!C42),4)</f>
        <v>5.2400000000000002E-2</v>
      </c>
      <c r="D48" s="279" t="s">
        <v>2398</v>
      </c>
      <c r="E48" s="275"/>
      <c r="F48" s="280"/>
      <c r="G48" s="277" t="s">
        <v>2411</v>
      </c>
    </row>
    <row r="49" spans="1:7" ht="16.5" customHeight="1">
      <c r="A49" s="298" t="s">
        <v>2377</v>
      </c>
      <c r="B49" s="253" t="s">
        <v>2451</v>
      </c>
      <c r="C49" s="275">
        <f ca="1">ROUND((C33+C39+C41+C45)/(1-C40-D41-D45-C48),0)</f>
        <v>283144390</v>
      </c>
      <c r="D49" s="275"/>
      <c r="E49" s="275"/>
      <c r="F49" s="307"/>
      <c r="G49" s="277" t="s">
        <v>2413</v>
      </c>
    </row>
    <row r="50" spans="1:7" s="301" customFormat="1">
      <c r="A50" s="298" t="s">
        <v>2414</v>
      </c>
      <c r="B50" s="253" t="s">
        <v>2415</v>
      </c>
      <c r="C50" s="275"/>
      <c r="D50" s="275"/>
      <c r="E50" s="275"/>
      <c r="F50" s="307">
        <f>IF('数据-取费表'!B24=0,'数据-取费表'!N16,1)</f>
        <v>0.94</v>
      </c>
      <c r="G50" s="290"/>
    </row>
    <row r="51" spans="1:7" ht="16.5" customHeight="1">
      <c r="A51" s="298" t="s">
        <v>2417</v>
      </c>
      <c r="B51" s="253" t="s">
        <v>2452</v>
      </c>
      <c r="C51" s="275">
        <f ca="1">ROUND(C49*F50,0)</f>
        <v>266155727</v>
      </c>
      <c r="D51" s="275"/>
      <c r="E51" s="275"/>
      <c r="F51" s="307"/>
      <c r="G51" s="277" t="s">
        <v>2419</v>
      </c>
    </row>
    <row r="52" spans="1:7" s="251" customFormat="1" ht="16.5" thickBot="1">
      <c r="A52" s="308" t="s">
        <v>2420</v>
      </c>
      <c r="B52" s="309"/>
      <c r="C52" s="310">
        <f ca="1">C31+C51</f>
        <v>307258517</v>
      </c>
      <c r="D52" s="309"/>
      <c r="E52" s="309"/>
      <c r="F52" s="309"/>
      <c r="G52" s="311"/>
    </row>
    <row r="55" spans="1:7" ht="15">
      <c r="B55" s="313" t="s">
        <v>2421</v>
      </c>
      <c r="C55" s="314"/>
    </row>
    <row r="56" spans="1:7">
      <c r="B56" s="316" t="s">
        <v>1507</v>
      </c>
      <c r="C56" s="318">
        <f ca="1">1-C57</f>
        <v>0.13400000000000001</v>
      </c>
    </row>
    <row r="57" spans="1:7">
      <c r="B57" s="316" t="s">
        <v>1508</v>
      </c>
      <c r="C57" s="317">
        <f ca="1">ROUND(C51/C52,3)</f>
        <v>0.86599999999999999</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2453</v>
      </c>
      <c r="B1" s="1580"/>
      <c r="C1" s="1581"/>
      <c r="D1" s="1579"/>
      <c r="E1" s="319"/>
      <c r="F1" s="319"/>
      <c r="G1" s="1580"/>
      <c r="H1" s="319"/>
      <c r="I1" s="319"/>
      <c r="J1" s="319"/>
      <c r="K1" s="319">
        <f>MATCH(C1,'数据-取费表'!A6:A16,0)+5</f>
        <v>7</v>
      </c>
    </row>
    <row r="2" spans="1:33" ht="18" customHeight="1">
      <c r="A2" s="244" t="s">
        <v>2321</v>
      </c>
      <c r="B2" s="247">
        <f ca="1">C32</f>
        <v>-2</v>
      </c>
      <c r="C2" s="319" t="s">
        <v>2454</v>
      </c>
      <c r="D2" s="319"/>
      <c r="E2" s="319"/>
      <c r="F2" s="319"/>
      <c r="G2" s="319"/>
      <c r="H2" s="319"/>
      <c r="I2" s="319"/>
      <c r="J2" s="319"/>
      <c r="K2" s="319"/>
    </row>
    <row r="3" spans="1:33" ht="18" customHeight="1" thickBot="1">
      <c r="A3" s="246" t="s">
        <v>2323</v>
      </c>
      <c r="B3" s="247">
        <f ca="1">ROUND(B2*10000/IF(C1="",'数据-汇总表'!E3,INDIRECT("'数据-取费表'!K"&amp;$K$1)),0)</f>
        <v>0</v>
      </c>
      <c r="C3" s="319" t="s">
        <v>2455</v>
      </c>
      <c r="D3" s="319"/>
      <c r="E3" s="319"/>
      <c r="F3" s="319"/>
      <c r="G3" s="319"/>
      <c r="H3" s="319"/>
      <c r="I3" s="319"/>
      <c r="J3" s="319"/>
      <c r="K3" s="319"/>
    </row>
    <row r="4" spans="1:33" s="955" customFormat="1" ht="16.5" customHeight="1">
      <c r="A4" s="952" t="s">
        <v>2456</v>
      </c>
      <c r="B4" s="953"/>
      <c r="C4" s="995">
        <f>SUM(C8:K8)</f>
        <v>0</v>
      </c>
      <c r="D4" s="953"/>
      <c r="E4" s="953"/>
      <c r="F4" s="953"/>
      <c r="G4" s="953"/>
      <c r="H4" s="953"/>
      <c r="I4" s="953"/>
      <c r="J4" s="953"/>
      <c r="K4" s="954"/>
    </row>
    <row r="5" spans="1:33" s="959" customFormat="1" ht="24.75">
      <c r="A5" s="956" t="s">
        <v>2457</v>
      </c>
      <c r="B5" s="957" t="s">
        <v>2458</v>
      </c>
      <c r="C5" s="2552" t="s">
        <v>2459</v>
      </c>
      <c r="D5" s="2552" t="s">
        <v>2460</v>
      </c>
      <c r="E5" s="2552" t="s">
        <v>2461</v>
      </c>
      <c r="F5" s="2552"/>
      <c r="G5" s="2552"/>
      <c r="H5" s="2552"/>
      <c r="I5" s="2552"/>
      <c r="J5" s="2552"/>
      <c r="K5" s="2552"/>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2462</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2463</v>
      </c>
      <c r="B7" s="139" t="s">
        <v>2464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3" t="s">
        <v>2465</v>
      </c>
      <c r="B8" s="176" t="s">
        <v>2466</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2467</v>
      </c>
      <c r="B9" s="953"/>
      <c r="C9" s="953"/>
      <c r="D9" s="953"/>
      <c r="E9" s="953"/>
      <c r="F9" s="953"/>
      <c r="G9" s="953"/>
      <c r="H9" s="953"/>
      <c r="I9" s="953"/>
      <c r="J9" s="953"/>
      <c r="K9" s="954"/>
    </row>
    <row r="10" spans="1:33" s="969" customFormat="1" ht="13.5" customHeight="1">
      <c r="A10" s="956" t="s">
        <v>2468</v>
      </c>
      <c r="B10" s="8" t="s">
        <v>2469</v>
      </c>
      <c r="C10" s="965" t="s">
        <v>2470</v>
      </c>
      <c r="D10" s="966" t="s">
        <v>2471</v>
      </c>
      <c r="E10" s="966" t="s">
        <v>2472</v>
      </c>
      <c r="F10" s="966" t="s">
        <v>2473</v>
      </c>
      <c r="G10" s="8"/>
      <c r="H10" s="967"/>
      <c r="I10" s="967"/>
      <c r="J10" s="967"/>
      <c r="K10" s="968"/>
    </row>
    <row r="11" spans="1:33" s="974" customFormat="1" ht="13.5" customHeight="1">
      <c r="A11" s="970" t="s">
        <v>1330</v>
      </c>
      <c r="B11" s="971" t="s">
        <v>2474</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1331</v>
      </c>
      <c r="B12" s="971" t="s">
        <v>2475</v>
      </c>
      <c r="C12" s="24">
        <f ca="1">ROUND(C11*F12,0)</f>
        <v>0</v>
      </c>
      <c r="D12" s="972"/>
      <c r="E12" s="374"/>
      <c r="F12" s="975">
        <f>'数据-取费表'!B33</f>
        <v>0.03</v>
      </c>
      <c r="G12" s="8" t="s">
        <v>2476</v>
      </c>
      <c r="H12" s="967"/>
      <c r="I12" s="967"/>
      <c r="J12" s="967"/>
      <c r="K12" s="968"/>
    </row>
    <row r="13" spans="1:33" s="974" customFormat="1" ht="13.5" customHeight="1">
      <c r="A13" s="970" t="s">
        <v>1332</v>
      </c>
      <c r="B13" s="971" t="s">
        <v>2477</v>
      </c>
      <c r="C13" s="24">
        <f ca="1">ROUND(IF(C1="",SUMIF('数据-取费表'!C:C,"住宅",'数据-取费表'!P:P)*F13,IF(INDIRECT("'数据-取费表'!c"&amp;$K$1)="住宅",INDIRECT("'数据-取费表'!P"&amp;$K$1)*F13,0)),0)</f>
        <v>0</v>
      </c>
      <c r="D13" s="1032"/>
      <c r="E13" s="374"/>
      <c r="F13" s="975">
        <f>'数据-取费表'!B34</f>
        <v>0</v>
      </c>
      <c r="G13" s="8" t="s">
        <v>2478</v>
      </c>
      <c r="H13" s="967"/>
      <c r="I13" s="967"/>
      <c r="J13" s="967"/>
      <c r="K13" s="968"/>
    </row>
    <row r="14" spans="1:33" s="976" customFormat="1" ht="13.5" customHeight="1">
      <c r="A14" s="970" t="s">
        <v>1333</v>
      </c>
      <c r="B14" s="971" t="s">
        <v>2479</v>
      </c>
      <c r="C14" s="24">
        <f ca="1">ROUND(D14*E14*F11/10000,0)</f>
        <v>0</v>
      </c>
      <c r="D14" s="1032">
        <f ca="1">IF(C1="",'数据-汇总表'!E3,INDIRECT("'数据-取费表'!K"&amp;$K$1)+INDIRECT("'数据-取费表'!S"&amp;$K$1))</f>
        <v>83329.149999999994</v>
      </c>
      <c r="E14" s="24">
        <f>'数据-取费表'!B35</f>
        <v>200</v>
      </c>
      <c r="F14" s="975"/>
      <c r="G14" s="8" t="s">
        <v>2480</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2481</v>
      </c>
      <c r="C15" s="982">
        <f ca="1">ROUND(C11*F15,0)</f>
        <v>0</v>
      </c>
      <c r="D15" s="977"/>
      <c r="E15" s="982"/>
      <c r="F15" s="983">
        <f>'数据-取费表'!B36</f>
        <v>1.4999999999999999E-2</v>
      </c>
      <c r="G15" s="139" t="s">
        <v>2482</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2483</v>
      </c>
      <c r="C16" s="982">
        <f ca="1">SUM(C11:C15)</f>
        <v>0</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2484</v>
      </c>
      <c r="C17" s="24">
        <f ca="1">ROUND(D17*E17/10000,0)</f>
        <v>0</v>
      </c>
      <c r="D17" s="1032">
        <f ca="1">D14</f>
        <v>83329.149999999994</v>
      </c>
      <c r="E17" s="24">
        <f>'数据-取费表'!B32</f>
        <v>0</v>
      </c>
      <c r="F17" s="977"/>
      <c r="G17" s="139" t="s">
        <v>2485</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2486</v>
      </c>
      <c r="C18" s="24">
        <f ca="1">C19+C20-IF(C1="",'数据-取费表'!B29,IF(G18="已全部缴纳",C19+C20,H18))</f>
        <v>2</v>
      </c>
      <c r="D18" s="1032"/>
      <c r="E18" s="24"/>
      <c r="F18" s="975"/>
      <c r="G18" s="2554"/>
      <c r="H18" s="1576"/>
      <c r="I18" s="2555" t="s">
        <v>2487</v>
      </c>
      <c r="J18" s="978"/>
      <c r="K18" s="979"/>
    </row>
    <row r="19" spans="1:33" s="974" customFormat="1" ht="13.5" customHeight="1">
      <c r="A19" s="970" t="s">
        <v>805</v>
      </c>
      <c r="B19" s="971" t="s">
        <v>2488</v>
      </c>
      <c r="C19" s="24">
        <f ca="1">ROUND(D19*E19/10000,0)</f>
        <v>0</v>
      </c>
      <c r="D19" s="1032">
        <f ca="1">IF(C1="",'数据-汇总表'!E5,IF(INDIRECT("'数据-取费表'!c"&amp;$K$1)="住宅",INDIRECT("'数据-取费表'!k"&amp;$K$1),0))</f>
        <v>0</v>
      </c>
      <c r="E19" s="24">
        <f>'数据-取费表'!B27</f>
        <v>0</v>
      </c>
      <c r="F19" s="975"/>
      <c r="G19" s="15"/>
      <c r="H19" s="1578"/>
      <c r="I19" s="980"/>
      <c r="J19" s="980"/>
      <c r="K19" s="981"/>
    </row>
    <row r="20" spans="1:33" s="974" customFormat="1" ht="13.5" customHeight="1">
      <c r="A20" s="970" t="s">
        <v>806</v>
      </c>
      <c r="B20" s="971" t="s">
        <v>2489</v>
      </c>
      <c r="C20" s="24">
        <f ca="1">ROUND(D20*E20/10000,0)</f>
        <v>1667</v>
      </c>
      <c r="D20" s="1032">
        <f ca="1">IF(C1="",'数据-汇总表'!E6,IF(INDIRECT("'数据-取费表'!c"&amp;$K$1)="住宅",INDIRECT("'数据-取费表'!s"&amp;$K$1),INDIRECT("'数据-取费表'!k"&amp;$K$1)+INDIRECT("'数据-取费表'!s"&amp;$K$1)))</f>
        <v>83329.149999999994</v>
      </c>
      <c r="E20" s="24">
        <f>'数据-取费表'!B28</f>
        <v>200</v>
      </c>
      <c r="F20" s="975"/>
      <c r="G20" s="15"/>
      <c r="H20" s="980"/>
      <c r="I20" s="980"/>
      <c r="J20" s="980"/>
      <c r="K20" s="981"/>
    </row>
    <row r="21" spans="1:33" s="974" customFormat="1" ht="13.5" customHeight="1">
      <c r="A21" s="960" t="s">
        <v>802</v>
      </c>
      <c r="B21" s="984" t="s">
        <v>2490</v>
      </c>
      <c r="C21" s="985">
        <f ca="1">C16+C17+C18</f>
        <v>2</v>
      </c>
      <c r="D21" s="986"/>
      <c r="E21" s="324"/>
      <c r="F21" s="324"/>
      <c r="G21" s="139" t="s">
        <v>2491</v>
      </c>
      <c r="H21" s="978"/>
      <c r="I21" s="978"/>
      <c r="J21" s="978"/>
      <c r="K21" s="979"/>
    </row>
    <row r="22" spans="1:33" s="974" customFormat="1" ht="13.5" customHeight="1">
      <c r="A22" s="960" t="s">
        <v>2463</v>
      </c>
      <c r="B22" s="984" t="s">
        <v>2492</v>
      </c>
      <c r="C22" s="985">
        <f ca="1">ROUND(C21*F22,0)</f>
        <v>0</v>
      </c>
      <c r="D22" s="324"/>
      <c r="E22" s="324"/>
      <c r="F22" s="987">
        <f>'数据-取费表'!B37</f>
        <v>0.01</v>
      </c>
      <c r="G22" s="8" t="s">
        <v>2493</v>
      </c>
      <c r="H22" s="967"/>
      <c r="I22" s="967"/>
      <c r="J22" s="967"/>
      <c r="K22" s="968"/>
    </row>
    <row r="23" spans="1:33" s="974" customFormat="1" ht="13.5" customHeight="1">
      <c r="A23" s="960" t="s">
        <v>2465</v>
      </c>
      <c r="B23" s="984" t="s">
        <v>2494</v>
      </c>
      <c r="C23" s="985">
        <f ca="1">ROUND(C4*F23*F11,0)</f>
        <v>0</v>
      </c>
      <c r="D23" s="324"/>
      <c r="E23" s="324"/>
      <c r="F23" s="987">
        <f>'数据-取费表'!B38</f>
        <v>0.01</v>
      </c>
      <c r="G23" s="8" t="s">
        <v>2495</v>
      </c>
      <c r="H23" s="967"/>
      <c r="I23" s="967"/>
      <c r="J23" s="967"/>
      <c r="K23" s="968"/>
    </row>
    <row r="24" spans="1:33" s="974" customFormat="1" ht="13.5" customHeight="1">
      <c r="A24" s="960" t="s">
        <v>2496</v>
      </c>
      <c r="B24" s="984" t="s">
        <v>2497</v>
      </c>
      <c r="C24" s="323">
        <f>ROUND(F24/(1+'数据-取费表'!C42),4)</f>
        <v>2.9000000000000001E-2</v>
      </c>
      <c r="D24" s="324" t="s">
        <v>15</v>
      </c>
      <c r="E24" s="324"/>
      <c r="F24" s="987">
        <f>IF(项目基本情况!B8="出让",0,'数据-取费表'!B48+'数据-取费表'!B49)</f>
        <v>3.0499999999999999E-2</v>
      </c>
      <c r="G24" s="8" t="s">
        <v>2498</v>
      </c>
      <c r="H24" s="989"/>
      <c r="I24" s="989"/>
      <c r="J24" s="989"/>
      <c r="K24" s="990"/>
    </row>
    <row r="25" spans="1:33" s="974" customFormat="1" ht="13.5" customHeight="1">
      <c r="A25" s="960" t="s">
        <v>2499</v>
      </c>
      <c r="B25" s="986" t="s">
        <v>2500</v>
      </c>
      <c r="C25" s="1355">
        <f ca="1">C27</f>
        <v>0</v>
      </c>
      <c r="D25" s="323">
        <f ca="1">C26</f>
        <v>0</v>
      </c>
      <c r="E25" s="325" t="s">
        <v>15</v>
      </c>
      <c r="F25" s="326">
        <f ca="1">'数据-取费表'!B40</f>
        <v>4.3499999999999997E-2</v>
      </c>
      <c r="G25" s="139" t="str">
        <f>IF('数据-取费表'!B22&lt;=1,"单利计息。","复利计息。")&amp;"后续开发成本、管理费用及销售费用产生的利息。"</f>
        <v>单利计息。后续开发成本、管理费用及销售费用产生的利息。</v>
      </c>
      <c r="H25" s="989"/>
      <c r="I25" s="989"/>
      <c r="J25" s="989"/>
      <c r="K25" s="990"/>
    </row>
    <row r="26" spans="1:33" s="992" customFormat="1" ht="13.5" customHeight="1">
      <c r="A26" s="970" t="s">
        <v>803</v>
      </c>
      <c r="B26" s="991" t="s">
        <v>2501</v>
      </c>
      <c r="C26" s="1356">
        <f ca="1">ROUND(IF('数据-取费表'!B22&lt;=1,(1+C24)*F25*'数据-取费表'!B24,(1+C24)*(POWER((1+F25),'数据-取费表'!B24)-1)),4)</f>
        <v>0</v>
      </c>
      <c r="D26" s="327"/>
      <c r="E26" s="328"/>
      <c r="F26" s="329"/>
      <c r="G26" s="2556" t="str">
        <f>IF('数据-取费表'!B22&lt;=1,"（(1)+取得税费率/(1+5%)）×年利率×建设期","（(1)+取得税费率）/(1+5%)×((1+年利率)^建设期-1)")</f>
        <v>（(1)+取得税费率/(1+5%)）×年利率×建设期</v>
      </c>
      <c r="H26" s="978"/>
      <c r="I26" s="978"/>
      <c r="J26" s="978"/>
      <c r="K26" s="979"/>
    </row>
    <row r="27" spans="1:33" s="992" customFormat="1" ht="13.5" customHeight="1">
      <c r="A27" s="970" t="s">
        <v>804</v>
      </c>
      <c r="B27" s="991" t="s">
        <v>2502</v>
      </c>
      <c r="C27" s="1357">
        <f ca="1">ROUND(IF('数据-取费表'!B22&lt;=1,(C21+C22+C23)*F25*'数据-取费表'!B24/2,(C21+C22+C23)*(POWER((1+F25),'数据-取费表'!B24/2)-1)),0)</f>
        <v>0</v>
      </c>
      <c r="D27" s="327"/>
      <c r="E27" s="328"/>
      <c r="F27" s="329"/>
      <c r="G27" s="2556" t="str">
        <f>IF('数据-取费表'!B22&lt;=1,"（1）-（3）项×年利率×建设期÷2","（1）-（3）项×((1+年利率)^(建设期÷2)-1)")</f>
        <v>（1）-（3）项×年利率×建设期÷2</v>
      </c>
      <c r="H27" s="978"/>
      <c r="I27" s="978"/>
      <c r="J27" s="978"/>
      <c r="K27" s="979"/>
    </row>
    <row r="28" spans="1:33" s="332" customFormat="1" ht="13.5" customHeight="1">
      <c r="A28" s="960" t="s">
        <v>2503</v>
      </c>
      <c r="B28" s="2557" t="s">
        <v>2504</v>
      </c>
      <c r="C28" s="330">
        <f ca="1">C30</f>
        <v>0</v>
      </c>
      <c r="D28" s="323">
        <f ca="1">C29</f>
        <v>0</v>
      </c>
      <c r="E28" s="325" t="s">
        <v>15</v>
      </c>
      <c r="F28" s="331">
        <f ca="1">IF(C1="",'数据-取费表'!Q16,INDIRECT("'数据-取费表'!q"&amp;$K$1))</f>
        <v>0.1</v>
      </c>
      <c r="G28" s="988"/>
      <c r="H28" s="989"/>
      <c r="I28" s="989"/>
      <c r="J28" s="989"/>
      <c r="K28" s="990"/>
    </row>
    <row r="29" spans="1:33" s="334" customFormat="1" ht="13.5" customHeight="1">
      <c r="A29" s="970" t="s">
        <v>803</v>
      </c>
      <c r="B29" s="993" t="s">
        <v>2505</v>
      </c>
      <c r="C29" s="327">
        <f ca="1">ROUND((1+C24)*F28*'数据-取费表'!B24/'数据-取费表'!B20,4)</f>
        <v>0</v>
      </c>
      <c r="D29" s="327"/>
      <c r="E29" s="328"/>
      <c r="F29" s="333"/>
      <c r="G29" s="139" t="s">
        <v>2506</v>
      </c>
      <c r="H29" s="978"/>
      <c r="I29" s="978"/>
      <c r="J29" s="978"/>
      <c r="K29" s="979"/>
    </row>
    <row r="30" spans="1:33" s="334" customFormat="1" ht="13.5" customHeight="1">
      <c r="A30" s="970" t="s">
        <v>804</v>
      </c>
      <c r="B30" s="993" t="s">
        <v>2507</v>
      </c>
      <c r="C30" s="335">
        <f ca="1">ROUND((C21+C22+C23)*F28,0)</f>
        <v>0</v>
      </c>
      <c r="D30" s="327"/>
      <c r="E30" s="328"/>
      <c r="F30" s="333"/>
      <c r="G30" s="139"/>
      <c r="H30" s="978"/>
      <c r="I30" s="978"/>
      <c r="J30" s="978"/>
      <c r="K30" s="979"/>
    </row>
    <row r="31" spans="1:33" s="974" customFormat="1" ht="13.5" customHeight="1" thickBot="1">
      <c r="A31" s="2558" t="s">
        <v>2508</v>
      </c>
      <c r="B31" s="1004" t="s">
        <v>2509</v>
      </c>
      <c r="C31" s="1005">
        <f>ROUND(C4*F31/(1+'数据-取费表'!C42),0)</f>
        <v>0</v>
      </c>
      <c r="D31" s="1006"/>
      <c r="E31" s="1007"/>
      <c r="F31" s="1008">
        <f>'数据-取费表'!B41</f>
        <v>5.5000000000000007E-2</v>
      </c>
      <c r="G31" s="1009" t="s">
        <v>2510</v>
      </c>
      <c r="H31" s="1010"/>
      <c r="I31" s="1010"/>
      <c r="J31" s="1010"/>
      <c r="K31" s="1011"/>
    </row>
    <row r="32" spans="1:33" s="969" customFormat="1" ht="13.5" customHeight="1" thickBot="1">
      <c r="A32" s="999" t="s">
        <v>2511</v>
      </c>
      <c r="B32" s="1000"/>
      <c r="C32" s="1001">
        <f ca="1">ROUND((C4-C21-C22-C23-C25-C28-C31)/(1+C24+D25+D28),0)</f>
        <v>-2</v>
      </c>
      <c r="D32" s="1000"/>
      <c r="E32" s="1000"/>
      <c r="F32" s="1000"/>
      <c r="G32" s="1002" t="s">
        <v>2512</v>
      </c>
      <c r="H32" s="1000"/>
      <c r="I32" s="1000"/>
      <c r="J32" s="1000"/>
      <c r="K32" s="1003"/>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86" sqref="F86"/>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1" customWidth="1"/>
    <col min="33" max="36" width="9.375" style="2786" customWidth="1"/>
    <col min="37" max="38" width="9.375" style="2718" customWidth="1"/>
    <col min="39" max="16384" width="12" style="2718"/>
  </cols>
  <sheetData>
    <row r="1" spans="1:36" ht="28.5">
      <c r="A1" s="239" t="s">
        <v>2798</v>
      </c>
      <c r="B1" s="240"/>
      <c r="C1" s="244" t="s">
        <v>2799</v>
      </c>
      <c r="D1" s="387">
        <f>SUM(D29:D30,D33:D39)</f>
        <v>83329.149999999994</v>
      </c>
      <c r="E1" s="2715"/>
      <c r="F1" s="2715"/>
      <c r="G1" s="2715"/>
      <c r="H1" s="2715"/>
      <c r="I1" s="2715"/>
      <c r="J1" s="2715"/>
      <c r="K1" s="1369"/>
      <c r="L1" s="2716" t="s">
        <v>2800</v>
      </c>
      <c r="M1" s="1079">
        <f>SUMPRODUCT((区片价!B5:B9=I2)*(区片价!C3:F3=E2)*(区片价!C5:F9))</f>
        <v>0</v>
      </c>
      <c r="N1" s="1082">
        <f>SUMPRODUCT((因素修正幅度!B5:B9=I2)*(因素修正幅度!C3:F3=E2)*(因素修正幅度!C5:F9))</f>
        <v>0</v>
      </c>
      <c r="O1" s="2717"/>
      <c r="P1" s="2717"/>
      <c r="Q1" s="1369"/>
      <c r="R1" s="1601" t="s">
        <v>2801</v>
      </c>
      <c r="S1" s="1601" t="s">
        <v>2802</v>
      </c>
      <c r="T1" s="1601" t="s">
        <v>2803</v>
      </c>
      <c r="U1" s="1601" t="s">
        <v>2804</v>
      </c>
      <c r="V1" s="1601" t="s">
        <v>2805</v>
      </c>
      <c r="W1" s="1605"/>
      <c r="X1" s="1605"/>
      <c r="Y1" s="1605"/>
      <c r="Z1" s="1605"/>
      <c r="AA1" s="1605"/>
      <c r="AB1" s="1605"/>
      <c r="AC1" s="1606"/>
      <c r="AD1" s="1607"/>
      <c r="AE1" s="1607"/>
      <c r="AF1" s="1607"/>
      <c r="AG1" s="1607"/>
      <c r="AH1" s="1607"/>
      <c r="AI1" s="1607"/>
      <c r="AJ1" s="1608"/>
    </row>
    <row r="2" spans="1:36" ht="15.75">
      <c r="A2" s="244" t="s">
        <v>2806</v>
      </c>
      <c r="B2" s="247">
        <f ca="1">C26</f>
        <v>6008</v>
      </c>
      <c r="C2" s="2719" t="s">
        <v>2807</v>
      </c>
      <c r="D2" s="2720" t="s">
        <v>2808</v>
      </c>
      <c r="E2" s="2721" t="s">
        <v>6</v>
      </c>
      <c r="F2" s="2720" t="s">
        <v>2809</v>
      </c>
      <c r="G2" s="2722" t="str">
        <f>IF(E2="商业",项目基本情况!B37,IF(E2="办公",项目基本情况!C37,IF(E2="住宅",项目基本情况!D37,项目基本情况!E37)))</f>
        <v>十级</v>
      </c>
      <c r="H2" s="2720" t="s">
        <v>2810</v>
      </c>
      <c r="I2" s="2722" t="str">
        <f>IF(E2="商业",项目基本情况!B38,IF(E2="办公",项目基本情况!C38,IF(E2="住宅",项目基本情况!D38,项目基本情况!E38)))</f>
        <v>Ⅹ-通1</v>
      </c>
      <c r="J2" s="2723"/>
      <c r="K2" s="1369"/>
      <c r="L2" s="2724" t="s">
        <v>2811</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2.0228999999999999</v>
      </c>
      <c r="T2" s="1601">
        <f ca="1">ROUND($C$5*$C$18*$C$19*$C$20*S2*$C$24,0)</f>
        <v>1396</v>
      </c>
      <c r="U2" s="1602"/>
      <c r="V2" s="1601">
        <f ca="1">ROUND(T2*U2/10000,0)</f>
        <v>0</v>
      </c>
      <c r="W2" s="1605"/>
      <c r="X2" s="1605"/>
      <c r="Y2" s="1605"/>
      <c r="Z2" s="1605"/>
      <c r="AA2" s="1605"/>
      <c r="AB2" s="1605"/>
      <c r="AC2" s="1606"/>
      <c r="AD2" s="1607"/>
      <c r="AE2" s="1607"/>
      <c r="AF2" s="1607"/>
      <c r="AG2" s="1607"/>
      <c r="AH2" s="1607"/>
      <c r="AI2" s="1607"/>
      <c r="AJ2" s="1608"/>
    </row>
    <row r="3" spans="1:36" ht="15.75">
      <c r="A3" s="246" t="s">
        <v>2812</v>
      </c>
      <c r="B3" s="247">
        <f ca="1">ROUND(B2*10000/D1,0)</f>
        <v>721</v>
      </c>
      <c r="C3" s="2719" t="s">
        <v>2813</v>
      </c>
      <c r="D3" s="2720" t="s">
        <v>2814</v>
      </c>
      <c r="E3" s="2725" t="s">
        <v>3077</v>
      </c>
      <c r="F3" s="2726" t="s">
        <v>3195</v>
      </c>
      <c r="G3" s="915">
        <f>IF(F3="宗地容积率",'数据-汇总表'!I4,IF(F3="估价对象容积率",'数据-汇总表'!I6,'数据-汇总表'!I7))</f>
        <v>0.96</v>
      </c>
      <c r="H3" s="197" t="s">
        <v>2815</v>
      </c>
      <c r="I3" s="943"/>
      <c r="J3" s="2723" t="s">
        <v>2816</v>
      </c>
      <c r="K3" s="1369"/>
      <c r="L3" s="2724" t="s">
        <v>2817</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1.3331999999999999</v>
      </c>
      <c r="T3" s="1601">
        <f t="shared" ref="T3:T16" ca="1" si="0">ROUND($C$5*$C$18*$C$19*$C$20*S3*$C$24,0)</f>
        <v>920</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29"/>
      <c r="B4" s="3230"/>
      <c r="C4" s="3230"/>
      <c r="D4" s="3231"/>
      <c r="E4" s="3231"/>
      <c r="F4" s="3231"/>
      <c r="G4" s="3231"/>
      <c r="H4" s="3231"/>
      <c r="I4" s="3231"/>
      <c r="J4" s="3232"/>
      <c r="K4" s="1369"/>
      <c r="L4" s="2724" t="s">
        <v>2818</v>
      </c>
      <c r="M4" s="1080">
        <f>SUMPRODUCT((区片价!B49:B75=I2)*(区片价!C3:F3=E2)*(区片价!C49:F75))</f>
        <v>0</v>
      </c>
      <c r="N4" s="1082">
        <f>SUMPRODUCT((因素修正幅度!B49:B75=I2)*(因素修正幅度!C3:F3=E2)*(因素修正幅度!C49:F75))</f>
        <v>0</v>
      </c>
      <c r="O4" s="1369"/>
      <c r="P4" s="3026" t="s">
        <v>3196</v>
      </c>
      <c r="Q4" s="1369"/>
      <c r="R4" s="1601">
        <v>3</v>
      </c>
      <c r="S4" s="1601">
        <f>ROUND(IF(G3&gt;1,IF(R4&lt;7,SUMPRODUCT((B93:B98=R4)*(C92:N92=G2)*(C93:N98)),SUMIF(C92:N92,G2,C100:N100)),IF(R4&lt;7,SUMPRODUCT((B102:B107=R4)*(C92:N92=G2)*(C102:N107)),SUMIF(C92:N92,G2,C109:N109))),4)</f>
        <v>1.0491999999999999</v>
      </c>
      <c r="T4" s="1601">
        <f t="shared" ca="1" si="0"/>
        <v>724</v>
      </c>
      <c r="U4" s="1602"/>
      <c r="V4" s="1601">
        <f t="shared" ca="1" si="1"/>
        <v>0</v>
      </c>
      <c r="W4" s="1605"/>
      <c r="X4" s="1605"/>
      <c r="Y4" s="1605"/>
      <c r="Z4" s="1605"/>
      <c r="AA4" s="1605"/>
      <c r="AB4" s="1605"/>
      <c r="AC4" s="1606"/>
      <c r="AD4" s="1607"/>
      <c r="AE4" s="1607"/>
      <c r="AF4" s="1607"/>
      <c r="AG4" s="1607"/>
      <c r="AH4" s="1607"/>
      <c r="AI4" s="1607"/>
      <c r="AJ4" s="1608"/>
    </row>
    <row r="5" spans="1:36" s="2736" customFormat="1" ht="15.75" thickBot="1">
      <c r="A5" s="2727" t="s">
        <v>807</v>
      </c>
      <c r="B5" s="2728" t="s">
        <v>2819</v>
      </c>
      <c r="C5" s="916">
        <f>ROUND(IF(E2="商业",C6*C7+C16,(IF(E2="住宅",C6*C12+C16,C6+C16))),0)</f>
        <v>590</v>
      </c>
      <c r="D5" s="1786">
        <f>ROUND(C6+C16,0)</f>
        <v>590</v>
      </c>
      <c r="E5" s="1786"/>
      <c r="F5" s="2729"/>
      <c r="G5" s="2730"/>
      <c r="H5" s="2730"/>
      <c r="I5" s="2730"/>
      <c r="J5" s="2731"/>
      <c r="K5" s="2732"/>
      <c r="L5" s="2724" t="s">
        <v>2820</v>
      </c>
      <c r="M5" s="1080">
        <f>SUMPRODUCT((区片价!B76:B109=I2)*(区片价!C3:F3=E2)*(区片价!C76:F109))</f>
        <v>0</v>
      </c>
      <c r="N5" s="1082">
        <f>SUMPRODUCT((因素修正幅度!B76:B109=I2)*(因素修正幅度!C3:F3=E2)*(因素修正幅度!C76:F109))</f>
        <v>0</v>
      </c>
      <c r="O5" s="3025" t="s">
        <v>3197</v>
      </c>
      <c r="P5" s="1370">
        <f ca="1">ROUND(B3*G3,0)</f>
        <v>692</v>
      </c>
      <c r="Q5" s="1369"/>
      <c r="R5" s="1601">
        <v>4</v>
      </c>
      <c r="S5" s="1601">
        <f>ROUND(IF(G3&gt;1,IF(R5&lt;7,SUMPRODUCT((B93:B98=R5)*(C92:N92=G2)*(C93:N98)),SUMIF(C92:N92,G2,C100:N100)),IF(R5&lt;7,SUMPRODUCT((B102:B107=R5)*(C92:N92=G2)*(C102:N107)),SUMIF(C92:N92,G2,C109:N109))),4)</f>
        <v>0.78390000000000004</v>
      </c>
      <c r="T5" s="1601">
        <f t="shared" ca="1" si="0"/>
        <v>541</v>
      </c>
      <c r="U5" s="1602"/>
      <c r="V5" s="1601">
        <f t="shared" ca="1" si="1"/>
        <v>0</v>
      </c>
      <c r="W5" s="1605"/>
      <c r="X5" s="1605"/>
      <c r="Y5" s="1605"/>
      <c r="Z5" s="1605"/>
      <c r="AA5" s="1605"/>
      <c r="AB5" s="1605"/>
      <c r="AC5" s="2733"/>
      <c r="AD5" s="2734"/>
      <c r="AE5" s="2734"/>
      <c r="AF5" s="2734"/>
      <c r="AG5" s="2734"/>
      <c r="AH5" s="2734"/>
      <c r="AI5" s="2734"/>
      <c r="AJ5" s="2735"/>
    </row>
    <row r="6" spans="1:36" ht="15.75" thickBot="1">
      <c r="A6" s="2737" t="s">
        <v>2821</v>
      </c>
      <c r="B6" s="2738" t="s">
        <v>2822</v>
      </c>
      <c r="C6" s="917">
        <f>SUMIF(L1:L12,G2,M1:M12)</f>
        <v>590</v>
      </c>
      <c r="D6" s="2739" t="s">
        <v>2823</v>
      </c>
      <c r="E6" s="2740"/>
      <c r="F6" s="2740"/>
      <c r="G6" s="2741"/>
      <c r="H6" s="2741"/>
      <c r="I6" s="2741"/>
      <c r="J6" s="2742"/>
      <c r="K6" s="1841"/>
      <c r="L6" s="2724" t="s">
        <v>2824</v>
      </c>
      <c r="M6" s="1080">
        <f>SUMPRODUCT((区片价!B110:B157=I2)*(区片价!C3:F3=E2)*(区片价!C110:F157))</f>
        <v>0</v>
      </c>
      <c r="N6" s="1082">
        <f>SUMPRODUCT((因素修正幅度!B110:B157=I2)*(因素修正幅度!C3:F3=E2)*(因素修正幅度!C110:F157))</f>
        <v>0</v>
      </c>
      <c r="O6" s="3025" t="s">
        <v>3198</v>
      </c>
      <c r="P6" s="1370">
        <f ca="1">ROUND(9862.84*P5/10000,0)</f>
        <v>683</v>
      </c>
      <c r="Q6" s="1369"/>
      <c r="R6" s="1601">
        <v>5</v>
      </c>
      <c r="S6" s="1601">
        <f>ROUND(IF(G3&gt;1,IF(R6&lt;7,SUMPRODUCT((B93:B98=R6)*(C92:N92=G2)*(C93:N98)),SUMIF(C92:N92,G2,C100:N100)),IF(R6&lt;7,SUMPRODUCT((B102:B107=R6)*(C92:N92=G2)*(C102:N107)),SUMIF(C92:N92,G2,C109:N109))),4)</f>
        <v>0.58950000000000002</v>
      </c>
      <c r="T6" s="1601">
        <f t="shared" ca="1" si="0"/>
        <v>407</v>
      </c>
      <c r="U6" s="1602"/>
      <c r="V6" s="1601">
        <f t="shared" ca="1" si="1"/>
        <v>0</v>
      </c>
      <c r="W6" s="1605"/>
      <c r="X6" s="1605"/>
      <c r="Y6" s="1605"/>
      <c r="Z6" s="1605"/>
      <c r="AA6" s="1605"/>
      <c r="AB6" s="1605"/>
      <c r="AC6" s="2733"/>
      <c r="AD6" s="2734"/>
      <c r="AE6" s="2734"/>
      <c r="AF6" s="2734"/>
      <c r="AG6" s="2734"/>
      <c r="AH6" s="2734"/>
      <c r="AI6" s="2734"/>
      <c r="AJ6" s="2735"/>
    </row>
    <row r="7" spans="1:36" ht="24" hidden="1">
      <c r="A7" s="3233" t="str">
        <f>IF(E2="商业",IF(C8="不临58条商业街","",2),"")</f>
        <v/>
      </c>
      <c r="B7" s="2743" t="s">
        <v>2825</v>
      </c>
      <c r="C7" s="918" t="e">
        <f>IF(C8="不临58条商业街",1,ROUND(1+(1.6*E8+1.2*E9+0.8*E10+0.4*E11)*C9,4))</f>
        <v>#DIV/0!</v>
      </c>
      <c r="D7" s="2744" t="s">
        <v>2826</v>
      </c>
      <c r="E7" s="944"/>
      <c r="F7" s="2745"/>
      <c r="G7" s="2746"/>
      <c r="H7" s="2746"/>
      <c r="I7" s="2746"/>
      <c r="J7" s="2747"/>
      <c r="K7" s="1841"/>
      <c r="L7" s="2724" t="s">
        <v>2827</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0.47139999999999999</v>
      </c>
      <c r="T7" s="1601">
        <f t="shared" ca="1" si="0"/>
        <v>325</v>
      </c>
      <c r="U7" s="1602"/>
      <c r="V7" s="1601">
        <f t="shared" ca="1" si="1"/>
        <v>0</v>
      </c>
      <c r="W7" s="1815" t="s">
        <v>2828</v>
      </c>
      <c r="X7" s="1603" t="str">
        <f>G2</f>
        <v>十级</v>
      </c>
      <c r="Y7" s="1603" t="s">
        <v>2829</v>
      </c>
      <c r="Z7" s="1604">
        <f>G3</f>
        <v>0.96</v>
      </c>
      <c r="AA7" s="1605"/>
      <c r="AB7" s="1605"/>
      <c r="AC7" s="1606"/>
      <c r="AD7" s="1607"/>
      <c r="AE7" s="1607"/>
      <c r="AF7" s="1607"/>
      <c r="AG7" s="1607"/>
      <c r="AH7" s="1607"/>
      <c r="AI7" s="1607"/>
      <c r="AJ7" s="1608"/>
    </row>
    <row r="8" spans="1:36" ht="15" hidden="1">
      <c r="A8" s="3234"/>
      <c r="B8" s="197" t="s">
        <v>2830</v>
      </c>
      <c r="C8" s="2748"/>
      <c r="D8" s="919" t="s">
        <v>139</v>
      </c>
      <c r="E8" s="920" t="e">
        <f>ROUND(C11/E7,4)</f>
        <v>#DIV/0!</v>
      </c>
      <c r="F8" s="2749" t="s">
        <v>2831</v>
      </c>
      <c r="G8" s="2750"/>
      <c r="H8" s="2750"/>
      <c r="I8" s="2750"/>
      <c r="J8" s="2751"/>
      <c r="K8" s="1369"/>
      <c r="L8" s="2724" t="s">
        <v>2832</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26" t="s">
        <v>2833</v>
      </c>
      <c r="X8" s="3227"/>
      <c r="Y8" s="1609" t="s">
        <v>2834</v>
      </c>
      <c r="Z8" s="1609" t="s">
        <v>2835</v>
      </c>
      <c r="AA8" s="1609" t="s">
        <v>2836</v>
      </c>
      <c r="AB8" s="1609" t="s">
        <v>2837</v>
      </c>
      <c r="AC8" s="1609" t="s">
        <v>2838</v>
      </c>
      <c r="AD8" s="1609" t="s">
        <v>2839</v>
      </c>
      <c r="AE8" s="1609" t="s">
        <v>2840</v>
      </c>
      <c r="AF8" s="1609" t="s">
        <v>2841</v>
      </c>
      <c r="AG8" s="1609" t="s">
        <v>2842</v>
      </c>
      <c r="AH8" s="1609" t="s">
        <v>2843</v>
      </c>
      <c r="AI8" s="1609" t="s">
        <v>2844</v>
      </c>
      <c r="AJ8" s="1609" t="s">
        <v>2845</v>
      </c>
    </row>
    <row r="9" spans="1:36" ht="15" hidden="1">
      <c r="A9" s="3234"/>
      <c r="B9" s="197" t="s">
        <v>2846</v>
      </c>
      <c r="C9" s="921">
        <f>SUMIF(修正!C59:C119,C8,修正!E59:E119)</f>
        <v>0</v>
      </c>
      <c r="D9" s="199" t="s">
        <v>140</v>
      </c>
      <c r="E9" s="199" t="e">
        <f>ROUND(C11/E7,4)</f>
        <v>#DIV/0!</v>
      </c>
      <c r="F9" s="2749" t="s">
        <v>2847</v>
      </c>
      <c r="G9" s="2750"/>
      <c r="H9" s="2750"/>
      <c r="I9" s="2750"/>
      <c r="J9" s="2751"/>
      <c r="K9" s="1369"/>
      <c r="L9" s="2724" t="s">
        <v>2848</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28" t="s">
        <v>2849</v>
      </c>
      <c r="X9" s="1610" t="s">
        <v>2850</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hidden="1">
      <c r="A10" s="3234"/>
      <c r="B10" s="197" t="s">
        <v>2851</v>
      </c>
      <c r="C10" s="199">
        <f>SUMIF(修正!C59:C119,C8,修正!F59:F119)</f>
        <v>0</v>
      </c>
      <c r="D10" s="199" t="s">
        <v>141</v>
      </c>
      <c r="E10" s="199" t="e">
        <f>ROUND(C11/E7,4)</f>
        <v>#DIV/0!</v>
      </c>
      <c r="F10" s="2749" t="s">
        <v>2852</v>
      </c>
      <c r="G10" s="2750"/>
      <c r="H10" s="2750"/>
      <c r="I10" s="2750"/>
      <c r="J10" s="2751"/>
      <c r="K10" s="1369"/>
      <c r="L10" s="2724" t="s">
        <v>2853</v>
      </c>
      <c r="M10" s="1080">
        <f>SUMPRODUCT((区片价!B290:B316=I2)*(区片价!C3:F3=E2)*(区片价!C290:F316))</f>
        <v>590</v>
      </c>
      <c r="N10" s="1082">
        <f>SUMPRODUCT((因素修正幅度!B290:B316=I2)*(因素修正幅度!C3:F3=E2)*(因素修正幅度!C290:F316))</f>
        <v>0.15</v>
      </c>
      <c r="O10" s="1369"/>
      <c r="P10" s="1369"/>
      <c r="Q10" s="1369"/>
      <c r="R10" s="1601">
        <v>9</v>
      </c>
      <c r="S10" s="1602"/>
      <c r="T10" s="1601">
        <f t="shared" ca="1" si="0"/>
        <v>0</v>
      </c>
      <c r="U10" s="1602"/>
      <c r="V10" s="1601">
        <f t="shared" ca="1" si="1"/>
        <v>0</v>
      </c>
      <c r="W10" s="3228"/>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hidden="1" thickBot="1">
      <c r="A11" s="3234"/>
      <c r="B11" s="2752" t="s">
        <v>2854</v>
      </c>
      <c r="C11" s="922">
        <f>C10/4</f>
        <v>0</v>
      </c>
      <c r="D11" s="922" t="s">
        <v>142</v>
      </c>
      <c r="E11" s="922" t="e">
        <f>ROUND(C11/E7,4)</f>
        <v>#DIV/0!</v>
      </c>
      <c r="F11" s="2753" t="s">
        <v>2855</v>
      </c>
      <c r="G11" s="2754"/>
      <c r="H11" s="2754"/>
      <c r="I11" s="2754"/>
      <c r="J11" s="2755"/>
      <c r="K11" s="1369"/>
      <c r="L11" s="2724" t="s">
        <v>2856</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28" t="s">
        <v>2857</v>
      </c>
      <c r="X11" s="1613" t="s">
        <v>2858</v>
      </c>
      <c r="Y11" s="1614">
        <f>$G$3</f>
        <v>0.96</v>
      </c>
      <c r="Z11" s="1614">
        <f t="shared" ref="Z11:AJ11" si="3">$G$3</f>
        <v>0.96</v>
      </c>
      <c r="AA11" s="1614">
        <f t="shared" si="3"/>
        <v>0.96</v>
      </c>
      <c r="AB11" s="1614">
        <f t="shared" si="3"/>
        <v>0.96</v>
      </c>
      <c r="AC11" s="1614">
        <f t="shared" si="3"/>
        <v>0.96</v>
      </c>
      <c r="AD11" s="1614">
        <f t="shared" si="3"/>
        <v>0.96</v>
      </c>
      <c r="AE11" s="1614">
        <f t="shared" si="3"/>
        <v>0.96</v>
      </c>
      <c r="AF11" s="1614">
        <f t="shared" si="3"/>
        <v>0.96</v>
      </c>
      <c r="AG11" s="1614">
        <f t="shared" si="3"/>
        <v>0.96</v>
      </c>
      <c r="AH11" s="1614">
        <f t="shared" si="3"/>
        <v>0.96</v>
      </c>
      <c r="AI11" s="1614">
        <f t="shared" si="3"/>
        <v>0.96</v>
      </c>
      <c r="AJ11" s="1614">
        <f t="shared" si="3"/>
        <v>0.96</v>
      </c>
    </row>
    <row r="12" spans="1:36" ht="25.5" hidden="1" thickBot="1">
      <c r="A12" s="3233" t="s">
        <v>2859</v>
      </c>
      <c r="B12" s="2756" t="s">
        <v>2860</v>
      </c>
      <c r="C12" s="918">
        <f>ROUND(C15*D15*E15*F15*G15*H15*I15*J15,4)</f>
        <v>1</v>
      </c>
      <c r="D12" s="2757" t="s">
        <v>2861</v>
      </c>
      <c r="E12" s="2758"/>
      <c r="F12" s="2758"/>
      <c r="G12" s="2759"/>
      <c r="H12" s="2759"/>
      <c r="I12" s="2759"/>
      <c r="J12" s="2760"/>
      <c r="K12" s="1369"/>
      <c r="L12" s="2761" t="s">
        <v>2862</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28"/>
      <c r="X12" s="1615" t="s">
        <v>2863</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hidden="1">
      <c r="A13" s="3235"/>
      <c r="B13" s="2762" t="s">
        <v>2864</v>
      </c>
      <c r="C13" s="2763" t="s">
        <v>2865</v>
      </c>
      <c r="D13" s="1807" t="s">
        <v>2866</v>
      </c>
      <c r="E13" s="1807" t="s">
        <v>2867</v>
      </c>
      <c r="F13" s="30" t="s">
        <v>2868</v>
      </c>
      <c r="G13" s="2764" t="s">
        <v>2869</v>
      </c>
      <c r="H13" s="2764" t="s">
        <v>2869</v>
      </c>
      <c r="I13" s="2764" t="s">
        <v>2869</v>
      </c>
      <c r="J13" s="2765" t="s">
        <v>2869</v>
      </c>
      <c r="K13" s="1369"/>
      <c r="L13" s="1369"/>
      <c r="M13" s="1369"/>
      <c r="N13" s="1369"/>
      <c r="O13" s="1369"/>
      <c r="P13" s="1369"/>
      <c r="Q13" s="1369"/>
      <c r="R13" s="1601">
        <v>12</v>
      </c>
      <c r="S13" s="1602"/>
      <c r="T13" s="1601">
        <f t="shared" ca="1" si="0"/>
        <v>0</v>
      </c>
      <c r="U13" s="1602"/>
      <c r="V13" s="1601">
        <f t="shared" ca="1" si="1"/>
        <v>0</v>
      </c>
      <c r="W13" s="3228"/>
      <c r="X13" s="1615"/>
      <c r="Y13" s="1612">
        <f>(-0.163*(Y12^2)-0.59*Y12+7617)*(10^(-4))/Y11</f>
        <v>0.79343750000000013</v>
      </c>
      <c r="Z13" s="1612">
        <f t="shared" ref="Z13:AJ13" si="5">(-0.163*(Z12^2)-0.59*Z12+7617)*(10^(-4))/Z11</f>
        <v>0.79343750000000013</v>
      </c>
      <c r="AA13" s="1612">
        <f t="shared" si="5"/>
        <v>0.79343750000000013</v>
      </c>
      <c r="AB13" s="1612">
        <f t="shared" si="5"/>
        <v>0.79343750000000013</v>
      </c>
      <c r="AC13" s="1612">
        <f t="shared" si="5"/>
        <v>0.79343750000000013</v>
      </c>
      <c r="AD13" s="1612">
        <f t="shared" si="5"/>
        <v>0.79343750000000013</v>
      </c>
      <c r="AE13" s="1612">
        <f t="shared" si="5"/>
        <v>0.79343750000000013</v>
      </c>
      <c r="AF13" s="1612">
        <f t="shared" si="5"/>
        <v>0.79343750000000013</v>
      </c>
      <c r="AG13" s="1612">
        <f t="shared" si="5"/>
        <v>0.79343750000000013</v>
      </c>
      <c r="AH13" s="1612">
        <f t="shared" si="5"/>
        <v>0.79343750000000013</v>
      </c>
      <c r="AI13" s="1612">
        <f t="shared" si="5"/>
        <v>0.79343750000000013</v>
      </c>
      <c r="AJ13" s="1612">
        <f t="shared" si="5"/>
        <v>0.79343750000000013</v>
      </c>
    </row>
    <row r="14" spans="1:36" ht="15" hidden="1">
      <c r="A14" s="3235"/>
      <c r="B14" s="2766"/>
      <c r="C14" s="2767"/>
      <c r="D14" s="2768"/>
      <c r="E14" s="2768"/>
      <c r="F14" s="2769"/>
      <c r="G14" s="2770" t="s">
        <v>2870</v>
      </c>
      <c r="H14" s="2771"/>
      <c r="I14" s="2772"/>
      <c r="J14" s="2773"/>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hidden="1" thickBot="1">
      <c r="A15" s="3236"/>
      <c r="B15" s="2774" t="s">
        <v>2871</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33" t="s">
        <v>2876</v>
      </c>
      <c r="B16" s="2743" t="s">
        <v>2877</v>
      </c>
      <c r="C16" s="2930">
        <f>ROUND(IF(F17="与级别开发程度一致",0,(G17-E17)/C17),0)</f>
        <v>0</v>
      </c>
      <c r="D16" s="3247" t="s">
        <v>2881</v>
      </c>
      <c r="E16" s="3248"/>
      <c r="F16" s="3247" t="s">
        <v>2878</v>
      </c>
      <c r="G16" s="3248"/>
      <c r="H16" s="2777" t="s">
        <v>3079</v>
      </c>
      <c r="I16" s="2777" t="s">
        <v>3080</v>
      </c>
      <c r="J16" s="2934" t="s">
        <v>3081</v>
      </c>
      <c r="K16" s="2777" t="s">
        <v>3082</v>
      </c>
      <c r="L16" s="2777" t="s">
        <v>3083</v>
      </c>
      <c r="M16" s="2777" t="s">
        <v>3084</v>
      </c>
      <c r="N16" s="2777"/>
      <c r="O16" s="2778"/>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237"/>
      <c r="B17" s="2941" t="s">
        <v>2880</v>
      </c>
      <c r="C17" s="2942">
        <f>SUMPRODUCT((修正!A2:A5=E2)*(修正!B1:M1=G2)*(修正!B2:M5))</f>
        <v>1</v>
      </c>
      <c r="D17" s="228" t="str">
        <f>IF(OR(G2="八级",G2="九级",G2="十级",G2="十一级",G2="十二级"),"五通一平","七通一平")</f>
        <v>五通一平</v>
      </c>
      <c r="E17" s="2931">
        <f>SUMPRODUCT((修正!B1:M1=G2)*(修正!B15:M15))</f>
        <v>155</v>
      </c>
      <c r="F17" s="2932" t="s">
        <v>3078</v>
      </c>
      <c r="G17" s="2933">
        <f>SUM(H17:O17)</f>
        <v>155</v>
      </c>
      <c r="H17" s="2942">
        <f>SUMPRODUCT((七通一平=H16)*(修正!B1:M1=G2)*(修正!B6:M14))</f>
        <v>50</v>
      </c>
      <c r="I17" s="2942">
        <f>SUMPRODUCT((七通一平=I16)*(修正!B1:M1=G2)*(修正!B6:M14))</f>
        <v>40</v>
      </c>
      <c r="J17" s="2943">
        <f>SUMPRODUCT((七通一平=J16)*(修正!B1:M1=G2)*(修正!B6:M14))</f>
        <v>10</v>
      </c>
      <c r="K17" s="2942">
        <f>SUMPRODUCT((七通一平=K16)*(修正!B1:M1=G2)*(修正!B6:M14))</f>
        <v>20</v>
      </c>
      <c r="L17" s="2942">
        <f>SUMPRODUCT((七通一平=L16)*(修正!B1:M1=G2)*(修正!B6:M14))</f>
        <v>25</v>
      </c>
      <c r="M17" s="2942">
        <f>SUMPRODUCT((七通一平=M16)*(修正!B1:M1=G2)*(修正!B6:M14))</f>
        <v>10</v>
      </c>
      <c r="N17" s="2942">
        <f>SUMPRODUCT((七通一平=N16)*(修正!B1:M1=G2)*(修正!B6:M14))</f>
        <v>0</v>
      </c>
      <c r="O17" s="2944">
        <f>SUMPRODUCT((七通一平=O16)*(修正!B1:M1=G2)*(修正!B6:M14))</f>
        <v>0</v>
      </c>
      <c r="Q17" s="1369"/>
      <c r="R17" s="1369"/>
      <c r="S17" s="1369"/>
      <c r="T17" s="1369"/>
      <c r="U17" s="1369"/>
      <c r="V17" s="1369"/>
      <c r="W17" s="1369"/>
      <c r="X17" s="1369"/>
      <c r="Y17" s="1369"/>
      <c r="Z17" s="1370"/>
      <c r="AE17" s="2781"/>
      <c r="AF17" s="2781"/>
      <c r="AG17" s="2718"/>
      <c r="AH17" s="2718"/>
      <c r="AI17" s="2718"/>
      <c r="AJ17" s="2718"/>
    </row>
    <row r="18" spans="1:37" s="2736" customFormat="1" ht="15.75" thickBot="1">
      <c r="A18" s="2935" t="s">
        <v>808</v>
      </c>
      <c r="B18" s="2936" t="s">
        <v>2883</v>
      </c>
      <c r="C18" s="2937">
        <f>SUMIF(修正!C18:C39,E3,修正!E18:E39)</f>
        <v>1</v>
      </c>
      <c r="D18" s="2938"/>
      <c r="E18" s="2939"/>
      <c r="F18" s="2939"/>
      <c r="G18" s="2939"/>
      <c r="H18" s="2939"/>
      <c r="I18" s="2939"/>
      <c r="J18" s="2940"/>
      <c r="K18" s="1376"/>
      <c r="O18" s="1374"/>
      <c r="P18" s="1374"/>
      <c r="Q18" s="1375"/>
      <c r="R18" s="1375"/>
      <c r="S18" s="1375"/>
      <c r="T18" s="1370"/>
      <c r="U18" s="1370"/>
      <c r="V18" s="1370"/>
      <c r="W18" s="1369"/>
      <c r="X18" s="1369"/>
      <c r="Y18" s="1369"/>
      <c r="Z18" s="1376"/>
      <c r="AA18" s="1377"/>
      <c r="AB18" s="1377"/>
      <c r="AC18" s="1377"/>
      <c r="AD18" s="1377"/>
      <c r="AE18" s="1371"/>
      <c r="AF18" s="1371"/>
      <c r="AG18" s="2786"/>
      <c r="AH18" s="2786"/>
      <c r="AI18" s="2786"/>
    </row>
    <row r="19" spans="1:37" s="2736" customFormat="1" ht="29.25" thickBot="1">
      <c r="A19" s="2782" t="s">
        <v>809</v>
      </c>
      <c r="B19" s="2783" t="s">
        <v>2884</v>
      </c>
      <c r="C19" s="923">
        <f>ROUND(IF(H19="按公示增长率计算",SUMPRODUCT((地价!A3:A27=YEAR(G19)&amp;"-"&amp;ROUNDUP(MONTH(G19)/3,0))*(地价!X2:AB2=E2)*(地价!X3:AB27)),IF(H19="地价指数",M20/M19,(1+I19)^O19)),4)</f>
        <v>1.3573</v>
      </c>
      <c r="D19" s="2787" t="s">
        <v>2885</v>
      </c>
      <c r="E19" s="924">
        <v>41640</v>
      </c>
      <c r="F19" s="2787" t="s">
        <v>2886</v>
      </c>
      <c r="G19" s="925">
        <f>'数据-取费表'!B2</f>
        <v>43691</v>
      </c>
      <c r="H19" s="2788" t="s">
        <v>3085</v>
      </c>
      <c r="I19" s="926" t="str">
        <f>IF(H19="季度增幅（自定义）",SUMIF(N21:N24,E2,O21:O24),"")</f>
        <v/>
      </c>
      <c r="J19" s="2785"/>
      <c r="K19" s="1376"/>
      <c r="L19" s="2789" t="s">
        <v>2887</v>
      </c>
      <c r="M19" s="1733">
        <f>ROUND(SUMIF(地价!B2:F2,E2,地价!B27:F27),0)</f>
        <v>230</v>
      </c>
      <c r="N19" s="2790" t="s">
        <v>2888</v>
      </c>
      <c r="O19" s="927">
        <f>ROUNDDOWN(DATEDIF(E19,G19,"M")/3,0)</f>
        <v>22</v>
      </c>
      <c r="P19" s="1373"/>
      <c r="Q19" s="1375"/>
      <c r="R19" s="1375"/>
      <c r="S19" s="1375"/>
      <c r="T19" s="1370"/>
      <c r="U19" s="1370"/>
      <c r="V19" s="1370"/>
      <c r="W19" s="1369"/>
      <c r="X19" s="1369"/>
      <c r="Y19" s="1369"/>
      <c r="Z19" s="1376"/>
      <c r="AA19" s="1377"/>
      <c r="AB19" s="1377"/>
      <c r="AC19" s="1377"/>
      <c r="AD19" s="1377"/>
      <c r="AE19" s="1377"/>
      <c r="AF19" s="2791"/>
      <c r="AG19" s="2792"/>
      <c r="AH19" s="2786"/>
      <c r="AI19" s="2793"/>
      <c r="AJ19" s="2793"/>
      <c r="AK19" s="2793"/>
    </row>
    <row r="20" spans="1:37" s="2736" customFormat="1" ht="27.75" thickBot="1">
      <c r="A20" s="2794" t="s">
        <v>810</v>
      </c>
      <c r="B20" s="2795" t="s">
        <v>2889</v>
      </c>
      <c r="C20" s="928">
        <f ca="1">ROUND(POWER(1+G20,J20-I20)*(POWER(1+G20,I20)-1)/(POWER(1+G20,J20)-1),4)</f>
        <v>0.8135</v>
      </c>
      <c r="D20" s="2796" t="s">
        <v>2890</v>
      </c>
      <c r="E20" s="1767">
        <f ca="1">存贷款利率!D4/100</f>
        <v>4.3499999999999997E-2</v>
      </c>
      <c r="F20" s="2796" t="s">
        <v>2882</v>
      </c>
      <c r="G20" s="933">
        <f ca="1">SUMIF(M26:P26,E2,M28:P28)</f>
        <v>4.8000000000000001E-2</v>
      </c>
      <c r="H20" s="2796" t="s">
        <v>2891</v>
      </c>
      <c r="I20" s="934">
        <f>SUMIF('数据-取费表'!C6:C15,E2,'数据-取费表'!F6:F15)/COUNTIF('数据-取费表'!C6:C15,E2)</f>
        <v>28.36</v>
      </c>
      <c r="J20" s="935">
        <f>IF(E2="住宅",70,IF(E2="商业",40,50))</f>
        <v>50</v>
      </c>
      <c r="K20" s="1376"/>
      <c r="L20" s="2797" t="s">
        <v>2892</v>
      </c>
      <c r="M20" s="1734">
        <f>ROUND(SUMPRODUCT((地价!A4:A27=YEAR(G19)&amp;"-"&amp;ROUNDUP(MONTH(G19)/3,0))*(地价!B2:F2=E2)*(地价!B4:F27)),0)</f>
        <v>312</v>
      </c>
      <c r="N20" s="2798" t="s">
        <v>2893</v>
      </c>
      <c r="O20" s="2799" t="s">
        <v>2894</v>
      </c>
      <c r="P20" s="2800" t="s">
        <v>2895</v>
      </c>
      <c r="R20" s="1375"/>
      <c r="S20" s="1375"/>
      <c r="T20" s="1370"/>
      <c r="U20" s="1370"/>
      <c r="V20" s="1370"/>
      <c r="W20" s="1369"/>
      <c r="X20" s="1369"/>
      <c r="Y20" s="1369"/>
      <c r="Z20" s="1376"/>
      <c r="AA20" s="1377"/>
      <c r="AB20" s="1377"/>
      <c r="AC20" s="1377"/>
      <c r="AD20" s="1377"/>
      <c r="AE20" s="1377"/>
      <c r="AF20" s="1377"/>
    </row>
    <row r="21" spans="1:37" s="2736" customFormat="1" ht="15">
      <c r="A21" s="2801" t="s">
        <v>811</v>
      </c>
      <c r="B21" s="2802" t="s">
        <v>3086</v>
      </c>
      <c r="C21" s="936">
        <f>IF(B21="容积率修正",IF(G3&lt;=10,D22,J22),C23)</f>
        <v>1.0444</v>
      </c>
      <c r="D21" s="2803"/>
      <c r="E21" s="2803"/>
      <c r="F21" s="2803"/>
      <c r="G21" s="2803"/>
      <c r="H21" s="2803"/>
      <c r="I21" s="2803"/>
      <c r="J21" s="2804"/>
      <c r="K21" s="1376"/>
      <c r="N21" s="2805" t="s">
        <v>2896</v>
      </c>
      <c r="O21" s="1560"/>
      <c r="P21" s="1561">
        <f>SUMPRODUCT((地价!A3:A27=YEAR(G19)&amp;"-"&amp;ROUNDUP(MONTH(G19)/3,0))*(地价!AD2:AH2=N21)*(地价!AD3:AH27))</f>
        <v>1.44E-2</v>
      </c>
      <c r="R21" s="1375"/>
      <c r="S21" s="1375"/>
      <c r="T21" s="1370"/>
      <c r="U21" s="1370"/>
      <c r="V21" s="1370"/>
      <c r="W21" s="1369"/>
      <c r="X21" s="1369"/>
      <c r="Y21" s="1369"/>
      <c r="Z21" s="1376"/>
      <c r="AA21" s="1377"/>
      <c r="AB21" s="1377"/>
      <c r="AC21" s="1377"/>
      <c r="AD21" s="1377"/>
      <c r="AE21" s="1377"/>
      <c r="AF21" s="1377"/>
    </row>
    <row r="22" spans="1:37" s="2736" customFormat="1" ht="14.25">
      <c r="A22" s="2662" t="s">
        <v>2897</v>
      </c>
      <c r="B22" s="2806" t="s">
        <v>2898</v>
      </c>
      <c r="C22" s="1809" t="s">
        <v>2899</v>
      </c>
      <c r="D22" s="1809">
        <f>IF(E22=G22,F22,IF(G3&lt;=10,ROUND(F22+(H22-F22)*(G3-E22)/(G22-E22),4),"——"))</f>
        <v>1.0444</v>
      </c>
      <c r="E22" s="915">
        <f>ROUNDDOWN(G3,1)</f>
        <v>0.9</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1.1111</v>
      </c>
      <c r="G22" s="915">
        <f>ROUNDUP(G3,1)</f>
        <v>1</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09" t="s">
        <v>155</v>
      </c>
      <c r="J22" s="937" t="str">
        <f>IF(G3&gt;10,D113,"——")</f>
        <v>——</v>
      </c>
      <c r="K22" s="1376"/>
      <c r="N22" s="2805" t="s">
        <v>2900</v>
      </c>
      <c r="O22" s="1560"/>
      <c r="P22" s="1561">
        <f>SUMPRODUCT((地价!A3:A27=YEAR(G19)&amp;"-"&amp;ROUNDUP(MONTH(G19)/3,0))*(地价!AD2:AH2=N22)*(地价!AD3:AH27))</f>
        <v>1.44E-2</v>
      </c>
      <c r="R22" s="1375"/>
      <c r="S22" s="1375"/>
      <c r="T22" s="1370"/>
      <c r="U22" s="1370"/>
      <c r="V22" s="1370"/>
      <c r="W22" s="1369"/>
      <c r="X22" s="1369"/>
      <c r="Y22" s="1369"/>
      <c r="Z22" s="1376"/>
      <c r="AA22" s="1377"/>
      <c r="AB22" s="1377"/>
      <c r="AC22" s="1377"/>
      <c r="AD22" s="1377"/>
      <c r="AE22" s="1377"/>
      <c r="AF22" s="1377"/>
    </row>
    <row r="23" spans="1:37" ht="27.75" thickBot="1">
      <c r="A23" s="2662" t="s">
        <v>2901</v>
      </c>
      <c r="B23" s="2807" t="s">
        <v>2902</v>
      </c>
      <c r="C23" s="1012">
        <f>ROUND(IF(G3&gt;1,IF(I3&lt;7,SUMPRODUCT((B93:B98=I3)*(C92:N92=G2)*(C93:N98)),SUMIF(C92:N92,G2,C100:N100)),IF(I3&lt;7,SUMPRODUCT((B102:B107=I3)*(C92:N92=G2)*(C102:N107)),SUMIF(C92:N92,G2,C109:N109))),4)</f>
        <v>0</v>
      </c>
      <c r="D23" s="2771"/>
      <c r="E23" s="2771"/>
      <c r="F23" s="2808"/>
      <c r="G23" s="2809"/>
      <c r="H23" s="2810"/>
      <c r="I23" s="2811"/>
      <c r="J23" s="2812"/>
      <c r="K23" s="1369"/>
      <c r="N23" s="2805" t="s">
        <v>2903</v>
      </c>
      <c r="O23" s="1560"/>
      <c r="P23" s="1561">
        <f>SUMPRODUCT((地价!A3:A27=YEAR(G19)&amp;"-"&amp;ROUNDUP(MONTH(G19)/3,0))*(地价!AD2:AH2=N23)*(地价!AD3:AH27))</f>
        <v>2.23E-2</v>
      </c>
      <c r="R23" s="1375"/>
      <c r="S23" s="1375"/>
      <c r="T23" s="1370"/>
      <c r="U23" s="1370"/>
      <c r="V23" s="1370"/>
      <c r="W23" s="1369"/>
      <c r="X23" s="1369"/>
      <c r="Y23" s="1369"/>
      <c r="Z23" s="1376"/>
      <c r="AA23" s="1377"/>
      <c r="AB23" s="1377"/>
      <c r="AC23" s="1377"/>
      <c r="AD23" s="1377"/>
      <c r="AK23" s="2786"/>
    </row>
    <row r="24" spans="1:37" s="2736" customFormat="1" ht="15.75" thickBot="1">
      <c r="A24" s="2794" t="s">
        <v>812</v>
      </c>
      <c r="B24" s="2783" t="s">
        <v>2904</v>
      </c>
      <c r="C24" s="923">
        <f>SUMIF(A45:A88,E2,B45:B88)</f>
        <v>1.0590999999999999</v>
      </c>
      <c r="D24" s="2784"/>
      <c r="E24" s="2813"/>
      <c r="F24" s="2813"/>
      <c r="G24" s="2813"/>
      <c r="H24" s="2813"/>
      <c r="I24" s="2813"/>
      <c r="J24" s="2814"/>
      <c r="K24" s="1376"/>
      <c r="N24" s="2815" t="s">
        <v>2905</v>
      </c>
      <c r="O24" s="1562"/>
      <c r="P24" s="1563">
        <f>SUMPRODUCT((地价!A3:A27=YEAR(G19)&amp;"-"&amp;ROUNDUP(MONTH(G19)/3,0))*(地价!AD2:AH2=N24)*(地价!AD3:AH27))</f>
        <v>1.4E-2</v>
      </c>
      <c r="R24" s="1375"/>
      <c r="S24" s="1375"/>
      <c r="T24" s="1370"/>
      <c r="U24" s="1370"/>
      <c r="V24" s="1370"/>
      <c r="W24" s="1369"/>
      <c r="X24" s="1369"/>
      <c r="Y24" s="1369"/>
      <c r="Z24" s="1376"/>
      <c r="AA24" s="1377"/>
      <c r="AB24" s="1377"/>
      <c r="AC24" s="1377"/>
      <c r="AD24" s="1377"/>
      <c r="AE24" s="1377"/>
      <c r="AF24" s="1377"/>
    </row>
    <row r="25" spans="1:37" ht="15.75" thickBot="1">
      <c r="A25" s="2794" t="s">
        <v>813</v>
      </c>
      <c r="B25" s="2816" t="s">
        <v>2906</v>
      </c>
      <c r="C25" s="929"/>
      <c r="D25" s="2746"/>
      <c r="E25" s="2746"/>
      <c r="F25" s="2817"/>
      <c r="G25" s="2746"/>
      <c r="H25" s="2746"/>
      <c r="I25" s="2746"/>
      <c r="J25" s="2747"/>
      <c r="K25" s="1369"/>
      <c r="N25" s="2818" t="s">
        <v>2907</v>
      </c>
      <c r="O25" s="1564"/>
      <c r="P25" s="1563">
        <f>SUMPRODUCT((地价!A3:A27=YEAR(G19)&amp;"-"&amp;ROUNDUP(MONTH(G19)/3,0))*(地价!AD2:AH2=N25)*(地价!AD3:AH27))</f>
        <v>2.0400000000000001E-2</v>
      </c>
      <c r="R25" s="1375"/>
      <c r="S25" s="1375"/>
      <c r="T25" s="1370"/>
      <c r="U25" s="1370"/>
      <c r="V25" s="1370"/>
      <c r="W25" s="1369"/>
      <c r="X25" s="1369"/>
      <c r="Y25" s="1369"/>
      <c r="Z25" s="1376"/>
      <c r="AA25" s="1377"/>
      <c r="AB25" s="1377"/>
      <c r="AC25" s="1377"/>
      <c r="AD25" s="1377"/>
    </row>
    <row r="26" spans="1:37" ht="15">
      <c r="A26" s="2819"/>
      <c r="B26" s="2806" t="s">
        <v>2908</v>
      </c>
      <c r="C26" s="205">
        <f ca="1">E29+SUM(E33:E39)</f>
        <v>6008</v>
      </c>
      <c r="D26" s="2820"/>
      <c r="E26" s="2771"/>
      <c r="F26" s="2821"/>
      <c r="G26" s="2771"/>
      <c r="H26" s="2771"/>
      <c r="I26" s="2771"/>
      <c r="J26" s="2822"/>
      <c r="K26" s="1369"/>
      <c r="L26" s="2775" t="s">
        <v>2808</v>
      </c>
      <c r="M26" s="919" t="s">
        <v>2872</v>
      </c>
      <c r="N26" s="919" t="s">
        <v>2873</v>
      </c>
      <c r="O26" s="919" t="s">
        <v>2874</v>
      </c>
      <c r="P26" s="2776" t="s">
        <v>2875</v>
      </c>
      <c r="R26" s="1375"/>
      <c r="S26" s="1375"/>
      <c r="T26" s="1370"/>
      <c r="U26" s="1370"/>
      <c r="V26" s="1370"/>
      <c r="W26" s="1369"/>
      <c r="X26" s="1369"/>
      <c r="Y26" s="1369"/>
      <c r="Z26" s="1376"/>
      <c r="AA26" s="1377"/>
      <c r="AB26" s="1377"/>
      <c r="AC26" s="1377"/>
      <c r="AD26" s="1377"/>
    </row>
    <row r="27" spans="1:37" ht="15.75" thickBot="1">
      <c r="A27" s="2819"/>
      <c r="B27" s="2823" t="s">
        <v>2909</v>
      </c>
      <c r="C27" s="930">
        <f ca="1">E30+SUM(I33:I39)</f>
        <v>0</v>
      </c>
      <c r="D27" s="2824"/>
      <c r="E27" s="2825"/>
      <c r="F27" s="2826"/>
      <c r="G27" s="2825"/>
      <c r="H27" s="2825"/>
      <c r="I27" s="2825"/>
      <c r="J27" s="2827"/>
      <c r="K27" s="1369"/>
      <c r="L27" s="2779" t="s">
        <v>2879</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8"/>
      <c r="B28" s="2829" t="s">
        <v>2910</v>
      </c>
      <c r="C28" s="2830" t="s">
        <v>2911</v>
      </c>
      <c r="D28" s="2830" t="s">
        <v>2912</v>
      </c>
      <c r="E28" s="2831" t="s">
        <v>2913</v>
      </c>
      <c r="F28" s="2832"/>
      <c r="G28" s="2759"/>
      <c r="H28" s="2759"/>
      <c r="I28" s="2759"/>
      <c r="J28" s="2760"/>
      <c r="K28" s="1369"/>
      <c r="L28" s="2780" t="s">
        <v>2882</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3"/>
      <c r="B29" s="2834" t="s">
        <v>2914</v>
      </c>
      <c r="C29" s="205">
        <f ca="1">ROUND(C5*C18*C19*C20*C21*C24,0)</f>
        <v>721</v>
      </c>
      <c r="D29" s="3031">
        <v>83329.149999999994</v>
      </c>
      <c r="E29" s="941">
        <f ca="1">ROUND(C29*D29/10000,0)</f>
        <v>6008</v>
      </c>
      <c r="F29" s="2836" t="s">
        <v>2915</v>
      </c>
      <c r="G29" s="2837"/>
      <c r="H29" s="2837"/>
      <c r="I29" s="2837"/>
      <c r="J29" s="2838"/>
      <c r="K29" s="1369"/>
      <c r="L29" s="1369"/>
      <c r="M29" s="1369"/>
      <c r="N29" s="1369"/>
      <c r="O29" s="1374"/>
      <c r="P29" s="1374"/>
      <c r="Q29" s="1375"/>
      <c r="R29" s="1375"/>
      <c r="S29" s="1375"/>
      <c r="T29" s="1370"/>
      <c r="U29" s="1370"/>
      <c r="V29" s="1370"/>
      <c r="W29" s="1369"/>
      <c r="X29" s="1369"/>
      <c r="Y29" s="1369"/>
      <c r="Z29" s="1376"/>
      <c r="AA29" s="1377"/>
      <c r="AB29" s="1377"/>
      <c r="AC29" s="1377"/>
      <c r="AD29" s="1377"/>
      <c r="AE29" s="2781"/>
      <c r="AF29" s="2781"/>
      <c r="AG29" s="2718"/>
      <c r="AH29" s="2718"/>
      <c r="AI29" s="2718"/>
      <c r="AJ29" s="2718"/>
    </row>
    <row r="30" spans="1:37" ht="25.5" thickBot="1">
      <c r="A30" s="2839"/>
      <c r="B30" s="2840" t="s">
        <v>2916</v>
      </c>
      <c r="C30" s="228">
        <f ca="1">ROUND(IF(E2="工业",C29*M39,C29*M38),0)</f>
        <v>108</v>
      </c>
      <c r="D30" s="2841"/>
      <c r="E30" s="941">
        <f ca="1">ROUND(C30*D30/10000,0)</f>
        <v>0</v>
      </c>
      <c r="F30" s="2842" t="s">
        <v>2917</v>
      </c>
      <c r="G30" s="2843"/>
      <c r="H30" s="2843"/>
      <c r="I30" s="2843"/>
      <c r="J30" s="2844"/>
      <c r="K30" s="1369"/>
      <c r="L30" s="1369"/>
      <c r="M30" s="1369"/>
      <c r="N30" s="1369"/>
      <c r="O30" s="1374"/>
      <c r="P30" s="1374"/>
      <c r="Q30" s="1375"/>
      <c r="R30" s="1375"/>
      <c r="S30" s="1375"/>
      <c r="T30" s="1370"/>
      <c r="U30" s="1370"/>
      <c r="V30" s="1370"/>
      <c r="W30" s="1369"/>
      <c r="X30" s="1369"/>
      <c r="Y30" s="1369"/>
      <c r="Z30" s="1376"/>
      <c r="AA30" s="1377"/>
      <c r="AB30" s="1377"/>
      <c r="AC30" s="1377"/>
      <c r="AD30" s="1377"/>
      <c r="AE30" s="2781"/>
      <c r="AF30" s="2781"/>
      <c r="AG30" s="2718"/>
      <c r="AH30" s="2718"/>
      <c r="AI30" s="2718"/>
      <c r="AJ30" s="2718"/>
    </row>
    <row r="31" spans="1:37" ht="14.25">
      <c r="A31" s="2845"/>
      <c r="B31" s="2846" t="s">
        <v>2918</v>
      </c>
      <c r="C31" s="2847" t="s">
        <v>2919</v>
      </c>
      <c r="D31" s="2759"/>
      <c r="E31" s="2847"/>
      <c r="F31" s="2847"/>
      <c r="G31" s="2757" t="s">
        <v>2920</v>
      </c>
      <c r="H31" s="2759"/>
      <c r="I31" s="2848"/>
      <c r="J31" s="2760"/>
      <c r="K31" s="1369"/>
      <c r="L31" s="1369"/>
      <c r="M31" s="1369"/>
      <c r="N31" s="1369"/>
      <c r="O31" s="1374"/>
      <c r="P31" s="1374"/>
      <c r="Q31" s="1375"/>
      <c r="R31" s="1375"/>
      <c r="S31" s="1375"/>
      <c r="T31" s="1370"/>
      <c r="U31" s="1370"/>
      <c r="V31" s="1370"/>
      <c r="W31" s="1369"/>
      <c r="X31" s="1369"/>
      <c r="Y31" s="1369"/>
      <c r="Z31" s="1376"/>
      <c r="AA31" s="1377"/>
      <c r="AB31" s="1377"/>
      <c r="AC31" s="1377"/>
      <c r="AD31" s="1377"/>
      <c r="AE31" s="2781"/>
      <c r="AF31" s="2781"/>
      <c r="AG31" s="2718"/>
      <c r="AH31" s="2718"/>
      <c r="AI31" s="2718"/>
      <c r="AJ31" s="2718"/>
    </row>
    <row r="32" spans="1:37" ht="24">
      <c r="A32" s="2833"/>
      <c r="B32" s="2849"/>
      <c r="C32" s="500" t="s">
        <v>2911</v>
      </c>
      <c r="D32" s="497" t="s">
        <v>2912</v>
      </c>
      <c r="E32" s="497" t="s">
        <v>2913</v>
      </c>
      <c r="F32" s="387" t="s">
        <v>2921</v>
      </c>
      <c r="G32" s="2850" t="s">
        <v>2911</v>
      </c>
      <c r="H32" s="2850" t="s">
        <v>2912</v>
      </c>
      <c r="I32" s="2850" t="s">
        <v>2913</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1"/>
      <c r="AF32" s="2781"/>
      <c r="AG32" s="2718"/>
      <c r="AH32" s="2718"/>
      <c r="AI32" s="2718"/>
      <c r="AJ32" s="2718"/>
    </row>
    <row r="33" spans="1:37" ht="36" customHeight="1">
      <c r="A33" s="3244" t="s">
        <v>2922</v>
      </c>
      <c r="B33" s="2851" t="s">
        <v>2923</v>
      </c>
      <c r="C33" s="205">
        <f ca="1">ROUND(D5*C19*C20*C24*F33,0)</f>
        <v>414</v>
      </c>
      <c r="D33" s="2835"/>
      <c r="E33" s="199">
        <f ca="1">ROUND(C33*D33/10000,0)</f>
        <v>0</v>
      </c>
      <c r="F33" s="199">
        <f>SUMIF(修正!A45:A56,G2,修正!B45:B56)</f>
        <v>0.6</v>
      </c>
      <c r="G33" s="199">
        <f t="shared" ref="G33" ca="1" si="6">ROUND(IF(E2="工业",C33*$M$39,C33*$M$38),0)</f>
        <v>62</v>
      </c>
      <c r="H33" s="199">
        <f>D33</f>
        <v>0</v>
      </c>
      <c r="I33" s="199">
        <f ca="1">ROUND(G33*H33/10000,0)</f>
        <v>0</v>
      </c>
      <c r="J33" s="2852"/>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45"/>
      <c r="B34" s="2763" t="s">
        <v>2924</v>
      </c>
      <c r="C34" s="205">
        <f ca="1">ROUND(D5*C19*C20*C24*F34,0)</f>
        <v>207</v>
      </c>
      <c r="D34" s="2835"/>
      <c r="E34" s="199">
        <f t="shared" ref="E34:E39" ca="1" si="7">ROUND(C34*D34/10000,0)</f>
        <v>0</v>
      </c>
      <c r="F34" s="199">
        <f>SUMIF(修正!A45:A56,G2,修正!C45:C56)</f>
        <v>0.3</v>
      </c>
      <c r="G34" s="199">
        <f ca="1">ROUND(IF(E2="工业",C34*$M$39,C34*$M$38),0)</f>
        <v>31</v>
      </c>
      <c r="H34" s="199">
        <f t="shared" ref="H34:H39" si="8">D34</f>
        <v>0</v>
      </c>
      <c r="I34" s="199">
        <f t="shared" ref="I34:I39" ca="1" si="9">ROUND(G34*H34/10000,0)</f>
        <v>0</v>
      </c>
      <c r="J34" s="2852"/>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45"/>
      <c r="B35" s="2763" t="s">
        <v>2925</v>
      </c>
      <c r="C35" s="205">
        <f ca="1">ROUND(D5*C19*C20*C24*F35,0)</f>
        <v>138</v>
      </c>
      <c r="D35" s="2835"/>
      <c r="E35" s="199">
        <f t="shared" ca="1" si="7"/>
        <v>0</v>
      </c>
      <c r="F35" s="199">
        <f>SUMIF(修正!A45:A56,G2,修正!D45:D56)</f>
        <v>0.2</v>
      </c>
      <c r="G35" s="199">
        <f ca="1">ROUND(IF(E2="工业",C35*$M$39,C35*$M$38),0)</f>
        <v>21</v>
      </c>
      <c r="H35" s="199">
        <f t="shared" si="8"/>
        <v>0</v>
      </c>
      <c r="I35" s="199">
        <f t="shared" ca="1" si="9"/>
        <v>0</v>
      </c>
      <c r="J35" s="2852"/>
      <c r="K35" s="1369"/>
      <c r="L35" s="1369"/>
      <c r="M35" s="1369"/>
      <c r="N35" s="1369"/>
      <c r="O35" s="1369"/>
      <c r="P35" s="1369"/>
      <c r="Q35" s="1369"/>
      <c r="R35" s="1369"/>
      <c r="S35" s="1369"/>
      <c r="T35" s="1369"/>
      <c r="U35" s="1369"/>
      <c r="V35" s="1369"/>
      <c r="W35" s="1369"/>
      <c r="X35" s="1369"/>
      <c r="Y35" s="1369"/>
      <c r="Z35" s="1370"/>
    </row>
    <row r="36" spans="1:37" ht="13.5" thickBot="1">
      <c r="A36" s="3246"/>
      <c r="B36" s="2763" t="s">
        <v>2926</v>
      </c>
      <c r="C36" s="205">
        <f ca="1">ROUND(D5*C19*C20*C24*F36,0)</f>
        <v>138</v>
      </c>
      <c r="D36" s="2835"/>
      <c r="E36" s="199">
        <f t="shared" ca="1" si="7"/>
        <v>0</v>
      </c>
      <c r="F36" s="199">
        <f>SUMIF(修正!A45:A56,G2,修正!E45:E56)</f>
        <v>0.2</v>
      </c>
      <c r="G36" s="199">
        <f ca="1">ROUND(IF(E2="工业",C36*$M$39,C36*$M$38),0)</f>
        <v>21</v>
      </c>
      <c r="H36" s="199">
        <f t="shared" si="8"/>
        <v>0</v>
      </c>
      <c r="I36" s="199">
        <f t="shared" ca="1" si="9"/>
        <v>0</v>
      </c>
      <c r="J36" s="2852"/>
      <c r="K36" s="1369"/>
      <c r="L36" s="2717"/>
      <c r="M36" s="2717"/>
      <c r="N36" s="1369"/>
      <c r="O36" s="1369"/>
      <c r="P36" s="1369"/>
      <c r="Q36" s="1369"/>
      <c r="R36" s="1369"/>
      <c r="S36" s="1369"/>
      <c r="T36" s="1369"/>
      <c r="U36" s="1369"/>
      <c r="V36" s="1369"/>
      <c r="W36" s="1369"/>
      <c r="X36" s="1369"/>
      <c r="Y36" s="1369"/>
      <c r="Z36" s="1370"/>
    </row>
    <row r="37" spans="1:37">
      <c r="A37" s="2853"/>
      <c r="B37" s="2763" t="s">
        <v>2927</v>
      </c>
      <c r="C37" s="199">
        <f ca="1">ROUND(D5*C19*C20*C24*F37,0)</f>
        <v>138</v>
      </c>
      <c r="D37" s="2835"/>
      <c r="E37" s="199">
        <f t="shared" ca="1" si="7"/>
        <v>0</v>
      </c>
      <c r="F37" s="205">
        <f>SUMIF(修正!A45:A56,G2,修正!F45:F56)</f>
        <v>0.2</v>
      </c>
      <c r="G37" s="199">
        <f ca="1">ROUND(IF(E2="工业",C37*$M$39,C37*$M$38),0)</f>
        <v>21</v>
      </c>
      <c r="H37" s="199">
        <f t="shared" si="8"/>
        <v>0</v>
      </c>
      <c r="I37" s="199">
        <f t="shared" ca="1" si="9"/>
        <v>0</v>
      </c>
      <c r="J37" s="2852"/>
      <c r="K37" s="1369"/>
      <c r="L37" s="2854" t="s">
        <v>2928</v>
      </c>
      <c r="M37" s="2855"/>
      <c r="N37" s="1369"/>
      <c r="O37" s="1369"/>
      <c r="P37" s="1369"/>
      <c r="Q37" s="1369"/>
      <c r="R37" s="1369"/>
      <c r="S37" s="1369"/>
      <c r="T37" s="1369"/>
      <c r="U37" s="1369"/>
      <c r="V37" s="1369"/>
      <c r="W37" s="1369"/>
      <c r="X37" s="1369"/>
      <c r="Y37" s="1369"/>
      <c r="Z37" s="1370"/>
    </row>
    <row r="38" spans="1:37">
      <c r="A38" s="2853"/>
      <c r="B38" s="2763" t="s">
        <v>2929</v>
      </c>
      <c r="C38" s="199">
        <f ca="1">ROUND(D5*C19*C41*C24*F38,0)</f>
        <v>0</v>
      </c>
      <c r="D38" s="2835"/>
      <c r="E38" s="199">
        <f t="shared" ca="1" si="7"/>
        <v>0</v>
      </c>
      <c r="F38" s="205">
        <f>SUMIF(修正!A45:A56,G2,修正!G45:G56)</f>
        <v>0.2</v>
      </c>
      <c r="G38" s="199">
        <f ca="1">ROUND(IF(E2="工业",C38*$M$39,C38*$M$38),0)</f>
        <v>0</v>
      </c>
      <c r="H38" s="199">
        <f t="shared" si="8"/>
        <v>0</v>
      </c>
      <c r="I38" s="199">
        <f t="shared" ca="1" si="9"/>
        <v>0</v>
      </c>
      <c r="J38" s="2852"/>
      <c r="K38" s="1369"/>
      <c r="L38" s="1886" t="s">
        <v>2930</v>
      </c>
      <c r="M38" s="2856">
        <v>0.25</v>
      </c>
      <c r="N38" s="1369"/>
      <c r="O38" s="1369"/>
      <c r="P38" s="1369"/>
      <c r="Q38" s="1369"/>
      <c r="R38" s="1369"/>
      <c r="S38" s="1369"/>
      <c r="T38" s="1369"/>
      <c r="U38" s="1369"/>
      <c r="V38" s="1369"/>
      <c r="W38" s="1369"/>
      <c r="X38" s="1369"/>
      <c r="Y38" s="1369"/>
      <c r="Z38" s="1370"/>
    </row>
    <row r="39" spans="1:37" ht="13.5" thickBot="1">
      <c r="A39" s="2839"/>
      <c r="B39" s="2857" t="s">
        <v>2931</v>
      </c>
      <c r="C39" s="228">
        <f ca="1">ROUND(D5*C19*C41*C24*F39,0)</f>
        <v>0</v>
      </c>
      <c r="D39" s="2841"/>
      <c r="E39" s="228">
        <f t="shared" ca="1" si="7"/>
        <v>0</v>
      </c>
      <c r="F39" s="931">
        <f>SUMIF(修正!A45:A56,G2,修正!H45:H56)</f>
        <v>0.15</v>
      </c>
      <c r="G39" s="228">
        <f ca="1">ROUND(IF(E2="工业",C39*$M$39,C39*$M$38),0)</f>
        <v>0</v>
      </c>
      <c r="H39" s="228">
        <f t="shared" si="8"/>
        <v>0</v>
      </c>
      <c r="I39" s="228">
        <f t="shared" ca="1" si="9"/>
        <v>0</v>
      </c>
      <c r="J39" s="2858"/>
      <c r="K39" s="1369"/>
      <c r="L39" s="2859" t="s">
        <v>2875</v>
      </c>
      <c r="M39" s="2860">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8" t="s">
        <v>3042</v>
      </c>
      <c r="C41" s="387">
        <f ca="1">ROUND(POWER(1+E41,H41-G41)*(POWER(1+E41,G41)-1)/(POWER(1+E41,H41)-1),4)</f>
        <v>0</v>
      </c>
      <c r="D41" s="199" t="s">
        <v>2882</v>
      </c>
      <c r="E41" s="2927">
        <f ca="1">G20</f>
        <v>4.8000000000000001E-2</v>
      </c>
      <c r="F41" s="199" t="s">
        <v>2891</v>
      </c>
      <c r="G41" s="217"/>
      <c r="H41" s="199">
        <v>50</v>
      </c>
      <c r="Z41" s="1370"/>
      <c r="AA41" s="1370"/>
      <c r="AB41" s="1370"/>
      <c r="AC41" s="1370"/>
      <c r="AD41" s="1370"/>
      <c r="AE41" s="1370"/>
      <c r="AF41" s="1370"/>
      <c r="AG41" s="1370"/>
      <c r="AH41" s="1370"/>
      <c r="AI41" s="1370"/>
      <c r="AJ41" s="1370"/>
    </row>
    <row r="42" spans="1:37" s="1369" customFormat="1">
      <c r="A42" s="1370"/>
      <c r="B42" s="2861"/>
      <c r="Z42" s="1370"/>
      <c r="AA42" s="1370"/>
      <c r="AB42" s="1370"/>
      <c r="AC42" s="1370"/>
      <c r="AD42" s="1370"/>
      <c r="AE42" s="1370"/>
      <c r="AF42" s="1370"/>
      <c r="AG42" s="1370"/>
      <c r="AH42" s="1370"/>
      <c r="AI42" s="1370"/>
      <c r="AJ42" s="1370"/>
    </row>
    <row r="43" spans="1:37" s="1369" customFormat="1">
      <c r="A43" s="1370"/>
      <c r="B43" s="2861"/>
      <c r="Z43" s="1370"/>
      <c r="AA43" s="1370"/>
      <c r="AB43" s="1370"/>
      <c r="AC43" s="1370"/>
      <c r="AD43" s="1370"/>
      <c r="AE43" s="1370"/>
      <c r="AF43" s="1370"/>
      <c r="AG43" s="1370"/>
      <c r="AH43" s="1370"/>
      <c r="AI43" s="1370"/>
      <c r="AJ43" s="1370"/>
    </row>
    <row r="44" spans="1:37" s="1369" customFormat="1">
      <c r="A44" s="1370"/>
      <c r="B44" s="2861"/>
      <c r="Z44" s="1370"/>
      <c r="AA44" s="1370"/>
      <c r="AB44" s="1370"/>
      <c r="AC44" s="1370"/>
      <c r="AD44" s="1370"/>
      <c r="AE44" s="1370"/>
      <c r="AF44" s="1370"/>
      <c r="AG44" s="1370"/>
      <c r="AH44" s="1370"/>
      <c r="AI44" s="1370"/>
      <c r="AJ44" s="1370"/>
    </row>
    <row r="45" spans="1:37" s="1369" customFormat="1" ht="15.75" thickBot="1">
      <c r="A45" s="2862" t="s">
        <v>2932</v>
      </c>
      <c r="B45" s="2863"/>
      <c r="C45" s="7"/>
      <c r="D45" s="7"/>
      <c r="E45" s="7"/>
      <c r="F45" s="6"/>
      <c r="G45" s="6"/>
      <c r="H45" s="6"/>
      <c r="I45" s="7"/>
      <c r="J45" s="7"/>
      <c r="K45" s="7"/>
      <c r="L45" s="7"/>
      <c r="M45" s="7"/>
      <c r="N45" s="2781"/>
      <c r="Z45" s="1370"/>
      <c r="AA45" s="1370"/>
      <c r="AB45" s="1370"/>
      <c r="AC45" s="1370"/>
      <c r="AD45" s="1370"/>
      <c r="AE45" s="1370"/>
      <c r="AF45" s="1370"/>
      <c r="AG45" s="1370"/>
      <c r="AH45" s="1370"/>
      <c r="AI45" s="1370"/>
      <c r="AJ45" s="1370"/>
    </row>
    <row r="46" spans="1:37" s="1369" customFormat="1" ht="15" hidden="1">
      <c r="A46" s="2864" t="s">
        <v>2933</v>
      </c>
      <c r="B46" s="2865">
        <f>1+E48</f>
        <v>1</v>
      </c>
      <c r="C46" s="2866"/>
      <c r="D46" s="813"/>
      <c r="E46" s="814"/>
      <c r="F46" s="2867"/>
      <c r="G46" s="6"/>
      <c r="H46" s="7"/>
      <c r="I46" s="7"/>
      <c r="J46" s="7"/>
      <c r="K46" s="7"/>
      <c r="L46" s="7"/>
      <c r="M46" s="7"/>
      <c r="N46" s="2781"/>
      <c r="Z46" s="1370"/>
      <c r="AA46" s="1370"/>
      <c r="AB46" s="1370"/>
      <c r="AC46" s="1370"/>
      <c r="AD46" s="1370"/>
      <c r="AE46" s="1370"/>
      <c r="AF46" s="1370"/>
      <c r="AG46" s="1370"/>
      <c r="AH46" s="1370"/>
      <c r="AI46" s="1370"/>
      <c r="AJ46" s="1370"/>
    </row>
    <row r="47" spans="1:37" s="1369" customFormat="1" ht="24.75" hidden="1">
      <c r="A47" s="2868" t="s">
        <v>2934</v>
      </c>
      <c r="B47" s="1808" t="s">
        <v>2935</v>
      </c>
      <c r="C47" s="1808" t="s">
        <v>2936</v>
      </c>
      <c r="D47" s="1808" t="s">
        <v>2937</v>
      </c>
      <c r="E47" s="818" t="s">
        <v>2938</v>
      </c>
      <c r="F47" s="2869" t="s">
        <v>2939</v>
      </c>
      <c r="G47" s="1808" t="s">
        <v>754</v>
      </c>
      <c r="H47" s="2870" t="s">
        <v>2940</v>
      </c>
      <c r="I47" s="1808" t="s">
        <v>2941</v>
      </c>
      <c r="J47" s="602" t="s">
        <v>2591</v>
      </c>
      <c r="K47" s="602" t="s">
        <v>2592</v>
      </c>
      <c r="L47" s="602" t="s">
        <v>2593</v>
      </c>
      <c r="M47" s="602" t="s">
        <v>2594</v>
      </c>
      <c r="N47" s="602" t="s">
        <v>2595</v>
      </c>
      <c r="AA47" s="1370"/>
      <c r="AB47" s="1370"/>
      <c r="AC47" s="1370"/>
      <c r="AD47" s="1370"/>
      <c r="AE47" s="1370"/>
      <c r="AF47" s="1370"/>
      <c r="AG47" s="1370"/>
      <c r="AH47" s="1370"/>
      <c r="AI47" s="1370"/>
      <c r="AJ47" s="1370"/>
      <c r="AK47" s="1370"/>
    </row>
    <row r="48" spans="1:37" s="1369" customFormat="1" ht="38.25" hidden="1">
      <c r="A48" s="2868" t="s">
        <v>2942</v>
      </c>
      <c r="B48" s="2871" t="str">
        <f>估价对象房地状况!C4</f>
        <v>估价对象位于XX商圈，周边商业氛围成熟，人流量大，商业繁华度好</v>
      </c>
      <c r="C48" s="2768"/>
      <c r="D48" s="1285">
        <f t="shared" ref="D48:D56" si="10">SUMIF($J$47:$N$47,C48,J48:N48)</f>
        <v>0</v>
      </c>
      <c r="E48" s="820">
        <f>ROUND(SUM(D48:D56),4)</f>
        <v>0</v>
      </c>
      <c r="F48" s="2499"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hidden="1">
      <c r="A49" s="2868" t="s">
        <v>2943</v>
      </c>
      <c r="B49" s="2872" t="str">
        <f>估价对象房地状况!C18</f>
        <v>估价对象周边道路状况、公共交通通达情况、停车便捷程度，综合评价交通便捷度较好</v>
      </c>
      <c r="C49" s="2768"/>
      <c r="D49" s="1285">
        <f t="shared" si="10"/>
        <v>0</v>
      </c>
      <c r="E49" s="821"/>
      <c r="F49" s="2499"/>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hidden="1">
      <c r="A50" s="2868" t="s">
        <v>2944</v>
      </c>
      <c r="B50" s="2872">
        <f>估价对象房地状况!C19</f>
        <v>0</v>
      </c>
      <c r="C50" s="2768"/>
      <c r="D50" s="1285">
        <f t="shared" si="10"/>
        <v>0</v>
      </c>
      <c r="E50" s="821"/>
      <c r="F50" s="2499"/>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hidden="1">
      <c r="A51" s="2868" t="s">
        <v>2945</v>
      </c>
      <c r="B51" s="2873" t="s">
        <v>2946</v>
      </c>
      <c r="C51" s="2768"/>
      <c r="D51" s="1285">
        <f t="shared" si="10"/>
        <v>0</v>
      </c>
      <c r="E51" s="821"/>
      <c r="F51" s="2499"/>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hidden="1">
      <c r="A52" s="2868" t="s">
        <v>2947</v>
      </c>
      <c r="B52" s="2872">
        <f>估价对象房地状况!C24</f>
        <v>0</v>
      </c>
      <c r="C52" s="2768"/>
      <c r="D52" s="1285">
        <f t="shared" si="10"/>
        <v>0</v>
      </c>
      <c r="E52" s="821"/>
      <c r="F52" s="2499"/>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hidden="1">
      <c r="A53" s="2868" t="s">
        <v>2948</v>
      </c>
      <c r="B53" s="2874" t="s">
        <v>2949</v>
      </c>
      <c r="C53" s="2768"/>
      <c r="D53" s="1285">
        <f t="shared" si="10"/>
        <v>0</v>
      </c>
      <c r="E53" s="821"/>
      <c r="F53" s="2499"/>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hidden="1">
      <c r="A54" s="2875" t="s">
        <v>2950</v>
      </c>
      <c r="B54" s="1724" t="str">
        <f>估价对象房地状况!C21</f>
        <v>估价对象所在区域公共配套设施齐备情况</v>
      </c>
      <c r="C54" s="2768"/>
      <c r="D54" s="1285">
        <f t="shared" si="10"/>
        <v>0</v>
      </c>
      <c r="E54" s="821"/>
      <c r="F54" s="2499"/>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hidden="1">
      <c r="A55" s="2875" t="s">
        <v>2951</v>
      </c>
      <c r="B55" s="2872" t="str">
        <f>估价对象房地状况!C22</f>
        <v>估价对象所在区域基础设施水平</v>
      </c>
      <c r="C55" s="2768"/>
      <c r="D55" s="1285">
        <f t="shared" si="10"/>
        <v>0</v>
      </c>
      <c r="E55" s="821"/>
      <c r="F55" s="2499"/>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hidden="1" thickBot="1">
      <c r="A56" s="2876" t="s">
        <v>2952</v>
      </c>
      <c r="B56" s="2877" t="str">
        <f>估价对象房地状况!C20</f>
        <v>区域自然环境：；人文环境；综合评价环境状况一般</v>
      </c>
      <c r="C56" s="2768"/>
      <c r="D56" s="1285">
        <f t="shared" si="10"/>
        <v>0</v>
      </c>
      <c r="E56" s="824"/>
      <c r="F56" s="2499"/>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hidden="1">
      <c r="A57" s="2864" t="s">
        <v>2953</v>
      </c>
      <c r="B57" s="2865">
        <f>1+E59</f>
        <v>1</v>
      </c>
      <c r="C57" s="813"/>
      <c r="D57" s="813"/>
      <c r="E57" s="814"/>
      <c r="F57" s="2867"/>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hidden="1">
      <c r="A58" s="2868" t="s">
        <v>2934</v>
      </c>
      <c r="B58" s="1808"/>
      <c r="C58" s="1808" t="s">
        <v>2936</v>
      </c>
      <c r="D58" s="1808" t="s">
        <v>2937</v>
      </c>
      <c r="E58" s="818" t="s">
        <v>2938</v>
      </c>
      <c r="F58" s="2869" t="s">
        <v>2954</v>
      </c>
      <c r="G58" s="1808" t="s">
        <v>754</v>
      </c>
      <c r="H58" s="2870" t="s">
        <v>2940</v>
      </c>
      <c r="I58" s="1808" t="s">
        <v>2941</v>
      </c>
      <c r="J58" s="602" t="s">
        <v>2591</v>
      </c>
      <c r="K58" s="602" t="s">
        <v>2592</v>
      </c>
      <c r="L58" s="602" t="s">
        <v>2593</v>
      </c>
      <c r="M58" s="602" t="s">
        <v>2594</v>
      </c>
      <c r="N58" s="602" t="s">
        <v>2595</v>
      </c>
      <c r="AA58" s="1370"/>
      <c r="AB58" s="1370"/>
      <c r="AC58" s="1370"/>
      <c r="AD58" s="1370"/>
      <c r="AE58" s="1370"/>
      <c r="AF58" s="1370"/>
      <c r="AG58" s="1370"/>
      <c r="AH58" s="1370"/>
      <c r="AI58" s="1370"/>
      <c r="AJ58" s="1370"/>
      <c r="AK58" s="1370"/>
    </row>
    <row r="59" spans="1:37" s="1369" customFormat="1" ht="38.25" hidden="1">
      <c r="A59" s="2868" t="s">
        <v>2955</v>
      </c>
      <c r="B59" s="2871" t="str">
        <f>估价对象房地状况!C17</f>
        <v>估价对象位于XX商圈，周边办公楼项目较多，入驻率高，办公集聚程度较好</v>
      </c>
      <c r="C59" s="2768"/>
      <c r="D59" s="1285">
        <f t="shared" ref="D59:D67" si="15">SUMIF($J$58:$N$58,C59,J59:N59)</f>
        <v>0</v>
      </c>
      <c r="E59" s="820">
        <f>ROUND(SUM(D59:D67),4)</f>
        <v>0</v>
      </c>
      <c r="F59" s="2499"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hidden="1">
      <c r="A60" s="2868" t="s">
        <v>2943</v>
      </c>
      <c r="B60" s="2872" t="str">
        <f>估价对象房地状况!C18</f>
        <v>估价对象周边道路状况、公共交通通达情况、停车便捷程度，综合评价交通便捷度较好</v>
      </c>
      <c r="C60" s="2768"/>
      <c r="D60" s="1285">
        <f t="shared" si="15"/>
        <v>0</v>
      </c>
      <c r="E60" s="821"/>
      <c r="F60" s="2499"/>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hidden="1">
      <c r="A61" s="2868" t="s">
        <v>2944</v>
      </c>
      <c r="B61" s="2872">
        <f>估价对象房地状况!C19</f>
        <v>0</v>
      </c>
      <c r="C61" s="2768"/>
      <c r="D61" s="1285">
        <f t="shared" si="15"/>
        <v>0</v>
      </c>
      <c r="E61" s="821"/>
      <c r="F61" s="2499"/>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hidden="1">
      <c r="A62" s="2868" t="s">
        <v>2945</v>
      </c>
      <c r="B62" s="2873" t="s">
        <v>2946</v>
      </c>
      <c r="C62" s="2768"/>
      <c r="D62" s="1285">
        <f t="shared" si="15"/>
        <v>0</v>
      </c>
      <c r="E62" s="821"/>
      <c r="F62" s="2499"/>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hidden="1">
      <c r="A63" s="2868" t="s">
        <v>2947</v>
      </c>
      <c r="B63" s="2872">
        <f>估价对象房地状况!C24</f>
        <v>0</v>
      </c>
      <c r="C63" s="2768"/>
      <c r="D63" s="1285">
        <f t="shared" si="15"/>
        <v>0</v>
      </c>
      <c r="E63" s="821"/>
      <c r="F63" s="2499"/>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hidden="1">
      <c r="A64" s="2868" t="s">
        <v>2948</v>
      </c>
      <c r="B64" s="2874" t="s">
        <v>2949</v>
      </c>
      <c r="C64" s="2768"/>
      <c r="D64" s="1285">
        <f t="shared" si="15"/>
        <v>0</v>
      </c>
      <c r="E64" s="821"/>
      <c r="F64" s="2499"/>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hidden="1">
      <c r="A65" s="2868" t="s">
        <v>2950</v>
      </c>
      <c r="B65" s="1724" t="str">
        <f>估价对象房地状况!C21</f>
        <v>估价对象所在区域公共配套设施齐备情况</v>
      </c>
      <c r="C65" s="2768"/>
      <c r="D65" s="1285">
        <f t="shared" si="15"/>
        <v>0</v>
      </c>
      <c r="E65" s="821"/>
      <c r="F65" s="2499"/>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hidden="1">
      <c r="A66" s="2868" t="s">
        <v>2951</v>
      </c>
      <c r="B66" s="1724" t="str">
        <f>估价对象房地状况!C22</f>
        <v>估价对象所在区域基础设施水平</v>
      </c>
      <c r="C66" s="2768"/>
      <c r="D66" s="1285">
        <f t="shared" si="15"/>
        <v>0</v>
      </c>
      <c r="E66" s="821"/>
      <c r="F66" s="2499"/>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hidden="1" thickBot="1">
      <c r="A67" s="2876" t="s">
        <v>2952</v>
      </c>
      <c r="B67" s="2878" t="str">
        <f>估价对象房地状况!C20</f>
        <v>区域自然环境：；人文环境；综合评价环境状况一般</v>
      </c>
      <c r="C67" s="2768"/>
      <c r="D67" s="1285">
        <f t="shared" si="15"/>
        <v>0</v>
      </c>
      <c r="E67" s="824"/>
      <c r="F67" s="2499"/>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hidden="1">
      <c r="A68" s="2864" t="s">
        <v>2956</v>
      </c>
      <c r="B68" s="2865">
        <f>1+E70</f>
        <v>1</v>
      </c>
      <c r="C68" s="813"/>
      <c r="D68" s="813"/>
      <c r="E68" s="814"/>
      <c r="F68" s="2867"/>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hidden="1">
      <c r="A69" s="2868" t="s">
        <v>2934</v>
      </c>
      <c r="B69" s="1808"/>
      <c r="C69" s="1808" t="s">
        <v>2936</v>
      </c>
      <c r="D69" s="1808" t="s">
        <v>2937</v>
      </c>
      <c r="E69" s="818" t="s">
        <v>2938</v>
      </c>
      <c r="F69" s="2869" t="s">
        <v>2954</v>
      </c>
      <c r="G69" s="1808" t="s">
        <v>754</v>
      </c>
      <c r="H69" s="2870" t="s">
        <v>2940</v>
      </c>
      <c r="I69" s="1808" t="s">
        <v>2941</v>
      </c>
      <c r="J69" s="602" t="s">
        <v>2591</v>
      </c>
      <c r="K69" s="602" t="s">
        <v>2592</v>
      </c>
      <c r="L69" s="602" t="s">
        <v>2593</v>
      </c>
      <c r="M69" s="602" t="s">
        <v>2594</v>
      </c>
      <c r="N69" s="602" t="s">
        <v>2595</v>
      </c>
      <c r="AA69" s="1370"/>
      <c r="AB69" s="1370"/>
      <c r="AC69" s="1370"/>
      <c r="AD69" s="1370"/>
      <c r="AE69" s="1370"/>
      <c r="AF69" s="1370"/>
      <c r="AG69" s="1370"/>
      <c r="AH69" s="1370"/>
      <c r="AI69" s="1370"/>
      <c r="AJ69" s="1370"/>
      <c r="AK69" s="1370"/>
    </row>
    <row r="70" spans="1:37" s="1369" customFormat="1" ht="51" hidden="1">
      <c r="A70" s="2868" t="s">
        <v>2957</v>
      </c>
      <c r="B70" s="2871" t="str">
        <f>估价对象房地状况!C15</f>
        <v>估价对象周边居住用地比例、居住小区规模和社区发展完善程度，综合评价居住社区成熟度一般</v>
      </c>
      <c r="C70" s="2768"/>
      <c r="D70" s="1285">
        <f t="shared" ref="D70:D78" si="20">SUMIF($J$69:$N$69,C70,J70:N70)</f>
        <v>0</v>
      </c>
      <c r="E70" s="820">
        <f>ROUND(SUM(D70:D78),4)</f>
        <v>0</v>
      </c>
      <c r="F70" s="2499"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hidden="1">
      <c r="A71" s="2868" t="s">
        <v>2943</v>
      </c>
      <c r="B71" s="2872" t="str">
        <f>估价对象房地状况!C18</f>
        <v>估价对象周边道路状况、公共交通通达情况、停车便捷程度，综合评价交通便捷度较好</v>
      </c>
      <c r="C71" s="2768"/>
      <c r="D71" s="1285">
        <f t="shared" si="20"/>
        <v>0</v>
      </c>
      <c r="E71" s="825"/>
      <c r="F71" s="2499"/>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hidden="1">
      <c r="A72" s="2868" t="s">
        <v>2944</v>
      </c>
      <c r="B72" s="2872">
        <f>估价对象房地状况!C19</f>
        <v>0</v>
      </c>
      <c r="C72" s="2768"/>
      <c r="D72" s="1285">
        <f t="shared" si="20"/>
        <v>0</v>
      </c>
      <c r="E72" s="825"/>
      <c r="F72" s="2499"/>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hidden="1">
      <c r="A73" s="2868" t="s">
        <v>2958</v>
      </c>
      <c r="B73" s="2872">
        <f>估价对象房地状况!C24</f>
        <v>0</v>
      </c>
      <c r="C73" s="2768"/>
      <c r="D73" s="1285">
        <f t="shared" si="20"/>
        <v>0</v>
      </c>
      <c r="E73" s="825"/>
      <c r="F73" s="2499"/>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hidden="1">
      <c r="A74" s="2868" t="s">
        <v>2950</v>
      </c>
      <c r="B74" s="1724" t="str">
        <f>估价对象房地状况!C21</f>
        <v>估价对象所在区域公共配套设施齐备情况</v>
      </c>
      <c r="C74" s="2768"/>
      <c r="D74" s="1285">
        <f t="shared" si="20"/>
        <v>0</v>
      </c>
      <c r="E74" s="825"/>
      <c r="F74" s="2499"/>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hidden="1">
      <c r="A75" s="2868" t="s">
        <v>2951</v>
      </c>
      <c r="B75" s="1724" t="str">
        <f>估价对象房地状况!C22</f>
        <v>估价对象所在区域基础设施水平</v>
      </c>
      <c r="C75" s="2768"/>
      <c r="D75" s="1285">
        <f t="shared" si="20"/>
        <v>0</v>
      </c>
      <c r="E75" s="825"/>
      <c r="F75" s="2499"/>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7" customFormat="1" ht="24" hidden="1">
      <c r="A76" s="2868" t="s">
        <v>2948</v>
      </c>
      <c r="B76" s="2874" t="s">
        <v>2949</v>
      </c>
      <c r="C76" s="2768"/>
      <c r="D76" s="1285">
        <f t="shared" si="20"/>
        <v>0</v>
      </c>
      <c r="E76" s="825"/>
      <c r="F76" s="2499"/>
      <c r="G76" s="1283"/>
      <c r="H76" s="1287" t="str">
        <f t="shared" si="21"/>
        <v>——</v>
      </c>
      <c r="I76" s="819">
        <v>0.05</v>
      </c>
      <c r="J76" s="1284">
        <f t="shared" si="22"/>
        <v>0</v>
      </c>
      <c r="K76" s="1284">
        <f t="shared" si="23"/>
        <v>0</v>
      </c>
      <c r="L76" s="1284">
        <v>0</v>
      </c>
      <c r="M76" s="1284">
        <f t="shared" si="24"/>
        <v>0</v>
      </c>
      <c r="N76" s="1284">
        <f t="shared" si="24"/>
        <v>0</v>
      </c>
      <c r="AA76" s="2879"/>
      <c r="AB76" s="1370"/>
      <c r="AC76" s="1370"/>
      <c r="AD76" s="1370"/>
      <c r="AE76" s="1370"/>
      <c r="AF76" s="1370"/>
      <c r="AG76" s="1370"/>
      <c r="AH76" s="2879"/>
      <c r="AI76" s="2879"/>
      <c r="AJ76" s="2879"/>
      <c r="AK76" s="2879"/>
    </row>
    <row r="77" spans="1:37" ht="38.25" hidden="1">
      <c r="A77" s="2868" t="s">
        <v>2952</v>
      </c>
      <c r="B77" s="2871" t="str">
        <f>估价对象房地状况!C20</f>
        <v>区域自然环境：；人文环境；综合评价环境状况一般</v>
      </c>
      <c r="C77" s="2768"/>
      <c r="D77" s="1285">
        <f t="shared" si="20"/>
        <v>0</v>
      </c>
      <c r="E77" s="825"/>
      <c r="F77" s="2499"/>
      <c r="G77" s="1283"/>
      <c r="H77" s="1287" t="str">
        <f t="shared" si="21"/>
        <v>——</v>
      </c>
      <c r="I77" s="819">
        <v>0.15</v>
      </c>
      <c r="J77" s="1284">
        <f t="shared" si="22"/>
        <v>0</v>
      </c>
      <c r="K77" s="1284">
        <f t="shared" si="23"/>
        <v>0</v>
      </c>
      <c r="L77" s="1284">
        <v>0</v>
      </c>
      <c r="M77" s="1284">
        <f t="shared" si="24"/>
        <v>0</v>
      </c>
      <c r="N77" s="1284">
        <f t="shared" si="24"/>
        <v>0</v>
      </c>
      <c r="Z77" s="2718"/>
      <c r="AA77" s="2786"/>
      <c r="AG77" s="1371"/>
      <c r="AK77" s="2786"/>
    </row>
    <row r="78" spans="1:37" ht="24.75" hidden="1" thickBot="1">
      <c r="A78" s="2876" t="s">
        <v>2959</v>
      </c>
      <c r="B78" s="2880"/>
      <c r="C78" s="2768"/>
      <c r="D78" s="1285">
        <f t="shared" si="20"/>
        <v>0</v>
      </c>
      <c r="E78" s="826"/>
      <c r="F78" s="2499"/>
      <c r="G78" s="1283"/>
      <c r="H78" s="1287" t="str">
        <f t="shared" si="21"/>
        <v>——</v>
      </c>
      <c r="I78" s="823">
        <v>0.04</v>
      </c>
      <c r="J78" s="1284">
        <f t="shared" si="22"/>
        <v>0</v>
      </c>
      <c r="K78" s="1284">
        <f t="shared" si="23"/>
        <v>0</v>
      </c>
      <c r="L78" s="1284">
        <v>0</v>
      </c>
      <c r="M78" s="1284">
        <f t="shared" si="24"/>
        <v>0</v>
      </c>
      <c r="N78" s="1284">
        <f t="shared" si="24"/>
        <v>0</v>
      </c>
      <c r="Z78" s="2718"/>
      <c r="AA78" s="2786"/>
      <c r="AG78" s="1371"/>
      <c r="AK78" s="2786"/>
    </row>
    <row r="79" spans="1:37" ht="15">
      <c r="A79" s="2864" t="s">
        <v>2960</v>
      </c>
      <c r="B79" s="2865">
        <f>1+E81</f>
        <v>1.0590999999999999</v>
      </c>
      <c r="C79" s="813"/>
      <c r="D79" s="813"/>
      <c r="E79" s="814"/>
      <c r="F79" s="2867"/>
      <c r="G79" s="6"/>
      <c r="H79" s="6"/>
      <c r="I79" s="6"/>
      <c r="J79" s="7"/>
      <c r="K79" s="7"/>
      <c r="L79" s="7"/>
      <c r="M79" s="7"/>
      <c r="N79" s="7"/>
      <c r="Z79" s="2718"/>
      <c r="AA79" s="2786"/>
      <c r="AG79" s="1371"/>
      <c r="AK79" s="2786"/>
    </row>
    <row r="80" spans="1:37" ht="24.75">
      <c r="A80" s="2868" t="s">
        <v>2934</v>
      </c>
      <c r="B80" s="1808"/>
      <c r="C80" s="1808" t="s">
        <v>2936</v>
      </c>
      <c r="D80" s="1808" t="s">
        <v>2937</v>
      </c>
      <c r="E80" s="818" t="s">
        <v>2938</v>
      </c>
      <c r="F80" s="2869" t="s">
        <v>2954</v>
      </c>
      <c r="G80" s="1808" t="s">
        <v>754</v>
      </c>
      <c r="H80" s="2870" t="s">
        <v>2940</v>
      </c>
      <c r="I80" s="1808" t="s">
        <v>2941</v>
      </c>
      <c r="J80" s="602" t="s">
        <v>2591</v>
      </c>
      <c r="K80" s="602" t="s">
        <v>2592</v>
      </c>
      <c r="L80" s="602" t="s">
        <v>2593</v>
      </c>
      <c r="M80" s="602" t="s">
        <v>2594</v>
      </c>
      <c r="N80" s="602" t="s">
        <v>2595</v>
      </c>
      <c r="Z80" s="2718"/>
      <c r="AA80" s="2786"/>
      <c r="AG80" s="1371"/>
      <c r="AK80" s="2786"/>
    </row>
    <row r="81" spans="1:37" ht="38.25">
      <c r="A81" s="2868" t="s">
        <v>2961</v>
      </c>
      <c r="B81" s="2872" t="str">
        <f>估价对象房地状况!G15</f>
        <v>估价对象位于XX开发区，园区建设成熟度XX，产业集聚程度XX</v>
      </c>
      <c r="C81" s="2768" t="s">
        <v>3087</v>
      </c>
      <c r="D81" s="1285">
        <f t="shared" ref="D81:D88" si="25">SUMIF($J$80:$N$80,C81,J81:N81)</f>
        <v>1.95E-2</v>
      </c>
      <c r="E81" s="820">
        <f>ROUND(SUM(D81:D88),4)</f>
        <v>5.91E-2</v>
      </c>
      <c r="F81" s="2499">
        <f>IF(E2="工业",SUMIF(L1:L12,G2,N1:N12),"——")</f>
        <v>0.15</v>
      </c>
      <c r="G81" s="1283">
        <f>H81</f>
        <v>1.95E-2</v>
      </c>
      <c r="H81" s="1287">
        <f t="shared" ref="H81:H88" si="26">IFERROR(ROUNDDOWN($F$81*I81/2,4),"——")</f>
        <v>1.95E-2</v>
      </c>
      <c r="I81" s="819">
        <v>0.26</v>
      </c>
      <c r="J81" s="1284">
        <f t="shared" ref="J81:J88" si="27">K81+$G81</f>
        <v>3.9E-2</v>
      </c>
      <c r="K81" s="1284">
        <f t="shared" ref="K81:K88" si="28">$L81+$G81</f>
        <v>1.95E-2</v>
      </c>
      <c r="L81" s="1284">
        <v>0</v>
      </c>
      <c r="M81" s="1284">
        <f t="shared" ref="M81:N88" si="29">L81-$G81</f>
        <v>-1.95E-2</v>
      </c>
      <c r="N81" s="1284">
        <f t="shared" si="29"/>
        <v>-3.9E-2</v>
      </c>
      <c r="Z81" s="2718"/>
      <c r="AA81" s="2786"/>
      <c r="AG81" s="1371"/>
      <c r="AK81" s="2786"/>
    </row>
    <row r="82" spans="1:37" ht="51">
      <c r="A82" s="2868" t="s">
        <v>2943</v>
      </c>
      <c r="B82" s="2872" t="str">
        <f>估价对象房地状况!G16</f>
        <v>估价对象周边道路状况、公共交通通达情况、停车便捷程度，综合评价交通便捷度较好</v>
      </c>
      <c r="C82" s="2768" t="s">
        <v>3087</v>
      </c>
      <c r="D82" s="1285">
        <f t="shared" si="25"/>
        <v>2.47E-2</v>
      </c>
      <c r="E82" s="825"/>
      <c r="F82" s="2499"/>
      <c r="G82" s="1283">
        <f t="shared" ref="G82:G88" si="30">H82</f>
        <v>2.47E-2</v>
      </c>
      <c r="H82" s="1287">
        <f t="shared" si="26"/>
        <v>2.47E-2</v>
      </c>
      <c r="I82" s="819">
        <v>0.33</v>
      </c>
      <c r="J82" s="1284">
        <f t="shared" si="27"/>
        <v>4.9399999999999999E-2</v>
      </c>
      <c r="K82" s="1284">
        <f t="shared" si="28"/>
        <v>2.47E-2</v>
      </c>
      <c r="L82" s="1284">
        <v>0</v>
      </c>
      <c r="M82" s="1284">
        <f t="shared" si="29"/>
        <v>-2.47E-2</v>
      </c>
      <c r="N82" s="1284">
        <f t="shared" si="29"/>
        <v>-4.9399999999999999E-2</v>
      </c>
      <c r="Z82" s="2718"/>
      <c r="AA82" s="2786"/>
      <c r="AG82" s="1371"/>
      <c r="AK82" s="2786"/>
    </row>
    <row r="83" spans="1:37" ht="24">
      <c r="A83" s="2868" t="s">
        <v>2944</v>
      </c>
      <c r="B83" s="2872">
        <f>估价对象房地状况!G17</f>
        <v>0</v>
      </c>
      <c r="C83" s="2768" t="s">
        <v>3087</v>
      </c>
      <c r="D83" s="1285">
        <f t="shared" si="25"/>
        <v>3.7000000000000002E-3</v>
      </c>
      <c r="E83" s="825"/>
      <c r="F83" s="2499"/>
      <c r="G83" s="1283">
        <f t="shared" si="30"/>
        <v>3.7000000000000002E-3</v>
      </c>
      <c r="H83" s="1287">
        <f t="shared" si="26"/>
        <v>3.7000000000000002E-3</v>
      </c>
      <c r="I83" s="819">
        <v>0.05</v>
      </c>
      <c r="J83" s="1284">
        <f t="shared" si="27"/>
        <v>7.4000000000000003E-3</v>
      </c>
      <c r="K83" s="1284">
        <f t="shared" si="28"/>
        <v>3.7000000000000002E-3</v>
      </c>
      <c r="L83" s="1284">
        <v>0</v>
      </c>
      <c r="M83" s="1284">
        <f t="shared" si="29"/>
        <v>-3.7000000000000002E-3</v>
      </c>
      <c r="N83" s="1284">
        <f t="shared" si="29"/>
        <v>-7.4000000000000003E-3</v>
      </c>
      <c r="Z83" s="2718"/>
      <c r="AA83" s="2786"/>
      <c r="AG83" s="1371"/>
      <c r="AK83" s="2786"/>
    </row>
    <row r="84" spans="1:37" ht="14.25">
      <c r="A84" s="2868" t="s">
        <v>2958</v>
      </c>
      <c r="B84" s="2872">
        <f>估价对象房地状况!G22</f>
        <v>0</v>
      </c>
      <c r="C84" s="3030" t="s">
        <v>3087</v>
      </c>
      <c r="D84" s="1285">
        <f t="shared" si="25"/>
        <v>3.0000000000000001E-3</v>
      </c>
      <c r="E84" s="825"/>
      <c r="F84" s="2499"/>
      <c r="G84" s="1283">
        <f t="shared" si="30"/>
        <v>3.0000000000000001E-3</v>
      </c>
      <c r="H84" s="1287">
        <f t="shared" si="26"/>
        <v>3.0000000000000001E-3</v>
      </c>
      <c r="I84" s="819">
        <v>0.04</v>
      </c>
      <c r="J84" s="1284">
        <f t="shared" si="27"/>
        <v>6.0000000000000001E-3</v>
      </c>
      <c r="K84" s="1284">
        <f t="shared" si="28"/>
        <v>3.0000000000000001E-3</v>
      </c>
      <c r="L84" s="1284">
        <v>0</v>
      </c>
      <c r="M84" s="1284">
        <f t="shared" si="29"/>
        <v>-3.0000000000000001E-3</v>
      </c>
      <c r="N84" s="1284">
        <f t="shared" si="29"/>
        <v>-6.0000000000000001E-3</v>
      </c>
      <c r="Z84" s="2718"/>
      <c r="AA84" s="2786"/>
      <c r="AG84" s="1371"/>
      <c r="AK84" s="2786"/>
    </row>
    <row r="85" spans="1:37" ht="25.5">
      <c r="A85" s="2868" t="s">
        <v>2950</v>
      </c>
      <c r="B85" s="1724" t="str">
        <f>估价对象房地状况!G19</f>
        <v>估价对象所在区域公共配套设施齐备情况</v>
      </c>
      <c r="C85" s="2768" t="s">
        <v>3088</v>
      </c>
      <c r="D85" s="1285">
        <f t="shared" si="25"/>
        <v>0</v>
      </c>
      <c r="E85" s="825"/>
      <c r="F85" s="2499"/>
      <c r="G85" s="1283">
        <f t="shared" si="30"/>
        <v>4.4999999999999997E-3</v>
      </c>
      <c r="H85" s="1287">
        <f t="shared" si="26"/>
        <v>4.4999999999999997E-3</v>
      </c>
      <c r="I85" s="819">
        <v>0.06</v>
      </c>
      <c r="J85" s="1284">
        <f t="shared" si="27"/>
        <v>8.9999999999999993E-3</v>
      </c>
      <c r="K85" s="1284">
        <f t="shared" si="28"/>
        <v>4.4999999999999997E-3</v>
      </c>
      <c r="L85" s="1284">
        <v>0</v>
      </c>
      <c r="M85" s="1284">
        <f t="shared" si="29"/>
        <v>-4.4999999999999997E-3</v>
      </c>
      <c r="N85" s="1284">
        <f t="shared" si="29"/>
        <v>-8.9999999999999993E-3</v>
      </c>
      <c r="Z85" s="2718"/>
      <c r="AA85" s="2786"/>
      <c r="AG85" s="1371"/>
      <c r="AK85" s="2786"/>
    </row>
    <row r="86" spans="1:37" ht="25.5">
      <c r="A86" s="2868" t="s">
        <v>2951</v>
      </c>
      <c r="B86" s="1724" t="str">
        <f>估价对象房地状况!G20</f>
        <v>估价对象所在区域基础设施水平</v>
      </c>
      <c r="C86" s="3030" t="s">
        <v>3088</v>
      </c>
      <c r="D86" s="1285">
        <f t="shared" si="25"/>
        <v>0</v>
      </c>
      <c r="E86" s="825"/>
      <c r="F86" s="2499"/>
      <c r="G86" s="1283">
        <f t="shared" si="30"/>
        <v>1.12E-2</v>
      </c>
      <c r="H86" s="1287">
        <f t="shared" si="26"/>
        <v>1.12E-2</v>
      </c>
      <c r="I86" s="819">
        <v>0.15</v>
      </c>
      <c r="J86" s="1284">
        <f t="shared" si="27"/>
        <v>2.24E-2</v>
      </c>
      <c r="K86" s="1284">
        <f t="shared" si="28"/>
        <v>1.12E-2</v>
      </c>
      <c r="L86" s="1284">
        <v>0</v>
      </c>
      <c r="M86" s="1284">
        <f t="shared" si="29"/>
        <v>-1.12E-2</v>
      </c>
      <c r="N86" s="1284">
        <f t="shared" si="29"/>
        <v>-2.24E-2</v>
      </c>
      <c r="Z86" s="2718"/>
      <c r="AA86" s="2786"/>
      <c r="AG86" s="1371"/>
      <c r="AK86" s="2786"/>
    </row>
    <row r="87" spans="1:37" ht="24">
      <c r="A87" s="2868" t="s">
        <v>2948</v>
      </c>
      <c r="B87" s="2874" t="s">
        <v>2962</v>
      </c>
      <c r="C87" s="2768" t="s">
        <v>3087</v>
      </c>
      <c r="D87" s="1285">
        <f t="shared" si="25"/>
        <v>3.7000000000000002E-3</v>
      </c>
      <c r="E87" s="825"/>
      <c r="F87" s="2499"/>
      <c r="G87" s="1283">
        <f t="shared" si="30"/>
        <v>3.7000000000000002E-3</v>
      </c>
      <c r="H87" s="1287">
        <f t="shared" si="26"/>
        <v>3.7000000000000002E-3</v>
      </c>
      <c r="I87" s="819">
        <v>0.05</v>
      </c>
      <c r="J87" s="1284">
        <f t="shared" si="27"/>
        <v>7.4000000000000003E-3</v>
      </c>
      <c r="K87" s="1284">
        <f t="shared" si="28"/>
        <v>3.7000000000000002E-3</v>
      </c>
      <c r="L87" s="1284">
        <v>0</v>
      </c>
      <c r="M87" s="1284">
        <f t="shared" si="29"/>
        <v>-3.7000000000000002E-3</v>
      </c>
      <c r="N87" s="1284">
        <f t="shared" si="29"/>
        <v>-7.4000000000000003E-3</v>
      </c>
      <c r="Z87" s="2718"/>
      <c r="AA87" s="2786"/>
      <c r="AG87" s="1371"/>
      <c r="AK87" s="2786"/>
    </row>
    <row r="88" spans="1:37" ht="39" thickBot="1">
      <c r="A88" s="2876" t="s">
        <v>2963</v>
      </c>
      <c r="B88" s="2881" t="str">
        <f>估价对象房地状况!G18</f>
        <v>该园区内是否有污染型企业，绿化情况，卫生条件，整体环境状况判断</v>
      </c>
      <c r="C88" s="2768" t="s">
        <v>3087</v>
      </c>
      <c r="D88" s="1285">
        <f t="shared" si="25"/>
        <v>4.4999999999999997E-3</v>
      </c>
      <c r="E88" s="826"/>
      <c r="F88" s="2499"/>
      <c r="G88" s="1283">
        <f t="shared" si="30"/>
        <v>4.4999999999999997E-3</v>
      </c>
      <c r="H88" s="1287">
        <f t="shared" si="26"/>
        <v>4.4999999999999997E-3</v>
      </c>
      <c r="I88" s="823">
        <v>0.06</v>
      </c>
      <c r="J88" s="1284">
        <f t="shared" si="27"/>
        <v>8.9999999999999993E-3</v>
      </c>
      <c r="K88" s="1284">
        <f t="shared" si="28"/>
        <v>4.4999999999999997E-3</v>
      </c>
      <c r="L88" s="1284">
        <v>0</v>
      </c>
      <c r="M88" s="1284">
        <f t="shared" si="29"/>
        <v>-4.4999999999999997E-3</v>
      </c>
      <c r="N88" s="1284">
        <f t="shared" si="29"/>
        <v>-8.9999999999999993E-3</v>
      </c>
      <c r="Z88" s="2718"/>
      <c r="AA88" s="2786"/>
      <c r="AG88" s="1371"/>
      <c r="AK88" s="2786"/>
    </row>
    <row r="90" spans="1:37">
      <c r="A90" s="3238" t="s">
        <v>2964</v>
      </c>
      <c r="B90" s="3238"/>
      <c r="C90" s="3238"/>
      <c r="D90" s="3238"/>
      <c r="E90" s="3238"/>
      <c r="F90" s="3238"/>
      <c r="G90" s="3238"/>
      <c r="H90" s="3238"/>
      <c r="I90" s="3238"/>
      <c r="J90" s="3238"/>
      <c r="K90" s="2882"/>
      <c r="L90" s="2882"/>
      <c r="M90" s="2882"/>
      <c r="N90" s="2882"/>
    </row>
    <row r="91" spans="1:37">
      <c r="A91" s="3240" t="s">
        <v>2965</v>
      </c>
      <c r="B91" s="3240" t="s">
        <v>2966</v>
      </c>
      <c r="C91" s="2836" t="s">
        <v>2967</v>
      </c>
      <c r="D91" s="2837"/>
      <c r="E91" s="2837"/>
      <c r="F91" s="2837"/>
      <c r="G91" s="2837"/>
      <c r="H91" s="2837"/>
      <c r="I91" s="2837"/>
      <c r="J91" s="2883"/>
      <c r="K91" s="2884"/>
      <c r="L91" s="2884"/>
      <c r="M91" s="2884"/>
      <c r="N91" s="2884"/>
    </row>
    <row r="92" spans="1:37">
      <c r="A92" s="3240"/>
      <c r="B92" s="3240"/>
      <c r="C92" s="941" t="s">
        <v>2834</v>
      </c>
      <c r="D92" s="941" t="s">
        <v>2835</v>
      </c>
      <c r="E92" s="941" t="s">
        <v>2836</v>
      </c>
      <c r="F92" s="941" t="s">
        <v>2837</v>
      </c>
      <c r="G92" s="941" t="s">
        <v>2838</v>
      </c>
      <c r="H92" s="941" t="s">
        <v>2839</v>
      </c>
      <c r="I92" s="941" t="s">
        <v>2840</v>
      </c>
      <c r="J92" s="941" t="s">
        <v>2841</v>
      </c>
      <c r="K92" s="941" t="s">
        <v>2842</v>
      </c>
      <c r="L92" s="941" t="s">
        <v>2843</v>
      </c>
      <c r="M92" s="941" t="s">
        <v>2844</v>
      </c>
      <c r="N92" s="941" t="s">
        <v>2845</v>
      </c>
    </row>
    <row r="93" spans="1:37">
      <c r="A93" s="3241" t="s">
        <v>2968</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42"/>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42"/>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42"/>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42"/>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42"/>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42"/>
      <c r="B99" s="2885" t="s">
        <v>2850</v>
      </c>
      <c r="C99" s="2887">
        <f>$I$3</f>
        <v>0</v>
      </c>
      <c r="D99" s="2887">
        <f t="shared" ref="D99:M99" si="31">$I$3</f>
        <v>0</v>
      </c>
      <c r="E99" s="2887">
        <f t="shared" si="31"/>
        <v>0</v>
      </c>
      <c r="F99" s="2887">
        <f t="shared" si="31"/>
        <v>0</v>
      </c>
      <c r="G99" s="2887">
        <f t="shared" si="31"/>
        <v>0</v>
      </c>
      <c r="H99" s="2887">
        <f t="shared" si="31"/>
        <v>0</v>
      </c>
      <c r="I99" s="2887">
        <f t="shared" si="31"/>
        <v>0</v>
      </c>
      <c r="J99" s="2887">
        <f t="shared" si="31"/>
        <v>0</v>
      </c>
      <c r="K99" s="2887">
        <f t="shared" si="31"/>
        <v>0</v>
      </c>
      <c r="L99" s="2887">
        <f t="shared" si="31"/>
        <v>0</v>
      </c>
      <c r="M99" s="2887">
        <f t="shared" si="31"/>
        <v>0</v>
      </c>
      <c r="N99" s="2887">
        <f>$I$3</f>
        <v>0</v>
      </c>
    </row>
    <row r="100" spans="1:14">
      <c r="A100" s="3243"/>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41" t="s">
        <v>2969</v>
      </c>
      <c r="B101" s="2889" t="s">
        <v>2970</v>
      </c>
      <c r="C101" s="2890">
        <f>$G$3</f>
        <v>0.96</v>
      </c>
      <c r="D101" s="2890">
        <f t="shared" ref="D101:N101" si="32">$G$3</f>
        <v>0.96</v>
      </c>
      <c r="E101" s="2890">
        <f t="shared" si="32"/>
        <v>0.96</v>
      </c>
      <c r="F101" s="2890">
        <f t="shared" si="32"/>
        <v>0.96</v>
      </c>
      <c r="G101" s="2890">
        <f t="shared" si="32"/>
        <v>0.96</v>
      </c>
      <c r="H101" s="2890">
        <f t="shared" si="32"/>
        <v>0.96</v>
      </c>
      <c r="I101" s="2890">
        <f t="shared" si="32"/>
        <v>0.96</v>
      </c>
      <c r="J101" s="2890">
        <f t="shared" si="32"/>
        <v>0.96</v>
      </c>
      <c r="K101" s="2890">
        <f t="shared" si="32"/>
        <v>0.96</v>
      </c>
      <c r="L101" s="2890">
        <f t="shared" si="32"/>
        <v>0.96</v>
      </c>
      <c r="M101" s="2890">
        <f t="shared" si="32"/>
        <v>0.96</v>
      </c>
      <c r="N101" s="2890">
        <f t="shared" si="32"/>
        <v>0.96</v>
      </c>
    </row>
    <row r="102" spans="1:14">
      <c r="A102" s="3242"/>
      <c r="B102" s="2885">
        <v>1</v>
      </c>
      <c r="C102" s="2886">
        <f>1.9362/C101</f>
        <v>2.0168750000000002</v>
      </c>
      <c r="D102" s="2886">
        <f>1.9362/D101</f>
        <v>2.0168750000000002</v>
      </c>
      <c r="E102" s="2886">
        <f>1.8629/E101</f>
        <v>1.9405208333333335</v>
      </c>
      <c r="F102" s="2886">
        <f>1.8629/F101</f>
        <v>1.9405208333333335</v>
      </c>
      <c r="G102" s="2886">
        <f>1.8629/G101</f>
        <v>1.9405208333333335</v>
      </c>
      <c r="H102" s="2886">
        <f>1.8629/H101</f>
        <v>1.9405208333333335</v>
      </c>
      <c r="I102" s="2886">
        <f>1.8629/I101</f>
        <v>1.9405208333333335</v>
      </c>
      <c r="J102" s="2886">
        <f>1.942/J101</f>
        <v>2.0229166666666667</v>
      </c>
      <c r="K102" s="2886">
        <f>1.942/K101</f>
        <v>2.0229166666666667</v>
      </c>
      <c r="L102" s="2886">
        <f>1.942/L101</f>
        <v>2.0229166666666667</v>
      </c>
      <c r="M102" s="2886">
        <f>1.942/M101</f>
        <v>2.0229166666666667</v>
      </c>
      <c r="N102" s="2886">
        <f>1.942/N101</f>
        <v>2.0229166666666667</v>
      </c>
    </row>
    <row r="103" spans="1:14">
      <c r="A103" s="3242"/>
      <c r="B103" s="2885">
        <v>2</v>
      </c>
      <c r="C103" s="2886">
        <f>1.4198/C101</f>
        <v>1.4789583333333334</v>
      </c>
      <c r="D103" s="2886">
        <f>1.4198/D101</f>
        <v>1.4789583333333334</v>
      </c>
      <c r="E103" s="2886">
        <f>1.3372/E101</f>
        <v>1.3929166666666666</v>
      </c>
      <c r="F103" s="2886">
        <f>1.3372/F101</f>
        <v>1.3929166666666666</v>
      </c>
      <c r="G103" s="2886">
        <f>1.3372/G101</f>
        <v>1.3929166666666666</v>
      </c>
      <c r="H103" s="2886">
        <f>1.3372/H101</f>
        <v>1.3929166666666666</v>
      </c>
      <c r="I103" s="2886">
        <f>1.3372/I101</f>
        <v>1.3929166666666666</v>
      </c>
      <c r="J103" s="2886">
        <f>1.2799/J101</f>
        <v>1.3332291666666667</v>
      </c>
      <c r="K103" s="2886">
        <f>1.2799/K101</f>
        <v>1.3332291666666667</v>
      </c>
      <c r="L103" s="2886">
        <f>1.2799/L101</f>
        <v>1.3332291666666667</v>
      </c>
      <c r="M103" s="2886">
        <f>1.2799/M101</f>
        <v>1.3332291666666667</v>
      </c>
      <c r="N103" s="2886">
        <f>1.2799/N101</f>
        <v>1.3332291666666667</v>
      </c>
    </row>
    <row r="104" spans="1:14">
      <c r="A104" s="3242"/>
      <c r="B104" s="2885">
        <v>3</v>
      </c>
      <c r="C104" s="2886">
        <f>1.1594/C101</f>
        <v>1.2077083333333334</v>
      </c>
      <c r="D104" s="2886">
        <f>1.1594/D101</f>
        <v>1.2077083333333334</v>
      </c>
      <c r="E104" s="2886">
        <f>1.0788/E101</f>
        <v>1.12375</v>
      </c>
      <c r="F104" s="2886">
        <f>1.0788/F101</f>
        <v>1.12375</v>
      </c>
      <c r="G104" s="2886">
        <f>1.0788/G101</f>
        <v>1.12375</v>
      </c>
      <c r="H104" s="2886">
        <f>1.0788/H101</f>
        <v>1.12375</v>
      </c>
      <c r="I104" s="2886">
        <f>1.0788/I101</f>
        <v>1.12375</v>
      </c>
      <c r="J104" s="2886">
        <f>1.0072/J101</f>
        <v>1.0491666666666668</v>
      </c>
      <c r="K104" s="2886">
        <f>1.0072/K101</f>
        <v>1.0491666666666668</v>
      </c>
      <c r="L104" s="2886">
        <f>1.0072/L101</f>
        <v>1.0491666666666668</v>
      </c>
      <c r="M104" s="2886">
        <f>1.0072/M101</f>
        <v>1.0491666666666668</v>
      </c>
      <c r="N104" s="2886">
        <f>1.0072/N101</f>
        <v>1.0491666666666668</v>
      </c>
    </row>
    <row r="105" spans="1:14">
      <c r="A105" s="3242"/>
      <c r="B105" s="2885">
        <v>4</v>
      </c>
      <c r="C105" s="2886">
        <f>0.9622/C101</f>
        <v>1.0022916666666668</v>
      </c>
      <c r="D105" s="2886">
        <f>0.9622/D101</f>
        <v>1.0022916666666668</v>
      </c>
      <c r="E105" s="2886">
        <f>0.8656/E101</f>
        <v>0.90166666666666673</v>
      </c>
      <c r="F105" s="2886">
        <f>0.8656/F101</f>
        <v>0.90166666666666673</v>
      </c>
      <c r="G105" s="2886">
        <f>0.8656/G101</f>
        <v>0.90166666666666673</v>
      </c>
      <c r="H105" s="2886">
        <f>0.8656/H101</f>
        <v>0.90166666666666673</v>
      </c>
      <c r="I105" s="2886">
        <f>0.8656/I101</f>
        <v>0.90166666666666673</v>
      </c>
      <c r="J105" s="2886">
        <f>0.7525/J101</f>
        <v>0.78385416666666663</v>
      </c>
      <c r="K105" s="2886">
        <f>0.7525/K101</f>
        <v>0.78385416666666663</v>
      </c>
      <c r="L105" s="2886">
        <f>0.7525/L101</f>
        <v>0.78385416666666663</v>
      </c>
      <c r="M105" s="2886">
        <f>0.7525/M101</f>
        <v>0.78385416666666663</v>
      </c>
      <c r="N105" s="2886">
        <f>0.7525/N101</f>
        <v>0.78385416666666663</v>
      </c>
    </row>
    <row r="106" spans="1:14">
      <c r="A106" s="3242"/>
      <c r="B106" s="2885">
        <v>5</v>
      </c>
      <c r="C106" s="2886">
        <f>0.8417/C101</f>
        <v>0.87677083333333339</v>
      </c>
      <c r="D106" s="2886">
        <f>0.8417/D101</f>
        <v>0.87677083333333339</v>
      </c>
      <c r="E106" s="2886">
        <f>0.7371/E101</f>
        <v>0.76781250000000001</v>
      </c>
      <c r="F106" s="2886">
        <f>0.7371/F101</f>
        <v>0.76781250000000001</v>
      </c>
      <c r="G106" s="2886">
        <f>0.7371/G101</f>
        <v>0.76781250000000001</v>
      </c>
      <c r="H106" s="2886">
        <f>0.7371/H101</f>
        <v>0.76781250000000001</v>
      </c>
      <c r="I106" s="2886">
        <f>0.7371/I101</f>
        <v>0.76781250000000001</v>
      </c>
      <c r="J106" s="2886">
        <f>0.5659/J101</f>
        <v>0.58947916666666667</v>
      </c>
      <c r="K106" s="2886">
        <f>0.5659/K101</f>
        <v>0.58947916666666667</v>
      </c>
      <c r="L106" s="2886">
        <f>0.5659/L101</f>
        <v>0.58947916666666667</v>
      </c>
      <c r="M106" s="2886">
        <f>0.5659/M101</f>
        <v>0.58947916666666667</v>
      </c>
      <c r="N106" s="2886">
        <f>0.5659/N101</f>
        <v>0.58947916666666667</v>
      </c>
    </row>
    <row r="107" spans="1:14">
      <c r="A107" s="3242"/>
      <c r="B107" s="2885">
        <v>6</v>
      </c>
      <c r="C107" s="2886">
        <f>0.7608/C101</f>
        <v>0.79250000000000009</v>
      </c>
      <c r="D107" s="2886">
        <f>0.7608/D101</f>
        <v>0.79250000000000009</v>
      </c>
      <c r="E107" s="2886">
        <f>0.6482/E101</f>
        <v>0.67520833333333341</v>
      </c>
      <c r="F107" s="2886">
        <f>0.6482/F101</f>
        <v>0.67520833333333341</v>
      </c>
      <c r="G107" s="2886">
        <f>0.6482/G101</f>
        <v>0.67520833333333341</v>
      </c>
      <c r="H107" s="2886">
        <f>0.6482/H101</f>
        <v>0.67520833333333341</v>
      </c>
      <c r="I107" s="2886">
        <f>0.6482/I101</f>
        <v>0.67520833333333341</v>
      </c>
      <c r="J107" s="2886">
        <f>0.4525/J101</f>
        <v>0.47135416666666669</v>
      </c>
      <c r="K107" s="2886">
        <f>0.4525/K101</f>
        <v>0.47135416666666669</v>
      </c>
      <c r="L107" s="2886">
        <f>0.4525/L101</f>
        <v>0.47135416666666669</v>
      </c>
      <c r="M107" s="2886">
        <f>0.4525/M101</f>
        <v>0.47135416666666669</v>
      </c>
      <c r="N107" s="2886">
        <f>0.4525/N101</f>
        <v>0.47135416666666669</v>
      </c>
    </row>
    <row r="108" spans="1:14">
      <c r="A108" s="3242"/>
      <c r="B108" s="3196" t="s">
        <v>2971</v>
      </c>
      <c r="C108" s="2887">
        <f>C99</f>
        <v>0</v>
      </c>
      <c r="D108" s="2887">
        <f t="shared" ref="D108:N108" si="33">D99</f>
        <v>0</v>
      </c>
      <c r="E108" s="2887">
        <f t="shared" si="33"/>
        <v>0</v>
      </c>
      <c r="F108" s="2887">
        <f t="shared" si="33"/>
        <v>0</v>
      </c>
      <c r="G108" s="2887">
        <f t="shared" si="33"/>
        <v>0</v>
      </c>
      <c r="H108" s="2887">
        <f t="shared" si="33"/>
        <v>0</v>
      </c>
      <c r="I108" s="2887">
        <f t="shared" si="33"/>
        <v>0</v>
      </c>
      <c r="J108" s="2887">
        <f t="shared" si="33"/>
        <v>0</v>
      </c>
      <c r="K108" s="2887">
        <f t="shared" si="33"/>
        <v>0</v>
      </c>
      <c r="L108" s="2887">
        <f t="shared" si="33"/>
        <v>0</v>
      </c>
      <c r="M108" s="2887">
        <f t="shared" si="33"/>
        <v>0</v>
      </c>
      <c r="N108" s="2887">
        <f t="shared" si="33"/>
        <v>0</v>
      </c>
    </row>
    <row r="109" spans="1:14">
      <c r="A109" s="3243"/>
      <c r="B109" s="3197"/>
      <c r="C109" s="2888">
        <f>(-0.163*(C108^2)-0.59*C108+7617)*(10^(-4))/C101</f>
        <v>0.79343750000000013</v>
      </c>
      <c r="D109" s="2888">
        <f>(-0.163*(D108^2)-0.59*D108+7617)*(10^(-4))/D101</f>
        <v>0.79343750000000013</v>
      </c>
      <c r="E109" s="2888">
        <f>(-0.161*(E108^2)-7.509*E108+6533)*(10^(-4))/E101</f>
        <v>0.68052083333333335</v>
      </c>
      <c r="F109" s="2888">
        <f>(-0.161*(F108^2)-7.509*F108+6533)*(10^(-4))/F101</f>
        <v>0.68052083333333335</v>
      </c>
      <c r="G109" s="2888">
        <f>(-0.161*(G108^2)-7.509*G108+6533)*(10^(-4))/G101</f>
        <v>0.68052083333333335</v>
      </c>
      <c r="H109" s="2888">
        <f>(-0.161*(H108^2)-7.509*H108+6533)*(10^(-4))/H101</f>
        <v>0.68052083333333335</v>
      </c>
      <c r="I109" s="2888">
        <f>(-0.161*(I108^2)-7.509*I108+6533)*(10^(-4))/I101</f>
        <v>0.68052083333333335</v>
      </c>
      <c r="J109" s="2888">
        <f>(-0.214*(J108^2)-21.991*J108+4665)*(10^(-4))/J101</f>
        <v>0.48593750000000002</v>
      </c>
      <c r="K109" s="2888">
        <f>(-0.214*(K108^2)-21.991*K108+4665)*(10^(-4))/K101</f>
        <v>0.48593750000000002</v>
      </c>
      <c r="L109" s="2888">
        <f>(-0.214*(L108^2)-21.991*L108+4665)*(10^(-4))/L101</f>
        <v>0.48593750000000002</v>
      </c>
      <c r="M109" s="2888">
        <f>(-0.214*(M108^2)-21.991*M108+4665)*(10^(-4))/M101</f>
        <v>0.48593750000000002</v>
      </c>
      <c r="N109" s="2888">
        <f>(-0.214*(N108^2)-21.991*N108+4665)*(10^(-4))/N101</f>
        <v>0.48593750000000002</v>
      </c>
    </row>
    <row r="110" spans="1:14">
      <c r="A110" s="3239" t="s">
        <v>2972</v>
      </c>
      <c r="B110" s="3239"/>
      <c r="C110" s="3239"/>
      <c r="D110" s="3239"/>
      <c r="E110" s="3239"/>
      <c r="F110" s="3239"/>
      <c r="G110" s="3239"/>
      <c r="H110" s="3239"/>
      <c r="I110" s="3239"/>
      <c r="J110" s="3239"/>
      <c r="K110" s="2891"/>
      <c r="L110" s="2891"/>
      <c r="M110" s="2891"/>
      <c r="N110" s="2891"/>
    </row>
    <row r="112" spans="1:14" ht="13.5" thickBot="1"/>
    <row r="113" spans="1:13" ht="25.5" thickBot="1">
      <c r="A113" s="902" t="s">
        <v>2973</v>
      </c>
      <c r="B113" s="1286">
        <f>G3</f>
        <v>0.96</v>
      </c>
      <c r="C113" s="903" t="s">
        <v>2974</v>
      </c>
      <c r="D113" s="904">
        <f>SUMPRODUCT((A115:A118=F113)*(B114:M114=H113)*B115:M118)</f>
        <v>0.55359999999999998</v>
      </c>
      <c r="E113" s="2722" t="s">
        <v>2808</v>
      </c>
      <c r="F113" s="2893" t="str">
        <f>E2</f>
        <v>工业</v>
      </c>
      <c r="G113" s="2722" t="s">
        <v>2809</v>
      </c>
      <c r="H113" s="2893" t="str">
        <f>G2</f>
        <v>十级</v>
      </c>
      <c r="I113" s="2722"/>
      <c r="J113" s="2894"/>
      <c r="K113" s="2894"/>
      <c r="L113" s="2894"/>
      <c r="M113" s="2894"/>
    </row>
    <row r="114" spans="1:13">
      <c r="A114" s="907"/>
      <c r="B114" s="2895" t="s">
        <v>2975</v>
      </c>
      <c r="C114" s="2895" t="s">
        <v>2976</v>
      </c>
      <c r="D114" s="2895" t="s">
        <v>2977</v>
      </c>
      <c r="E114" s="2896" t="s">
        <v>2978</v>
      </c>
      <c r="F114" s="2896" t="s">
        <v>2979</v>
      </c>
      <c r="G114" s="2896" t="s">
        <v>2980</v>
      </c>
      <c r="H114" s="2897" t="s">
        <v>2981</v>
      </c>
      <c r="I114" s="2897" t="s">
        <v>2982</v>
      </c>
      <c r="J114" s="2898" t="s">
        <v>2983</v>
      </c>
      <c r="K114" s="2898" t="s">
        <v>2984</v>
      </c>
      <c r="L114" s="2898" t="s">
        <v>2985</v>
      </c>
      <c r="M114" s="2899" t="s">
        <v>2986</v>
      </c>
    </row>
    <row r="115" spans="1:13">
      <c r="A115" s="908" t="s">
        <v>2872</v>
      </c>
      <c r="B115" s="909">
        <f>ROUND(0.9335-0.0094*B113,4)</f>
        <v>0.92449999999999999</v>
      </c>
      <c r="C115" s="909">
        <f>B115</f>
        <v>0.92449999999999999</v>
      </c>
      <c r="D115" s="909">
        <f>ROUND(0.8331-0.0109*B113,4)</f>
        <v>0.8226</v>
      </c>
      <c r="E115" s="909">
        <f>D115</f>
        <v>0.8226</v>
      </c>
      <c r="F115" s="909">
        <f>E115</f>
        <v>0.8226</v>
      </c>
      <c r="G115" s="909">
        <f>F115</f>
        <v>0.8226</v>
      </c>
      <c r="H115" s="909">
        <f>G115</f>
        <v>0.8226</v>
      </c>
      <c r="I115" s="909">
        <f>ROUND(0.689-0.0155*B113,4)</f>
        <v>0.67410000000000003</v>
      </c>
      <c r="J115" s="909">
        <f t="shared" ref="J115:M118" si="34">I115</f>
        <v>0.67410000000000003</v>
      </c>
      <c r="K115" s="909">
        <f t="shared" si="34"/>
        <v>0.67410000000000003</v>
      </c>
      <c r="L115" s="909">
        <f t="shared" si="34"/>
        <v>0.67410000000000003</v>
      </c>
      <c r="M115" s="910">
        <f t="shared" si="34"/>
        <v>0.67410000000000003</v>
      </c>
    </row>
    <row r="116" spans="1:13">
      <c r="A116" s="908" t="s">
        <v>2873</v>
      </c>
      <c r="B116" s="909">
        <f>ROUND(0.949-0.012*B113,4)</f>
        <v>0.9375</v>
      </c>
      <c r="C116" s="909">
        <f>B116</f>
        <v>0.9375</v>
      </c>
      <c r="D116" s="909">
        <f>ROUND(0.8567-0.013*B113,4)</f>
        <v>0.84419999999999995</v>
      </c>
      <c r="E116" s="909">
        <f t="shared" ref="E116:H117" si="35">D116</f>
        <v>0.84419999999999995</v>
      </c>
      <c r="F116" s="909">
        <f t="shared" si="35"/>
        <v>0.84419999999999995</v>
      </c>
      <c r="G116" s="909">
        <f t="shared" si="35"/>
        <v>0.84419999999999995</v>
      </c>
      <c r="H116" s="909">
        <f t="shared" si="35"/>
        <v>0.84419999999999995</v>
      </c>
      <c r="I116" s="909">
        <f>ROUND(0.7694-0.014*B113,4)</f>
        <v>0.75600000000000001</v>
      </c>
      <c r="J116" s="909">
        <f t="shared" si="34"/>
        <v>0.75600000000000001</v>
      </c>
      <c r="K116" s="909">
        <f t="shared" si="34"/>
        <v>0.75600000000000001</v>
      </c>
      <c r="L116" s="909">
        <f t="shared" si="34"/>
        <v>0.75600000000000001</v>
      </c>
      <c r="M116" s="910">
        <f t="shared" si="34"/>
        <v>0.75600000000000001</v>
      </c>
    </row>
    <row r="117" spans="1:13">
      <c r="A117" s="908" t="s">
        <v>2874</v>
      </c>
      <c r="B117" s="909">
        <f>ROUND(0.8808-0.006*B113,4)</f>
        <v>0.875</v>
      </c>
      <c r="C117" s="909">
        <f>B117</f>
        <v>0.875</v>
      </c>
      <c r="D117" s="909">
        <f>ROUND(0.8748-0.008*B113,4)</f>
        <v>0.86709999999999998</v>
      </c>
      <c r="E117" s="909">
        <f t="shared" si="35"/>
        <v>0.86709999999999998</v>
      </c>
      <c r="F117" s="909">
        <f t="shared" si="35"/>
        <v>0.86709999999999998</v>
      </c>
      <c r="G117" s="909">
        <f t="shared" si="35"/>
        <v>0.86709999999999998</v>
      </c>
      <c r="H117" s="909">
        <f t="shared" si="35"/>
        <v>0.86709999999999998</v>
      </c>
      <c r="I117" s="909">
        <f>ROUND(0.7412-0.0095*B113,4)</f>
        <v>0.73209999999999997</v>
      </c>
      <c r="J117" s="909">
        <f t="shared" si="34"/>
        <v>0.73209999999999997</v>
      </c>
      <c r="K117" s="909">
        <f t="shared" si="34"/>
        <v>0.73209999999999997</v>
      </c>
      <c r="L117" s="909">
        <f t="shared" si="34"/>
        <v>0.73209999999999997</v>
      </c>
      <c r="M117" s="910">
        <f t="shared" si="34"/>
        <v>0.73209999999999997</v>
      </c>
    </row>
    <row r="118" spans="1:13" ht="13.5" thickBot="1">
      <c r="A118" s="713" t="s">
        <v>2875</v>
      </c>
      <c r="B118" s="911">
        <f>ROUND(0.7275-0.01*B113,4)</f>
        <v>0.71789999999999998</v>
      </c>
      <c r="C118" s="911">
        <f>B118</f>
        <v>0.71789999999999998</v>
      </c>
      <c r="D118" s="911">
        <f>ROUND(0.7043-0.012*B113,4)</f>
        <v>0.69279999999999997</v>
      </c>
      <c r="E118" s="911">
        <f>D118</f>
        <v>0.69279999999999997</v>
      </c>
      <c r="F118" s="911">
        <f>E118</f>
        <v>0.69279999999999997</v>
      </c>
      <c r="G118" s="911">
        <f>ROUND(0.6299-0.0122*B113,4)</f>
        <v>0.61819999999999997</v>
      </c>
      <c r="H118" s="911">
        <f>G118</f>
        <v>0.61819999999999997</v>
      </c>
      <c r="I118" s="911">
        <f>ROUND(0.5667-0.0136*B113,4)</f>
        <v>0.55359999999999998</v>
      </c>
      <c r="J118" s="911">
        <f t="shared" si="34"/>
        <v>0.55359999999999998</v>
      </c>
      <c r="K118" s="911">
        <f t="shared" si="34"/>
        <v>0.55359999999999998</v>
      </c>
      <c r="L118" s="911">
        <f t="shared" si="34"/>
        <v>0.55359999999999998</v>
      </c>
      <c r="M118" s="912">
        <f t="shared" si="34"/>
        <v>0.55359999999999998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81"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G24" sqref="G24"/>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1583</v>
      </c>
      <c r="B1" s="781"/>
      <c r="C1" s="1836" t="s">
        <v>3067</v>
      </c>
      <c r="D1" s="1819" t="s">
        <v>70</v>
      </c>
      <c r="E1" s="1820" t="s">
        <v>1382</v>
      </c>
      <c r="F1" s="1282">
        <f ca="1">J53</f>
        <v>28.36</v>
      </c>
      <c r="G1" s="1835">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1509</v>
      </c>
      <c r="B2" s="1843">
        <f ca="1">C40+J29+L46</f>
        <v>46811</v>
      </c>
      <c r="C2" s="1844" t="s">
        <v>1510</v>
      </c>
      <c r="D2" s="1844"/>
      <c r="E2" s="1845"/>
      <c r="F2" s="1846"/>
      <c r="G2" s="1847"/>
      <c r="H2" s="1839"/>
      <c r="I2" s="1839"/>
      <c r="J2" s="1839"/>
      <c r="K2" s="1840"/>
      <c r="L2" s="1839"/>
      <c r="M2" s="1839"/>
    </row>
    <row r="3" spans="1:37" ht="18" customHeight="1" thickBot="1">
      <c r="A3" s="1848" t="s">
        <v>1511</v>
      </c>
      <c r="B3" s="1849">
        <f ca="1">IF(ISERROR(B2*10000/F43),0,ROUND(B2*10000/F43,0))</f>
        <v>5626</v>
      </c>
      <c r="C3" s="1844" t="s">
        <v>1512</v>
      </c>
      <c r="D3" s="1844"/>
      <c r="E3" s="1845"/>
      <c r="F3" s="1846"/>
      <c r="G3" s="1847"/>
      <c r="H3" s="743" t="s">
        <v>1582</v>
      </c>
      <c r="I3" s="1839"/>
      <c r="J3" s="1839"/>
      <c r="K3" s="1840"/>
      <c r="L3" s="1839"/>
      <c r="M3" s="1839"/>
    </row>
    <row r="4" spans="1:37" ht="18" customHeight="1">
      <c r="A4" s="339" t="s">
        <v>1391</v>
      </c>
      <c r="B4" s="340" t="s">
        <v>1392</v>
      </c>
      <c r="C4" s="340" t="s">
        <v>1393</v>
      </c>
      <c r="D4" s="340" t="s">
        <v>1394</v>
      </c>
      <c r="E4" s="341" t="s">
        <v>1395</v>
      </c>
      <c r="F4" s="342"/>
      <c r="G4" s="1850"/>
      <c r="H4" s="339" t="s">
        <v>1391</v>
      </c>
      <c r="I4" s="340" t="s">
        <v>1392</v>
      </c>
      <c r="J4" s="340" t="s">
        <v>1393</v>
      </c>
      <c r="K4" s="340" t="s">
        <v>1394</v>
      </c>
      <c r="L4" s="341" t="s">
        <v>1395</v>
      </c>
      <c r="M4" s="342"/>
    </row>
    <row r="5" spans="1:37" ht="18" customHeight="1">
      <c r="A5" s="343">
        <v>1</v>
      </c>
      <c r="B5" s="344" t="s">
        <v>1396</v>
      </c>
      <c r="C5" s="1291">
        <f ca="1">C6+C10+C12</f>
        <v>3284</v>
      </c>
      <c r="D5" s="1821" t="s">
        <v>1397</v>
      </c>
      <c r="E5" s="1292"/>
      <c r="F5" s="1293"/>
      <c r="G5" s="1850"/>
      <c r="H5" s="343">
        <v>1</v>
      </c>
      <c r="I5" s="344" t="s">
        <v>1396</v>
      </c>
      <c r="J5" s="1291">
        <f ca="1">J6+J10+J12</f>
        <v>0</v>
      </c>
      <c r="K5" s="1821" t="s">
        <v>1397</v>
      </c>
      <c r="L5" s="1292"/>
      <c r="M5" s="1293"/>
    </row>
    <row r="6" spans="1:37" ht="18" customHeight="1">
      <c r="A6" s="1290" t="s">
        <v>1032</v>
      </c>
      <c r="B6" s="3251" t="s">
        <v>1398</v>
      </c>
      <c r="C6" s="1295">
        <f ca="1">ROUND(F6*F8*F7*(1-F9)/10000,0)</f>
        <v>3280</v>
      </c>
      <c r="D6" s="163" t="s">
        <v>3024</v>
      </c>
      <c r="E6" s="346" t="s">
        <v>1400</v>
      </c>
      <c r="F6" s="347">
        <f ca="1">INDIRECT("'数据-取费表'!u"&amp;$G$1)</f>
        <v>1.2</v>
      </c>
      <c r="G6" s="1850"/>
      <c r="H6" s="1290" t="s">
        <v>1032</v>
      </c>
      <c r="I6" s="3251" t="s">
        <v>1398</v>
      </c>
      <c r="J6" s="345">
        <f ca="1">ROUND(M6*M8*M7*(1-M9)/10000,0)</f>
        <v>0</v>
      </c>
      <c r="K6" s="163" t="s">
        <v>3023</v>
      </c>
      <c r="L6" s="346" t="s">
        <v>1400</v>
      </c>
      <c r="M6" s="347">
        <f ca="1">INDIRECT("'数据-取费表'!z"&amp;$G$1)</f>
        <v>0</v>
      </c>
    </row>
    <row r="7" spans="1:37" ht="18" customHeight="1">
      <c r="A7" s="1294"/>
      <c r="B7" s="3252"/>
      <c r="C7" s="1296"/>
      <c r="D7" s="351"/>
      <c r="E7" s="1297" t="s">
        <v>1401</v>
      </c>
      <c r="F7" s="347">
        <f ca="1">IF(INDIRECT("'数据-取费表'!ah"&amp;$G$1)="",INDIRECT("'数据-取费表'!k"&amp;$G$1),INDIRECT("'数据-取费表'!ah"&amp;$G$1))</f>
        <v>83197.549999999988</v>
      </c>
      <c r="G7" s="1850"/>
      <c r="H7" s="348"/>
      <c r="I7" s="3252"/>
      <c r="J7" s="350"/>
      <c r="K7" s="351"/>
      <c r="L7" s="346" t="s">
        <v>1401</v>
      </c>
      <c r="M7" s="347">
        <f ca="1">F7</f>
        <v>83197.549999999988</v>
      </c>
    </row>
    <row r="8" spans="1:37" ht="18" customHeight="1">
      <c r="A8" s="348"/>
      <c r="B8" s="3252"/>
      <c r="C8" s="350"/>
      <c r="D8" s="351"/>
      <c r="E8" s="346" t="s">
        <v>1402</v>
      </c>
      <c r="F8" s="347">
        <f ca="1">INDIRECT("'数据-取费表'!ai"&amp;$G$1)</f>
        <v>365</v>
      </c>
      <c r="G8" s="1850"/>
      <c r="H8" s="348"/>
      <c r="I8" s="3252"/>
      <c r="J8" s="350"/>
      <c r="K8" s="351"/>
      <c r="L8" s="346" t="s">
        <v>1402</v>
      </c>
      <c r="M8" s="347">
        <f ca="1">INDIRECT("'数据-取费表'!ai"&amp;$G$1)</f>
        <v>365</v>
      </c>
    </row>
    <row r="9" spans="1:37" ht="18" customHeight="1">
      <c r="A9" s="348"/>
      <c r="B9" s="3253"/>
      <c r="C9" s="350"/>
      <c r="D9" s="351"/>
      <c r="E9" s="346" t="s">
        <v>1403</v>
      </c>
      <c r="F9" s="356">
        <f ca="1">INDIRECT("'数据-取费表'!w"&amp;$G$1)</f>
        <v>0.1</v>
      </c>
      <c r="G9" s="1850"/>
      <c r="H9" s="348"/>
      <c r="I9" s="3253"/>
      <c r="J9" s="350"/>
      <c r="K9" s="351"/>
      <c r="L9" s="357" t="s">
        <v>1403</v>
      </c>
      <c r="M9" s="358">
        <f ca="1">INDIRECT("'数据-取费表'!ab"&amp;$G$1)</f>
        <v>0</v>
      </c>
    </row>
    <row r="10" spans="1:37" ht="18" customHeight="1">
      <c r="A10" s="1290" t="s">
        <v>1036</v>
      </c>
      <c r="B10" s="1822" t="s">
        <v>1404</v>
      </c>
      <c r="C10" s="360">
        <f ca="1">ROUND(IF(F10="押一",C6/12*F11,IF(F10="押二",C6/12*2*F11,IF(F10="押三",C6/12*3*F11,C11*F11))),0)</f>
        <v>4</v>
      </c>
      <c r="D10" s="1823" t="s">
        <v>3033</v>
      </c>
      <c r="E10" s="357" t="s">
        <v>1405</v>
      </c>
      <c r="F10" s="1365" t="s">
        <v>3194</v>
      </c>
      <c r="G10" s="1850"/>
      <c r="H10" s="1290" t="s">
        <v>1036</v>
      </c>
      <c r="I10" s="1822" t="s">
        <v>1404</v>
      </c>
      <c r="J10" s="345">
        <f ca="1">ROUND(IF(M10="押一",J6/12*M11,IF(M10="押二",J6/12*2*M11,IF(M10="押三",J6/12*3*M11,J11*M11))),0)</f>
        <v>0</v>
      </c>
      <c r="K10" s="1823" t="s">
        <v>3032</v>
      </c>
      <c r="L10" s="357" t="s">
        <v>1405</v>
      </c>
      <c r="M10" s="1365" t="s">
        <v>3194</v>
      </c>
    </row>
    <row r="11" spans="1:37" ht="18" customHeight="1">
      <c r="A11" s="352"/>
      <c r="B11" s="1824" t="s">
        <v>1383</v>
      </c>
      <c r="C11" s="1177"/>
      <c r="D11" s="1825"/>
      <c r="E11" s="357" t="s">
        <v>1406</v>
      </c>
      <c r="F11" s="358">
        <f ca="1">'数据-取费表'!B39</f>
        <v>1.4999999999999999E-2</v>
      </c>
      <c r="G11" s="1850"/>
      <c r="H11" s="1298"/>
      <c r="I11" s="1824" t="s">
        <v>1383</v>
      </c>
      <c r="J11" s="1177"/>
      <c r="K11" s="747"/>
      <c r="L11" s="357" t="s">
        <v>1406</v>
      </c>
      <c r="M11" s="1055">
        <f ca="1">'数据-取费表'!B39</f>
        <v>1.4999999999999999E-2</v>
      </c>
    </row>
    <row r="12" spans="1:37" ht="18" customHeight="1" thickBot="1">
      <c r="A12" s="1332" t="s">
        <v>1072</v>
      </c>
      <c r="B12" s="1826" t="s">
        <v>1407</v>
      </c>
      <c r="C12" s="1333"/>
      <c r="D12" s="1334"/>
      <c r="E12" s="1339"/>
      <c r="F12" s="1335"/>
      <c r="G12" s="1850"/>
      <c r="H12" s="1332" t="s">
        <v>1072</v>
      </c>
      <c r="I12" s="1826" t="s">
        <v>1407</v>
      </c>
      <c r="J12" s="1333"/>
      <c r="K12" s="1347"/>
      <c r="L12" s="1339"/>
      <c r="M12" s="1348"/>
    </row>
    <row r="13" spans="1:37" ht="18" customHeight="1" thickTop="1">
      <c r="A13" s="1328">
        <v>2</v>
      </c>
      <c r="B13" s="1329" t="s">
        <v>1408</v>
      </c>
      <c r="C13" s="354">
        <f ca="1">ROUND(C29*F13,0)</f>
        <v>26613</v>
      </c>
      <c r="D13" s="1330" t="s">
        <v>1409</v>
      </c>
      <c r="E13" s="1330" t="s">
        <v>1410</v>
      </c>
      <c r="F13" s="1331">
        <f ca="1">INDIRECT("'数据-取费表'!y"&amp;$G$1)</f>
        <v>0.94</v>
      </c>
      <c r="G13" s="1850"/>
      <c r="H13" s="1328">
        <v>2</v>
      </c>
      <c r="I13" s="1329" t="s">
        <v>1408</v>
      </c>
      <c r="J13" s="1289">
        <f ca="1">ROUND(J14*J15,0)</f>
        <v>0</v>
      </c>
      <c r="K13" s="1336" t="s">
        <v>1409</v>
      </c>
      <c r="L13" s="1851"/>
      <c r="M13" s="1852"/>
    </row>
    <row r="14" spans="1:37" ht="18" customHeight="1">
      <c r="A14" s="1200" t="s">
        <v>1031</v>
      </c>
      <c r="B14" s="346" t="s">
        <v>1411</v>
      </c>
      <c r="C14" s="362">
        <f ca="1">INDIRECT("'数据-取费表'!m"&amp;$G$1)+INDIRECT("'数据-取费表'!t"&amp;$G$1)</f>
        <v>20799</v>
      </c>
      <c r="D14" s="1799" t="s">
        <v>1412</v>
      </c>
      <c r="E14" s="1793"/>
      <c r="F14" s="363"/>
      <c r="G14" s="1850"/>
      <c r="H14" s="1200" t="s">
        <v>1032</v>
      </c>
      <c r="I14" s="346" t="s">
        <v>1413</v>
      </c>
      <c r="J14" s="24">
        <f ca="1">C29</f>
        <v>28312</v>
      </c>
      <c r="K14" s="15"/>
      <c r="L14" s="978"/>
      <c r="M14" s="979"/>
    </row>
    <row r="15" spans="1:37" s="1857" customFormat="1" ht="18" customHeight="1" thickBot="1">
      <c r="A15" s="1200" t="s">
        <v>1033</v>
      </c>
      <c r="B15" s="346" t="s">
        <v>1414</v>
      </c>
      <c r="C15" s="24">
        <f ca="1">ROUND(C14*F15,0)</f>
        <v>624</v>
      </c>
      <c r="D15" s="364" t="s">
        <v>1415</v>
      </c>
      <c r="E15" s="364" t="s">
        <v>1416</v>
      </c>
      <c r="F15" s="365">
        <f>'数据-取费表'!B33</f>
        <v>0.03</v>
      </c>
      <c r="G15" s="1853"/>
      <c r="H15" s="1338" t="s">
        <v>1036</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6" t="s">
        <v>1417</v>
      </c>
      <c r="C16" s="24">
        <f ca="1">ROUND(INDIRECT("'数据-取费表'!m"&amp;$G$1)*F16,0)</f>
        <v>0</v>
      </c>
      <c r="D16" s="346" t="s">
        <v>1415</v>
      </c>
      <c r="E16" s="346" t="s">
        <v>1416</v>
      </c>
      <c r="F16" s="366">
        <f ca="1">IF(INDIRECT("'数据-取费表'!c"&amp;$G$1)="住宅",'数据-取费表'!B34,0)</f>
        <v>0</v>
      </c>
      <c r="G16" s="1850"/>
      <c r="H16" s="1328" t="s">
        <v>1027</v>
      </c>
      <c r="I16" s="1329" t="s">
        <v>1418</v>
      </c>
      <c r="J16" s="354">
        <f ca="1">ROUND(J17+J22+J23+J24,0)</f>
        <v>438</v>
      </c>
      <c r="K16" s="1336" t="s">
        <v>1419</v>
      </c>
      <c r="L16" s="1337"/>
      <c r="M16" s="1293"/>
    </row>
    <row r="17" spans="1:37" s="1857" customFormat="1" ht="18" customHeight="1">
      <c r="A17" s="1200" t="s">
        <v>1385</v>
      </c>
      <c r="B17" s="346" t="s">
        <v>1420</v>
      </c>
      <c r="C17" s="24">
        <f ca="1">ROUND(F17*(F43+INDIRECT("'数据-取费表'!S"&amp;$G$1))/10000,0)</f>
        <v>1665</v>
      </c>
      <c r="D17" s="346" t="s">
        <v>1421</v>
      </c>
      <c r="E17" s="346" t="s">
        <v>1422</v>
      </c>
      <c r="F17" s="26">
        <f>'数据-取费表'!B35</f>
        <v>200</v>
      </c>
      <c r="G17" s="1853"/>
      <c r="H17" s="1200" t="s">
        <v>1032</v>
      </c>
      <c r="I17" s="346" t="s">
        <v>1423</v>
      </c>
      <c r="J17" s="24">
        <f ca="1">ROUND(IF(项目基本情况!B11="自然人",J6*M17/(1+'数据-取费表'!C42),J18+J19+J20),1)</f>
        <v>13</v>
      </c>
      <c r="K17" s="1799" t="s">
        <v>1424</v>
      </c>
      <c r="L17" s="1797" t="s">
        <v>1425</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6" t="s">
        <v>1426</v>
      </c>
      <c r="C18" s="24">
        <f ca="1">ROUND(C14*F18,0)</f>
        <v>312</v>
      </c>
      <c r="D18" s="346" t="s">
        <v>1415</v>
      </c>
      <c r="E18" s="346" t="s">
        <v>1416</v>
      </c>
      <c r="F18" s="366">
        <f>'数据-取费表'!B36</f>
        <v>1.4999999999999999E-2</v>
      </c>
      <c r="G18" s="1853"/>
      <c r="H18" s="1200" t="s">
        <v>1031</v>
      </c>
      <c r="I18" s="346" t="s">
        <v>1427</v>
      </c>
      <c r="J18" s="24">
        <f ca="1">ROUND(J6*M18/(1+'数据-取费表'!C42),2)</f>
        <v>0</v>
      </c>
      <c r="K18" s="1797" t="s">
        <v>1428</v>
      </c>
      <c r="L18" s="346" t="s">
        <v>1416</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1429</v>
      </c>
      <c r="C19" s="24">
        <f ca="1">SUM(C14:C18)</f>
        <v>23400</v>
      </c>
      <c r="D19" s="139" t="s">
        <v>1430</v>
      </c>
      <c r="E19" s="1817"/>
      <c r="F19" s="26"/>
      <c r="G19" s="1850"/>
      <c r="H19" s="1200" t="s">
        <v>1033</v>
      </c>
      <c r="I19" s="346" t="s">
        <v>1431</v>
      </c>
      <c r="J19" s="24">
        <f ca="1">IF(K19="按租金收入计税",ROUND(J6*M19/(1+'数据-取费表'!C42),2),ROUND(C29*M19*0.7,2))</f>
        <v>0</v>
      </c>
      <c r="K19" s="1827" t="s">
        <v>3076</v>
      </c>
      <c r="L19" s="346" t="s">
        <v>1416</v>
      </c>
      <c r="M19" s="366">
        <f>IF(K19="按租金收入计税",'数据-取费表'!B51,'数据-取费表'!B50)</f>
        <v>0.12</v>
      </c>
    </row>
    <row r="20" spans="1:37" s="1857" customFormat="1" ht="18" customHeight="1">
      <c r="A20" s="1200" t="s">
        <v>1036</v>
      </c>
      <c r="B20" s="346" t="s">
        <v>1433</v>
      </c>
      <c r="C20" s="24">
        <f ca="1">ROUND(C19*F20,0)</f>
        <v>234</v>
      </c>
      <c r="D20" s="368" t="s">
        <v>1434</v>
      </c>
      <c r="E20" s="346" t="s">
        <v>1416</v>
      </c>
      <c r="F20" s="366">
        <f>'数据-取费表'!B37</f>
        <v>0.01</v>
      </c>
      <c r="G20" s="1853"/>
      <c r="H20" s="1200" t="s">
        <v>1384</v>
      </c>
      <c r="I20" s="163" t="s">
        <v>1435</v>
      </c>
      <c r="J20" s="25">
        <f ca="1">ROUND(M20*M21/10000,2)</f>
        <v>13.03</v>
      </c>
      <c r="K20" s="369" t="s">
        <v>1436</v>
      </c>
      <c r="L20" s="346" t="s">
        <v>1437</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1438</v>
      </c>
      <c r="C21" s="24" t="s">
        <v>18</v>
      </c>
      <c r="D21" s="368" t="s">
        <v>1439</v>
      </c>
      <c r="E21" s="346" t="s">
        <v>1440</v>
      </c>
      <c r="F21" s="366">
        <f>'数据-取费表'!B38</f>
        <v>0.01</v>
      </c>
      <c r="G21" s="1853"/>
      <c r="H21" s="371"/>
      <c r="I21" s="355"/>
      <c r="J21" s="29"/>
      <c r="K21" s="372"/>
      <c r="L21" s="346" t="s">
        <v>1441</v>
      </c>
      <c r="M21" s="347">
        <f ca="1">INDIRECT("'数据-取费表'!r"&amp;$G$1)</f>
        <v>86845.52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6" t="s">
        <v>1442</v>
      </c>
      <c r="C22" s="24"/>
      <c r="D22" s="139" t="str">
        <f>IF(F23&lt;=1,"单利计息。","复利计息。")&amp;"建造成本、管理费用、销售费用产生的利息。"</f>
        <v>单利计息。建造成本、管理费用、销售费用产生的利息。</v>
      </c>
      <c r="E22" s="1817"/>
      <c r="F22" s="26"/>
      <c r="G22" s="1850"/>
      <c r="H22" s="1200" t="s">
        <v>1036</v>
      </c>
      <c r="I22" s="346" t="s">
        <v>1443</v>
      </c>
      <c r="J22" s="24">
        <f ca="1">ROUND(J14*M22,1)</f>
        <v>424.7</v>
      </c>
      <c r="K22" s="1797" t="s">
        <v>1444</v>
      </c>
      <c r="L22" s="346" t="s">
        <v>1416</v>
      </c>
      <c r="M22" s="373">
        <f ca="1">INDIRECT("'数据-取费表'!Ak"&amp;$G$1)</f>
        <v>1.4999999999999999E-2</v>
      </c>
    </row>
    <row r="23" spans="1:37" s="1857" customFormat="1" ht="18" customHeight="1">
      <c r="A23" s="1200" t="s">
        <v>1031</v>
      </c>
      <c r="B23" s="346" t="s">
        <v>1445</v>
      </c>
      <c r="C23" s="24">
        <f ca="1">IF('数据-取费表'!B22&lt;=1,ROUND(C19*F24*F23/2,0)+ROUND(C20*F24*F23/2,0),ROUND(C19*(POWER((1+F24),F23/2)-1),0)+ROUND(C20*(POWER((1+F24),F23/2)-1),0))</f>
        <v>514</v>
      </c>
      <c r="D23" s="374" t="str">
        <f>IF(F23&lt;=1,"(建造成本+管理费用)×利率×(建设周期÷2)","(建造成本+管理费用)×((1+利率)^(建设周期÷2)-1)")</f>
        <v>(建造成本+管理费用)×利率×(建设周期÷2)</v>
      </c>
      <c r="E23" s="346" t="s">
        <v>1446</v>
      </c>
      <c r="F23" s="370">
        <f>'数据-取费表'!B20</f>
        <v>1</v>
      </c>
      <c r="G23" s="1853"/>
      <c r="H23" s="1200" t="s">
        <v>1072</v>
      </c>
      <c r="I23" s="346" t="s">
        <v>1447</v>
      </c>
      <c r="J23" s="24">
        <f ca="1">ROUND(J13*M23,1)</f>
        <v>0</v>
      </c>
      <c r="K23" s="1797" t="s">
        <v>1448</v>
      </c>
      <c r="L23" s="346" t="s">
        <v>1449</v>
      </c>
      <c r="M23" s="375">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6" t="s">
        <v>1451</v>
      </c>
      <c r="C24" s="24">
        <f ca="1">ROUND(IF('数据-取费表'!B22&lt;=1,F21*F24*F23/2,F21*(POWER((1+F24),F23/2)-1)),4)</f>
        <v>2.0000000000000001E-4</v>
      </c>
      <c r="D24" s="374" t="str">
        <f>IF(F23&lt;=1,"销售费用×利率×(建设周期÷2)","销售费用×((1+利率)^(建设周期÷2)-1)")</f>
        <v>销售费用×利率×(建设周期÷2)</v>
      </c>
      <c r="E24" s="346" t="s">
        <v>1452</v>
      </c>
      <c r="F24" s="376">
        <f ca="1">'数据-取费表'!B40</f>
        <v>4.3499999999999997E-2</v>
      </c>
      <c r="G24" s="1853"/>
      <c r="H24" s="1338" t="s">
        <v>1388</v>
      </c>
      <c r="I24" s="1339" t="s">
        <v>1433</v>
      </c>
      <c r="J24" s="1340">
        <f ca="1">ROUND(J5*M24,1)</f>
        <v>0</v>
      </c>
      <c r="K24" s="1341" t="s">
        <v>1453</v>
      </c>
      <c r="L24" s="1339" t="s">
        <v>1449</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1454</v>
      </c>
      <c r="B25" s="346" t="s">
        <v>1455</v>
      </c>
      <c r="C25" s="24"/>
      <c r="D25" s="139" t="s">
        <v>1456</v>
      </c>
      <c r="E25" s="1817"/>
      <c r="F25" s="26"/>
      <c r="G25" s="1850"/>
      <c r="H25" s="1328" t="s">
        <v>1028</v>
      </c>
      <c r="I25" s="1343" t="s">
        <v>1457</v>
      </c>
      <c r="J25" s="354">
        <f ca="1">J5-J16</f>
        <v>-438</v>
      </c>
      <c r="K25" s="1344" t="s">
        <v>1458</v>
      </c>
      <c r="L25" s="1345"/>
      <c r="M25" s="1346"/>
    </row>
    <row r="26" spans="1:37">
      <c r="A26" s="1200" t="s">
        <v>1031</v>
      </c>
      <c r="B26" s="346" t="s">
        <v>1459</v>
      </c>
      <c r="C26" s="24">
        <f ca="1">ROUND((C19+C20)*F26,0)</f>
        <v>2363</v>
      </c>
      <c r="D26" s="368" t="s">
        <v>1460</v>
      </c>
      <c r="E26" s="357" t="s">
        <v>1461</v>
      </c>
      <c r="F26" s="356">
        <f ca="1">INDIRECT("'数据-取费表'!q"&amp;$G$1)</f>
        <v>0.1</v>
      </c>
      <c r="G26" s="1850"/>
      <c r="H26" s="343" t="s">
        <v>1029</v>
      </c>
      <c r="I26" s="344" t="s">
        <v>1462</v>
      </c>
      <c r="J26" s="345">
        <f ca="1">IF(J5&lt;&gt;0,ROUND(J25*(1-((1+M28)/(1+M26))^M27)/(M26-M28),0),0)</f>
        <v>0</v>
      </c>
      <c r="K26" s="369" t="s">
        <v>1463</v>
      </c>
      <c r="L26" s="346" t="s">
        <v>1464</v>
      </c>
      <c r="M26" s="356">
        <f ca="1">INDIRECT("'数据-取费表'!I"&amp;$G$1)</f>
        <v>0.05</v>
      </c>
    </row>
    <row r="27" spans="1:37" ht="18" customHeight="1">
      <c r="A27" s="1200" t="s">
        <v>1033</v>
      </c>
      <c r="B27" s="346" t="s">
        <v>1465</v>
      </c>
      <c r="C27" s="24">
        <f ca="1">ROUND(F21*F26,4)</f>
        <v>1E-3</v>
      </c>
      <c r="D27" s="368" t="s">
        <v>1466</v>
      </c>
      <c r="E27" s="364"/>
      <c r="F27" s="365"/>
      <c r="G27" s="1850"/>
      <c r="H27" s="348"/>
      <c r="I27" s="349"/>
      <c r="J27" s="350"/>
      <c r="K27" s="377" t="s">
        <v>1467</v>
      </c>
      <c r="L27" s="346" t="s">
        <v>1468</v>
      </c>
      <c r="M27" s="378">
        <f ca="1">INDIRECT("'数据-取费表'!ag"&amp;$G$1)</f>
        <v>0</v>
      </c>
    </row>
    <row r="28" spans="1:37" s="1857" customFormat="1" ht="18" customHeight="1">
      <c r="A28" s="1200" t="s">
        <v>1034</v>
      </c>
      <c r="B28" s="346" t="s">
        <v>1469</v>
      </c>
      <c r="C28" s="24">
        <f>ROUND(F28/(1+'数据-取费表'!C42),4)</f>
        <v>5.2400000000000002E-2</v>
      </c>
      <c r="D28" s="368" t="s">
        <v>1470</v>
      </c>
      <c r="E28" s="346" t="s">
        <v>1416</v>
      </c>
      <c r="F28" s="366">
        <f>'数据-取费表'!B41</f>
        <v>5.5000000000000007E-2</v>
      </c>
      <c r="G28" s="1853"/>
      <c r="H28" s="352"/>
      <c r="I28" s="353"/>
      <c r="J28" s="354"/>
      <c r="K28" s="372"/>
      <c r="L28" s="346" t="s">
        <v>1471</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1472</v>
      </c>
      <c r="C29" s="1340">
        <f ca="1">ROUND((C19+C20+C23+C26)/(1-F21-C24-C27-C28),0)</f>
        <v>28312</v>
      </c>
      <c r="D29" s="1341"/>
      <c r="E29" s="1339"/>
      <c r="F29" s="1342"/>
      <c r="G29" s="1853"/>
      <c r="H29" s="379" t="s">
        <v>1030</v>
      </c>
      <c r="I29" s="380" t="s">
        <v>1473</v>
      </c>
      <c r="J29" s="381">
        <f ca="1">ROUND(J26/(1+F40)^F41,0)</f>
        <v>0</v>
      </c>
      <c r="K29" s="382" t="s">
        <v>1474</v>
      </c>
      <c r="L29" s="383"/>
      <c r="M29" s="384">
        <f ca="1">INDIRECT("'数据-取费表'!k"&amp;$G$1)</f>
        <v>83197.549999999988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1418</v>
      </c>
      <c r="C30" s="354">
        <f ca="1">ROUND(C31+C36+C37+C38,0)</f>
        <v>1057</v>
      </c>
      <c r="D30" s="1336" t="s">
        <v>1419</v>
      </c>
      <c r="E30" s="1337"/>
      <c r="F30" s="1293"/>
      <c r="G30" s="1850"/>
      <c r="H30" s="744"/>
      <c r="I30" s="745"/>
      <c r="J30" s="746"/>
      <c r="K30" s="747"/>
      <c r="L30" s="748"/>
      <c r="M30" s="749"/>
    </row>
    <row r="31" spans="1:37" ht="18" customHeight="1">
      <c r="A31" s="1200" t="s">
        <v>1032</v>
      </c>
      <c r="B31" s="346" t="s">
        <v>1423</v>
      </c>
      <c r="C31" s="24">
        <f ca="1">ROUND(IF(项目基本情况!B11="自然人",C6*F31/(1+'数据-取费表'!C42),C32+C33+C34),1)</f>
        <v>559.70000000000005</v>
      </c>
      <c r="D31" s="1799" t="s">
        <v>1424</v>
      </c>
      <c r="E31" s="1797" t="s">
        <v>1475</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1427</v>
      </c>
      <c r="C32" s="24">
        <f ca="1">IF(项目基本情况!B11="自然人","——",ROUND(C6*F32/(1+'数据-取费表'!C42),2))</f>
        <v>171.81</v>
      </c>
      <c r="D32" s="1797" t="s">
        <v>1428</v>
      </c>
      <c r="E32" s="346" t="s">
        <v>1416</v>
      </c>
      <c r="F32" s="376">
        <f>'数据-取费表'!B41</f>
        <v>5.5000000000000007E-2</v>
      </c>
      <c r="G32" s="1850"/>
      <c r="H32" s="744"/>
      <c r="I32" s="745"/>
      <c r="J32" s="746"/>
      <c r="K32" s="747"/>
      <c r="L32" s="748"/>
      <c r="M32" s="749"/>
    </row>
    <row r="33" spans="1:18" ht="18" customHeight="1">
      <c r="A33" s="1200" t="s">
        <v>1033</v>
      </c>
      <c r="B33" s="346" t="s">
        <v>1431</v>
      </c>
      <c r="C33" s="24">
        <f ca="1">IF(项目基本情况!B11="自然人","——",IF(D33="按租金收入计税",ROUND(C6*F33/(1+'数据-取费表'!C42),2),IF(D33="按房产原值计税",ROUND(C29*F33*0.7,2),INDIRECT("'数据-取费表'!Aj"&amp;$G$1))))</f>
        <v>374.86</v>
      </c>
      <c r="D33" s="1827" t="s">
        <v>3076</v>
      </c>
      <c r="E33" s="346" t="s">
        <v>1416</v>
      </c>
      <c r="F33" s="366">
        <f>IF(D33="按票据","——",IF(D33="按租金收入计税",'数据-取费表'!B51,'数据-取费表'!B50))</f>
        <v>0.12</v>
      </c>
      <c r="G33" s="1850"/>
      <c r="H33" s="1858"/>
      <c r="I33" s="1859"/>
      <c r="J33" s="1860"/>
      <c r="K33" s="1861"/>
      <c r="L33" s="1858"/>
      <c r="M33" s="1858"/>
    </row>
    <row r="34" spans="1:18" ht="18" customHeight="1">
      <c r="A34" s="1290" t="s">
        <v>1384</v>
      </c>
      <c r="B34" s="163" t="s">
        <v>1435</v>
      </c>
      <c r="C34" s="25">
        <f ca="1">IF(项目基本情况!B11="自然人","——",ROUND(F34*F35/10000,2))</f>
        <v>13.03</v>
      </c>
      <c r="D34" s="369" t="s">
        <v>1436</v>
      </c>
      <c r="E34" s="346" t="s">
        <v>1437</v>
      </c>
      <c r="F34" s="370">
        <f>'数据-取费表'!B52</f>
        <v>1.5</v>
      </c>
      <c r="G34" s="1850"/>
      <c r="H34" s="744"/>
      <c r="I34" s="1859"/>
      <c r="J34" s="1860"/>
      <c r="K34" s="1862"/>
      <c r="L34" s="1863"/>
      <c r="M34" s="1863"/>
    </row>
    <row r="35" spans="1:18" ht="18" customHeight="1">
      <c r="A35" s="1352"/>
      <c r="B35" s="1350"/>
      <c r="C35" s="29"/>
      <c r="D35" s="372"/>
      <c r="E35" s="346" t="s">
        <v>1441</v>
      </c>
      <c r="F35" s="347">
        <f ca="1">INDIRECT("'数据-取费表'!r"&amp;$G$1)</f>
        <v>86845.52</v>
      </c>
      <c r="G35" s="1850"/>
      <c r="H35" s="744"/>
      <c r="I35" s="1859"/>
      <c r="J35" s="1860"/>
      <c r="K35" s="1861"/>
      <c r="L35" s="1858"/>
      <c r="M35" s="1858"/>
    </row>
    <row r="36" spans="1:18" ht="18" customHeight="1">
      <c r="A36" s="1351" t="s">
        <v>1036</v>
      </c>
      <c r="B36" s="346" t="s">
        <v>1443</v>
      </c>
      <c r="C36" s="24">
        <f ca="1">ROUND(C29*F36,1)</f>
        <v>424.7</v>
      </c>
      <c r="D36" s="1797" t="s">
        <v>1476</v>
      </c>
      <c r="E36" s="346" t="s">
        <v>1416</v>
      </c>
      <c r="F36" s="373">
        <f ca="1">INDIRECT("'数据-取费表'!Ak"&amp;$G$1)</f>
        <v>1.4999999999999999E-2</v>
      </c>
      <c r="G36" s="1850"/>
      <c r="H36" s="1858"/>
      <c r="I36" s="1859"/>
      <c r="J36" s="1860"/>
      <c r="K36" s="750"/>
      <c r="L36" s="1858"/>
      <c r="M36" s="1858"/>
    </row>
    <row r="37" spans="1:18" ht="18" customHeight="1">
      <c r="A37" s="1200" t="s">
        <v>1072</v>
      </c>
      <c r="B37" s="346" t="s">
        <v>1447</v>
      </c>
      <c r="C37" s="24">
        <f ca="1">ROUND(C13*F37,1)</f>
        <v>39.9</v>
      </c>
      <c r="D37" s="1797" t="s">
        <v>1448</v>
      </c>
      <c r="E37" s="346" t="s">
        <v>1449</v>
      </c>
      <c r="F37" s="375">
        <f ca="1">INDIRECT("'数据-取费表'!Al"&amp;$G$1)</f>
        <v>1.5E-3</v>
      </c>
      <c r="G37" s="1850"/>
      <c r="H37" s="1858"/>
      <c r="I37" s="1859"/>
      <c r="J37" s="1860"/>
      <c r="K37" s="750"/>
      <c r="L37" s="1858"/>
      <c r="M37" s="1858"/>
    </row>
    <row r="38" spans="1:18" ht="18" customHeight="1" thickBot="1">
      <c r="A38" s="1338" t="s">
        <v>1388</v>
      </c>
      <c r="B38" s="1339" t="s">
        <v>1433</v>
      </c>
      <c r="C38" s="1340">
        <f ca="1">ROUND(C5*F38,1)</f>
        <v>32.799999999999997</v>
      </c>
      <c r="D38" s="1341" t="s">
        <v>1453</v>
      </c>
      <c r="E38" s="1339" t="s">
        <v>1449</v>
      </c>
      <c r="F38" s="1335">
        <f ca="1">INDIRECT("'数据-取费表'!Am"&amp;$G$1)</f>
        <v>0.01</v>
      </c>
      <c r="G38" s="1850"/>
      <c r="H38" s="1858"/>
      <c r="I38" s="1859"/>
      <c r="J38" s="1860"/>
      <c r="K38" s="1864"/>
      <c r="L38" s="1858"/>
      <c r="M38" s="1858"/>
    </row>
    <row r="39" spans="1:18" ht="24.6" customHeight="1" thickTop="1">
      <c r="A39" s="1328" t="s">
        <v>1028</v>
      </c>
      <c r="B39" s="1343" t="s">
        <v>1477</v>
      </c>
      <c r="C39" s="354">
        <f ca="1">C5-C30</f>
        <v>2227</v>
      </c>
      <c r="D39" s="1344" t="s">
        <v>1478</v>
      </c>
      <c r="E39" s="1345"/>
      <c r="F39" s="1346"/>
      <c r="G39" s="1850"/>
      <c r="H39" s="1858"/>
      <c r="I39" s="1859"/>
      <c r="J39" s="1860"/>
      <c r="K39" s="1864"/>
      <c r="L39" s="1858"/>
      <c r="M39" s="1858"/>
    </row>
    <row r="40" spans="1:18" ht="18" customHeight="1">
      <c r="A40" s="343" t="s">
        <v>1029</v>
      </c>
      <c r="B40" s="344" t="s">
        <v>1479</v>
      </c>
      <c r="C40" s="345">
        <f ca="1">ROUND(C39*(1-((1+F42)/(1+F40))^F41)/(F40-F42),0)</f>
        <v>46811</v>
      </c>
      <c r="D40" s="369" t="s">
        <v>1463</v>
      </c>
      <c r="E40" s="346" t="s">
        <v>1464</v>
      </c>
      <c r="F40" s="356">
        <f ca="1">INDIRECT("'数据-取费表'!I"&amp;$G$1)</f>
        <v>0.05</v>
      </c>
      <c r="G40" s="1850"/>
      <c r="H40" s="1838"/>
      <c r="I40" s="1859"/>
      <c r="J40" s="1860"/>
      <c r="K40" s="1864"/>
      <c r="L40" s="1838"/>
      <c r="M40" s="1838"/>
    </row>
    <row r="41" spans="1:18" ht="18" customHeight="1">
      <c r="A41" s="348"/>
      <c r="B41" s="349"/>
      <c r="C41" s="350"/>
      <c r="D41" s="377" t="s">
        <v>1480</v>
      </c>
      <c r="E41" s="346" t="s">
        <v>1468</v>
      </c>
      <c r="F41" s="378">
        <f ca="1">IF(INDIRECT("'数据-取费表'!af"&amp;$G$1)=0,INDIRECT("'数据-取费表'!ae"&amp;$G$1),INDIRECT("'数据-取费表'!af"&amp;$G$1))</f>
        <v>28.36</v>
      </c>
      <c r="G41" s="1850"/>
      <c r="H41" s="731"/>
      <c r="I41" s="1859"/>
      <c r="J41" s="1860"/>
      <c r="K41" s="750"/>
      <c r="L41" s="731"/>
      <c r="M41" s="731"/>
    </row>
    <row r="42" spans="1:18" ht="18" customHeight="1">
      <c r="A42" s="352"/>
      <c r="B42" s="353"/>
      <c r="C42" s="354"/>
      <c r="D42" s="372"/>
      <c r="E42" s="346" t="s">
        <v>1471</v>
      </c>
      <c r="F42" s="356">
        <f ca="1">INDIRECT("'数据-取费表'!v"&amp;$G$1)</f>
        <v>0.03</v>
      </c>
      <c r="G42" s="1850"/>
      <c r="H42" s="731"/>
      <c r="I42" s="1859"/>
      <c r="J42" s="1860"/>
      <c r="K42" s="750"/>
      <c r="L42" s="731"/>
      <c r="M42" s="731"/>
    </row>
    <row r="43" spans="1:18" ht="18" customHeight="1" thickBot="1">
      <c r="A43" s="379" t="s">
        <v>1030</v>
      </c>
      <c r="B43" s="380" t="s">
        <v>1481</v>
      </c>
      <c r="C43" s="381">
        <f ca="1">ROUND(C40*10000/F43,0)</f>
        <v>5626</v>
      </c>
      <c r="D43" s="382" t="s">
        <v>1482</v>
      </c>
      <c r="E43" s="383" t="s">
        <v>1483</v>
      </c>
      <c r="F43" s="384">
        <f ca="1">INDIRECT("'数据-取费表'!k"&amp;$G$1)</f>
        <v>83197.549999999988</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1513</v>
      </c>
      <c r="P45" s="1838"/>
      <c r="Q45" s="1838"/>
      <c r="R45" s="1838"/>
    </row>
    <row r="46" spans="1:18" s="1841" customFormat="1" ht="13.5" thickBot="1">
      <c r="A46" s="1869" t="s">
        <v>1514</v>
      </c>
      <c r="C46" s="1870">
        <f ca="1">C68-C40</f>
        <v>-15769</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4" t="s">
        <v>1391</v>
      </c>
      <c r="B47" s="1196" t="s">
        <v>1392</v>
      </c>
      <c r="C47" s="1366" t="s">
        <v>1393</v>
      </c>
      <c r="D47" s="1196" t="s">
        <v>1394</v>
      </c>
      <c r="E47" s="1278" t="s">
        <v>1395</v>
      </c>
      <c r="F47" s="1279"/>
      <c r="G47" s="791"/>
      <c r="I47" s="1879" t="s">
        <v>1520</v>
      </c>
      <c r="J47" s="1880" t="s">
        <v>3071</v>
      </c>
      <c r="K47" s="1881" t="s">
        <v>1521</v>
      </c>
      <c r="L47" s="1882">
        <f ca="1">INDIRECT("'数据-取费表'!d"&amp;$G$1)</f>
        <v>50</v>
      </c>
      <c r="M47" s="1837" t="str">
        <f>IF(ISNUMBER(FIND("住宅",C1)),"住宅","非住宅")</f>
        <v>非住宅</v>
      </c>
      <c r="O47" s="1883" t="s">
        <v>1037</v>
      </c>
      <c r="P47" s="1884" t="s">
        <v>1522</v>
      </c>
      <c r="Q47" s="1885">
        <f ca="1">C40+J29</f>
        <v>46811</v>
      </c>
      <c r="R47" s="1885" t="s">
        <v>1523</v>
      </c>
    </row>
    <row r="48" spans="1:18" s="1841" customFormat="1" ht="28.5" thickBot="1">
      <c r="A48" s="1359" t="s">
        <v>1132</v>
      </c>
      <c r="B48" s="344" t="s">
        <v>1396</v>
      </c>
      <c r="C48" s="1816">
        <f ca="1">C49+C53+C55</f>
        <v>2736</v>
      </c>
      <c r="D48" s="1361"/>
      <c r="E48" s="1362"/>
      <c r="F48" s="1180"/>
      <c r="G48" s="791"/>
      <c r="H48" s="792"/>
      <c r="I48" s="1886" t="s">
        <v>1524</v>
      </c>
      <c r="J48" s="1887" t="s">
        <v>3072</v>
      </c>
      <c r="K48" s="1888" t="s">
        <v>1525</v>
      </c>
      <c r="L48" s="1889">
        <f ca="1">INDIRECT("'数据-取费表'!f"&amp;$G$1)</f>
        <v>28.36</v>
      </c>
      <c r="O48" s="1883" t="s">
        <v>1038</v>
      </c>
      <c r="P48" s="1884" t="s">
        <v>1526</v>
      </c>
      <c r="Q48" s="1885" t="str">
        <f ca="1">J60</f>
        <v>0</v>
      </c>
      <c r="R48" s="1885" t="s">
        <v>1527</v>
      </c>
    </row>
    <row r="49" spans="1:18" s="1841" customFormat="1" ht="13.5" thickBot="1">
      <c r="A49" s="1193" t="s">
        <v>1133</v>
      </c>
      <c r="B49" s="1828" t="s">
        <v>1484</v>
      </c>
      <c r="C49" s="1363">
        <f ca="1">ROUND(F49*F51*F50*(1-F52)/10000,0)</f>
        <v>2733</v>
      </c>
      <c r="D49" s="1275" t="s">
        <v>3025</v>
      </c>
      <c r="E49" s="1829" t="s">
        <v>1485</v>
      </c>
      <c r="F49" s="1280">
        <v>1</v>
      </c>
      <c r="G49" s="1890"/>
      <c r="H49" s="792"/>
      <c r="I49" s="1886" t="s">
        <v>1528</v>
      </c>
      <c r="J49" s="1891">
        <f>'数据-取费表'!N18</f>
        <v>2014</v>
      </c>
      <c r="K49" s="1888" t="s">
        <v>1529</v>
      </c>
      <c r="L49" s="1892"/>
      <c r="O49" s="1893" t="s">
        <v>1039</v>
      </c>
      <c r="P49" s="1884" t="s">
        <v>1530</v>
      </c>
      <c r="Q49" s="1885">
        <f ca="1">C29</f>
        <v>28312</v>
      </c>
      <c r="R49" s="1885" t="s">
        <v>1523</v>
      </c>
    </row>
    <row r="50" spans="1:18" s="1841" customFormat="1" ht="13.5" thickBot="1">
      <c r="A50" s="1194"/>
      <c r="B50" s="1197"/>
      <c r="C50" s="1367"/>
      <c r="D50" s="1171"/>
      <c r="E50" s="1276" t="s">
        <v>1401</v>
      </c>
      <c r="F50" s="1277">
        <f ca="1">F7</f>
        <v>83197.549999999988</v>
      </c>
      <c r="H50" s="792"/>
      <c r="I50" s="1886" t="s">
        <v>1531</v>
      </c>
      <c r="J50" s="1894">
        <f>SUMPRODUCT((I63:I65=J47)*(J62:L62=J48)*(J63:L65))</f>
        <v>80</v>
      </c>
      <c r="K50" s="1888" t="s">
        <v>1532</v>
      </c>
      <c r="L50" s="1892"/>
      <c r="M50" s="1895"/>
      <c r="O50" s="1893" t="s">
        <v>1040</v>
      </c>
      <c r="P50" s="1884" t="s">
        <v>1533</v>
      </c>
      <c r="Q50" s="1896" t="e">
        <f ca="1">J58</f>
        <v>#VALUE!</v>
      </c>
      <c r="R50" s="1885"/>
    </row>
    <row r="51" spans="1:18" s="1841" customFormat="1" ht="13.5" thickBot="1">
      <c r="A51" s="1195"/>
      <c r="B51" s="1197"/>
      <c r="C51" s="1198"/>
      <c r="D51" s="1171"/>
      <c r="E51" s="1199" t="s">
        <v>1402</v>
      </c>
      <c r="F51" s="347">
        <f ca="1">F8</f>
        <v>365</v>
      </c>
      <c r="I51" s="1897" t="s">
        <v>1534</v>
      </c>
      <c r="J51" s="1898">
        <f>IF(J49="",J50,J49+J50-YEAR('数据-取费表'!B2))</f>
        <v>75</v>
      </c>
      <c r="K51" s="1899" t="s">
        <v>1535</v>
      </c>
      <c r="L51" s="1900">
        <f ca="1">ROUND(-PV(INDIRECT("'数据-取费表'!h"&amp;$G$1),L48,(C39-C13*C76),0),0)</f>
        <v>1501</v>
      </c>
      <c r="M51" s="1901"/>
      <c r="O51" s="1893" t="s">
        <v>1041</v>
      </c>
      <c r="P51" s="1884" t="s">
        <v>1536</v>
      </c>
      <c r="Q51" s="1896">
        <f>J52</f>
        <v>8.5000000000000006E-2</v>
      </c>
      <c r="R51" s="1885"/>
    </row>
    <row r="52" spans="1:18" s="1841" customFormat="1" ht="13.5" thickBot="1">
      <c r="A52" s="1195"/>
      <c r="B52" s="1197"/>
      <c r="C52" s="1198"/>
      <c r="D52" s="1171"/>
      <c r="E52" s="1199" t="s">
        <v>1403</v>
      </c>
      <c r="F52" s="1274">
        <v>0.1</v>
      </c>
      <c r="I52" s="1902" t="s">
        <v>1537</v>
      </c>
      <c r="J52" s="1903">
        <v>8.5000000000000006E-2</v>
      </c>
      <c r="K52" s="1902" t="s">
        <v>1538</v>
      </c>
      <c r="L52" s="1903"/>
      <c r="O52" s="1893" t="s">
        <v>1042</v>
      </c>
      <c r="P52" s="1884" t="s">
        <v>1539</v>
      </c>
      <c r="Q52" s="1885">
        <f ca="1">J53</f>
        <v>28.36</v>
      </c>
      <c r="R52" s="1885" t="s">
        <v>1540</v>
      </c>
    </row>
    <row r="53" spans="1:18" s="1841" customFormat="1" ht="24.75" thickBot="1">
      <c r="A53" s="1404" t="s">
        <v>1134</v>
      </c>
      <c r="B53" s="1830" t="s">
        <v>1404</v>
      </c>
      <c r="C53" s="360">
        <f ca="1">ROUND(IF(F53="押一",C49/12*F11,IF(F53="押二",C49/12*2*F11,IF(F53="押三",C49/12*3*F11,C54*F11))),0)</f>
        <v>3</v>
      </c>
      <c r="D53" s="1823" t="s">
        <v>3032</v>
      </c>
      <c r="E53" s="357" t="s">
        <v>1405</v>
      </c>
      <c r="F53" s="1365" t="s">
        <v>3194</v>
      </c>
      <c r="I53" s="1904" t="s">
        <v>1541</v>
      </c>
      <c r="J53" s="2948">
        <f ca="1">IF(M47="住宅",IF(D1="——",MAX(J51,L48),MAX(J51,L48-'数据-取费表'!B24)),IF(D1="——",MIN(J51,L48),MIN(J51,L48-'数据-取费表'!B24)))</f>
        <v>28.36</v>
      </c>
      <c r="K53" s="3249" t="s">
        <v>1542</v>
      </c>
      <c r="L53" s="3250"/>
      <c r="O53" s="1883" t="s">
        <v>1043</v>
      </c>
      <c r="P53" s="1884" t="s">
        <v>1543</v>
      </c>
      <c r="Q53" s="1885">
        <f ca="1">Q47+Q48</f>
        <v>46811</v>
      </c>
      <c r="R53" s="1885" t="s">
        <v>1044</v>
      </c>
    </row>
    <row r="54" spans="1:18" s="1841" customFormat="1" ht="13.5" thickBot="1">
      <c r="A54" s="1405"/>
      <c r="B54" s="1824" t="s">
        <v>1383</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2" t="s">
        <v>1072</v>
      </c>
      <c r="B55" s="1826" t="s">
        <v>1407</v>
      </c>
      <c r="C55" s="1333"/>
      <c r="D55" s="1823"/>
      <c r="E55" s="1831"/>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25.5" thickTop="1" thickBot="1">
      <c r="A56" s="1175">
        <v>2</v>
      </c>
      <c r="B56" s="1176" t="s">
        <v>1408</v>
      </c>
      <c r="C56" s="275">
        <f ca="1">C13</f>
        <v>26613</v>
      </c>
      <c r="D56" s="1912"/>
      <c r="E56" s="1913"/>
      <c r="F56" s="1905"/>
      <c r="I56" s="1914" t="s">
        <v>1548</v>
      </c>
      <c r="J56" s="1915" t="s">
        <v>3062</v>
      </c>
      <c r="K56" s="1886" t="s">
        <v>1549</v>
      </c>
      <c r="L56" s="1889" t="str">
        <f ca="1">IF(L48&lt;J51,"——",L48-J53)</f>
        <v>——</v>
      </c>
      <c r="O56" s="1883" t="s">
        <v>1037</v>
      </c>
      <c r="P56" s="1884" t="s">
        <v>1522</v>
      </c>
      <c r="Q56" s="1885">
        <f ca="1">C40+J29</f>
        <v>46811</v>
      </c>
      <c r="R56" s="1885" t="s">
        <v>1523</v>
      </c>
    </row>
    <row r="57" spans="1:18" s="1841" customFormat="1" ht="24.75" thickBot="1">
      <c r="A57" s="1916"/>
      <c r="B57" s="1168" t="s">
        <v>1472</v>
      </c>
      <c r="C57" s="281">
        <f ca="1">C29</f>
        <v>28312</v>
      </c>
      <c r="D57" s="1917"/>
      <c r="E57" s="1918"/>
      <c r="F57" s="1919"/>
      <c r="I57" s="1920" t="s">
        <v>1550</v>
      </c>
      <c r="J57" s="1921" t="str">
        <f ca="1">IF(OR(M47="住宅",J51&lt;L48,J56="是"),"——",J51-L48)</f>
        <v>——</v>
      </c>
      <c r="K57" s="1886" t="s">
        <v>1551</v>
      </c>
      <c r="L57" s="1889" t="str">
        <f ca="1">IF(L48&lt;J51,"——",IF(L55="比较法",L49,IF(L55="基准地价",L50,L51)))</f>
        <v>——</v>
      </c>
      <c r="O57" s="1883" t="s">
        <v>1038</v>
      </c>
      <c r="P57" s="1884" t="s">
        <v>1552</v>
      </c>
      <c r="Q57" s="1885">
        <f ca="1">L60</f>
        <v>0</v>
      </c>
      <c r="R57" s="1885" t="s">
        <v>1553</v>
      </c>
    </row>
    <row r="58" spans="1:18" s="1841" customFormat="1" ht="24.75" thickBot="1">
      <c r="A58" s="359" t="s">
        <v>1027</v>
      </c>
      <c r="B58" s="1176" t="s">
        <v>1418</v>
      </c>
      <c r="C58" s="360">
        <f ca="1">ROUND(C59+C64+C65+C66,0)</f>
        <v>977</v>
      </c>
      <c r="D58" s="1178" t="s">
        <v>1419</v>
      </c>
      <c r="E58" s="1179"/>
      <c r="F58" s="1180"/>
      <c r="I58" s="1920" t="s">
        <v>1554</v>
      </c>
      <c r="J58" s="1922" t="e">
        <f ca="1">IF(J55&lt;0.4,0.4,J55)</f>
        <v>#VALUE!</v>
      </c>
      <c r="K58" s="1899" t="s">
        <v>1555</v>
      </c>
      <c r="L58" s="1889" t="e">
        <f ca="1">ROUND(POWER(1+L52,L47-L48)*(POWER(1+L52,L48)-1)/(POWER(1+L52,L47)-1),4)</f>
        <v>#DIV/0!</v>
      </c>
      <c r="O58" s="1893" t="s">
        <v>1039</v>
      </c>
      <c r="P58" s="1884" t="s">
        <v>1556</v>
      </c>
      <c r="Q58" s="1885">
        <f>IF(L55="比较法",L49,IF(L55="基准地价",L50,0))</f>
        <v>0</v>
      </c>
      <c r="R58" s="1885" t="s">
        <v>1523</v>
      </c>
    </row>
    <row r="59" spans="1:18" s="1841" customFormat="1" ht="24.75" thickBot="1">
      <c r="A59" s="1200" t="s">
        <v>1032</v>
      </c>
      <c r="B59" s="1168" t="s">
        <v>1423</v>
      </c>
      <c r="C59" s="24">
        <f ca="1">ROUND(IF(项目基本情况!B11="自然人",C48*F59,C60+C61+C62),1)</f>
        <v>484.7</v>
      </c>
      <c r="D59" s="1181" t="s">
        <v>1424</v>
      </c>
      <c r="E59" s="1182" t="s">
        <v>1425</v>
      </c>
      <c r="F59" s="367"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1558</v>
      </c>
      <c r="Q59" s="1896">
        <f>L52</f>
        <v>0</v>
      </c>
      <c r="R59" s="1885"/>
    </row>
    <row r="60" spans="1:18" s="1841" customFormat="1" ht="16.5" thickBot="1">
      <c r="A60" s="1200" t="s">
        <v>1031</v>
      </c>
      <c r="B60" s="1168" t="s">
        <v>1427</v>
      </c>
      <c r="C60" s="24">
        <f ca="1">IF(项目基本情况!B11="自然人","——",ROUND(C48*F60/(1+'数据-取费表'!C42),2))</f>
        <v>143.31</v>
      </c>
      <c r="D60" s="1182" t="s">
        <v>1428</v>
      </c>
      <c r="E60" s="1168" t="s">
        <v>1416</v>
      </c>
      <c r="F60" s="376">
        <f t="shared" ref="F60:F66" si="0">F32</f>
        <v>5.5000000000000007E-2</v>
      </c>
      <c r="I60" s="1923" t="s">
        <v>1559</v>
      </c>
      <c r="J60" s="1924" t="str">
        <f ca="1">IF(OR(M47="住宅",J51&lt;L48,J56="是"),"0",ROUND(J59/(1+J52)^J53,0))</f>
        <v>0</v>
      </c>
      <c r="K60" s="1925" t="s">
        <v>1560</v>
      </c>
      <c r="L60" s="1924">
        <f ca="1">IF(OR(M47="住宅",L48&lt;J51),0,ROUND(L57*(L58/L59-1),0))</f>
        <v>0</v>
      </c>
      <c r="O60" s="1893" t="s">
        <v>1041</v>
      </c>
      <c r="P60" s="1884" t="s">
        <v>1561</v>
      </c>
      <c r="Q60" s="1885" t="e">
        <f ca="1">L58</f>
        <v>#DIV/0!</v>
      </c>
      <c r="R60" s="1885" t="s">
        <v>1562</v>
      </c>
    </row>
    <row r="61" spans="1:18" s="1841" customFormat="1" ht="13.5" thickBot="1">
      <c r="A61" s="1200" t="s">
        <v>1486</v>
      </c>
      <c r="B61" s="1168" t="s">
        <v>1487</v>
      </c>
      <c r="C61" s="24">
        <f ca="1">IF(项目基本情况!B11="自然人","——",IF(D61="按租金收入计税",ROUND(C48*F61,2),IF(D61="按房产原值计税",ROUND(C57*F61*0.7,2),INDIRECT("'数据-取费表'!Aj"&amp;$G$1))))</f>
        <v>328.32</v>
      </c>
      <c r="D61" s="1827" t="s">
        <v>3076</v>
      </c>
      <c r="E61" s="1168" t="s">
        <v>1488</v>
      </c>
      <c r="F61" s="366">
        <f t="shared" si="0"/>
        <v>0.12</v>
      </c>
      <c r="I61" s="1926"/>
      <c r="J61" s="1926"/>
      <c r="K61" s="1926"/>
      <c r="L61" s="1926"/>
      <c r="O61" s="1893" t="s">
        <v>1042</v>
      </c>
      <c r="P61" s="1884" t="str">
        <f>K59</f>
        <v>建筑物剩余耐用年限下的土地年期修正系数Kn</v>
      </c>
      <c r="Q61" s="1885" t="e">
        <f ca="1">L59</f>
        <v>#DIV/0!</v>
      </c>
      <c r="R61" s="1885" t="s">
        <v>1563</v>
      </c>
    </row>
    <row r="62" spans="1:18" s="1841" customFormat="1" ht="13.5" thickBot="1">
      <c r="A62" s="1200" t="s">
        <v>1489</v>
      </c>
      <c r="B62" s="1167" t="s">
        <v>1490</v>
      </c>
      <c r="C62" s="25">
        <f ca="1">IF(项目基本情况!B11="自然人","——",ROUND(F62*F63/10000,2))</f>
        <v>13.03</v>
      </c>
      <c r="D62" s="1183" t="s">
        <v>1491</v>
      </c>
      <c r="E62" s="1168" t="s">
        <v>1492</v>
      </c>
      <c r="F62" s="370">
        <f t="shared" si="0"/>
        <v>1.5</v>
      </c>
      <c r="I62" s="1927" t="s">
        <v>1564</v>
      </c>
      <c r="J62" s="1928" t="s">
        <v>1565</v>
      </c>
      <c r="K62" s="1928" t="s">
        <v>1566</v>
      </c>
      <c r="L62" s="1928" t="s">
        <v>1567</v>
      </c>
      <c r="M62" s="1929" t="s">
        <v>1568</v>
      </c>
      <c r="O62" s="1883" t="s">
        <v>1043</v>
      </c>
      <c r="P62" s="1884" t="s">
        <v>1569</v>
      </c>
      <c r="Q62" s="1885">
        <f ca="1">Q56+Q57</f>
        <v>46811</v>
      </c>
      <c r="R62" s="1885" t="s">
        <v>1044</v>
      </c>
    </row>
    <row r="63" spans="1:18" s="1841" customFormat="1" ht="13.5" thickBot="1">
      <c r="A63" s="371"/>
      <c r="B63" s="1174"/>
      <c r="C63" s="29"/>
      <c r="D63" s="1184"/>
      <c r="E63" s="1168" t="s">
        <v>1493</v>
      </c>
      <c r="F63" s="347">
        <f t="shared" ca="1" si="0"/>
        <v>86845.52</v>
      </c>
      <c r="I63" s="1927" t="s">
        <v>1570</v>
      </c>
      <c r="J63" s="1928">
        <v>70</v>
      </c>
      <c r="K63" s="1928">
        <v>50</v>
      </c>
      <c r="L63" s="1928">
        <v>80</v>
      </c>
      <c r="M63" s="1930">
        <v>0.02</v>
      </c>
      <c r="O63" s="1868" t="s">
        <v>1571</v>
      </c>
      <c r="P63" s="1838"/>
      <c r="Q63" s="1838"/>
      <c r="R63" s="1838"/>
    </row>
    <row r="64" spans="1:18" s="1841" customFormat="1" ht="13.5" thickBot="1">
      <c r="A64" s="1200" t="s">
        <v>1494</v>
      </c>
      <c r="B64" s="1168" t="s">
        <v>1495</v>
      </c>
      <c r="C64" s="24">
        <f ca="1">ROUND(C57*F64,1)</f>
        <v>424.7</v>
      </c>
      <c r="D64" s="1182" t="s">
        <v>1496</v>
      </c>
      <c r="E64" s="1168" t="s">
        <v>1488</v>
      </c>
      <c r="F64" s="373">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ROUND(C56*F65,1)</f>
        <v>39.9</v>
      </c>
      <c r="D65" s="1182" t="s">
        <v>1448</v>
      </c>
      <c r="E65" s="1168" t="s">
        <v>1449</v>
      </c>
      <c r="F65" s="375">
        <f t="shared" ca="1" si="0"/>
        <v>1.5E-3</v>
      </c>
      <c r="I65" s="1927" t="s">
        <v>1573</v>
      </c>
      <c r="J65" s="1928">
        <v>40</v>
      </c>
      <c r="K65" s="1928">
        <v>30</v>
      </c>
      <c r="L65" s="1928">
        <v>50</v>
      </c>
      <c r="M65" s="1930">
        <v>0.02</v>
      </c>
      <c r="O65" s="1883" t="s">
        <v>1037</v>
      </c>
      <c r="P65" s="1884" t="s">
        <v>1574</v>
      </c>
      <c r="Q65" s="1885">
        <f ca="1">C40+J29</f>
        <v>46811</v>
      </c>
      <c r="R65" s="1885" t="s">
        <v>1523</v>
      </c>
    </row>
    <row r="66" spans="1:18" s="1841" customFormat="1" ht="16.5" thickBot="1">
      <c r="A66" s="1200" t="s">
        <v>1498</v>
      </c>
      <c r="B66" s="1168" t="s">
        <v>1433</v>
      </c>
      <c r="C66" s="24">
        <f ca="1">ROUND(C48*F66,1)</f>
        <v>27.4</v>
      </c>
      <c r="D66" s="1182" t="s">
        <v>1499</v>
      </c>
      <c r="E66" s="1168" t="s">
        <v>1416</v>
      </c>
      <c r="F66" s="356">
        <f t="shared" ca="1" si="0"/>
        <v>0.01</v>
      </c>
      <c r="O66" s="1883" t="s">
        <v>1038</v>
      </c>
      <c r="P66" s="1884" t="s">
        <v>1552</v>
      </c>
      <c r="Q66" s="1885">
        <f ca="1">L60</f>
        <v>0</v>
      </c>
      <c r="R66" s="1885" t="s">
        <v>1575</v>
      </c>
    </row>
    <row r="67" spans="1:18" s="1841" customFormat="1" ht="16.5" thickBot="1">
      <c r="A67" s="1175" t="s">
        <v>1028</v>
      </c>
      <c r="B67" s="1185" t="s">
        <v>1457</v>
      </c>
      <c r="C67" s="360">
        <f ca="1">C48-C58</f>
        <v>1759</v>
      </c>
      <c r="D67" s="1181" t="s">
        <v>1458</v>
      </c>
      <c r="E67" s="1186"/>
      <c r="F67" s="1187"/>
      <c r="O67" s="1893" t="s">
        <v>1039</v>
      </c>
      <c r="P67" s="1884" t="s">
        <v>1556</v>
      </c>
      <c r="Q67" s="1931">
        <f ca="1">L51</f>
        <v>1501</v>
      </c>
      <c r="R67" s="1885" t="s">
        <v>1576</v>
      </c>
    </row>
    <row r="68" spans="1:18" s="1841" customFormat="1" ht="16.5" thickBot="1">
      <c r="A68" s="1165" t="s">
        <v>1029</v>
      </c>
      <c r="B68" s="1166" t="s">
        <v>1479</v>
      </c>
      <c r="C68" s="345">
        <f ca="1">ROUND(C67*(1-((1+F70)/(1+F68))^F69)/(F68-F70),0)</f>
        <v>31042</v>
      </c>
      <c r="D68" s="1183" t="s">
        <v>1463</v>
      </c>
      <c r="E68" s="1168" t="s">
        <v>1464</v>
      </c>
      <c r="F68" s="356">
        <f ca="1">F40</f>
        <v>0.05</v>
      </c>
      <c r="O68" s="1893" t="s">
        <v>1040</v>
      </c>
      <c r="P68" s="1932" t="s">
        <v>1577</v>
      </c>
      <c r="Q68" s="1885">
        <f ca="1">ROUND(Q69-Q70*Q71,0)</f>
        <v>98</v>
      </c>
      <c r="R68" s="1885" t="s">
        <v>1048</v>
      </c>
    </row>
    <row r="69" spans="1:18" s="1841" customFormat="1" ht="13.5" thickBot="1">
      <c r="A69" s="1169"/>
      <c r="B69" s="1170"/>
      <c r="C69" s="350"/>
      <c r="D69" s="1188" t="s">
        <v>1467</v>
      </c>
      <c r="E69" s="1168" t="s">
        <v>1468</v>
      </c>
      <c r="F69" s="378">
        <f ca="1">F41</f>
        <v>28.36</v>
      </c>
      <c r="O69" s="1893" t="s">
        <v>1045</v>
      </c>
      <c r="P69" s="1932" t="s">
        <v>1578</v>
      </c>
      <c r="Q69" s="1885">
        <f ca="1">C39</f>
        <v>2227</v>
      </c>
      <c r="R69" s="1885" t="s">
        <v>1523</v>
      </c>
    </row>
    <row r="70" spans="1:18" s="1841" customFormat="1" ht="13.5" thickBot="1">
      <c r="A70" s="1172"/>
      <c r="B70" s="1173"/>
      <c r="C70" s="354"/>
      <c r="D70" s="1184"/>
      <c r="E70" s="1168" t="s">
        <v>1471</v>
      </c>
      <c r="F70" s="1274">
        <v>1.4999999999999999E-2</v>
      </c>
      <c r="O70" s="1893" t="s">
        <v>1046</v>
      </c>
      <c r="P70" s="1932" t="s">
        <v>1579</v>
      </c>
      <c r="Q70" s="1885">
        <f ca="1">C13</f>
        <v>26613</v>
      </c>
      <c r="R70" s="1885" t="s">
        <v>1523</v>
      </c>
    </row>
    <row r="71" spans="1:18" s="1841" customFormat="1" ht="13.5" thickBot="1">
      <c r="A71" s="1189" t="s">
        <v>1030</v>
      </c>
      <c r="B71" s="1190" t="s">
        <v>1481</v>
      </c>
      <c r="C71" s="381">
        <f ca="1">ROUND(C68*10000/F71,0)</f>
        <v>3731</v>
      </c>
      <c r="D71" s="1191" t="s">
        <v>1482</v>
      </c>
      <c r="E71" s="1192" t="s">
        <v>1483</v>
      </c>
      <c r="F71" s="384">
        <f ca="1">F43</f>
        <v>83197.549999999988</v>
      </c>
      <c r="O71" s="1893" t="s">
        <v>1047</v>
      </c>
      <c r="P71" s="1932" t="s">
        <v>1580</v>
      </c>
      <c r="Q71" s="1896">
        <f ca="1">C76</f>
        <v>0.08</v>
      </c>
      <c r="R71" s="1885"/>
    </row>
    <row r="72" spans="1:18" s="1841" customFormat="1" ht="13.5" thickBot="1">
      <c r="B72" s="795"/>
      <c r="C72" s="795"/>
      <c r="O72" s="1893" t="s">
        <v>1041</v>
      </c>
      <c r="P72" s="1884" t="s">
        <v>1558</v>
      </c>
      <c r="Q72" s="1896">
        <f>L52</f>
        <v>0</v>
      </c>
      <c r="R72" s="1885"/>
    </row>
    <row r="73" spans="1:18" ht="16.5" thickBot="1">
      <c r="A73" s="1841"/>
      <c r="B73" s="795"/>
      <c r="C73" s="795"/>
      <c r="D73" s="1841"/>
      <c r="E73" s="1841"/>
      <c r="F73" s="1841"/>
      <c r="O73" s="1893" t="s">
        <v>1042</v>
      </c>
      <c r="P73" s="1884" t="s">
        <v>1561</v>
      </c>
      <c r="Q73" s="1885" t="e">
        <f ca="1">L58</f>
        <v>#DIV/0!</v>
      </c>
      <c r="R73" s="1885" t="s">
        <v>1562</v>
      </c>
    </row>
    <row r="74" spans="1:18" ht="13.5" thickBot="1">
      <c r="A74" s="1841"/>
      <c r="B74" s="316" t="s">
        <v>1581</v>
      </c>
      <c r="C74" s="1934"/>
      <c r="D74" s="1841"/>
      <c r="E74" s="1841"/>
      <c r="F74" s="1841"/>
      <c r="O74" s="1893" t="s">
        <v>1049</v>
      </c>
      <c r="P74" s="1884" t="str">
        <f>K59</f>
        <v>建筑物剩余耐用年限下的土地年期修正系数Kn</v>
      </c>
      <c r="Q74" s="1885" t="e">
        <f ca="1">L59</f>
        <v>#DIV/0!</v>
      </c>
      <c r="R74" s="1885" t="s">
        <v>1563</v>
      </c>
    </row>
    <row r="75" spans="1:18" ht="13.5" thickBot="1">
      <c r="A75" s="1841"/>
      <c r="B75" s="385" t="s">
        <v>1500</v>
      </c>
      <c r="C75" s="386">
        <f ca="1">ROUND(C13*C76,0)</f>
        <v>2129</v>
      </c>
      <c r="D75" s="1841"/>
      <c r="E75" s="1841"/>
      <c r="F75" s="1841"/>
      <c r="K75" s="1867"/>
      <c r="L75" s="1841"/>
      <c r="O75" s="1883" t="s">
        <v>1043</v>
      </c>
      <c r="P75" s="1884" t="s">
        <v>1543</v>
      </c>
      <c r="Q75" s="1885">
        <f ca="1">Q65+Q66</f>
        <v>46811</v>
      </c>
      <c r="R75" s="1885" t="s">
        <v>1044</v>
      </c>
    </row>
    <row r="76" spans="1:18">
      <c r="B76" s="387" t="s">
        <v>1501</v>
      </c>
      <c r="C76" s="388">
        <f ca="1">INDIRECT("'数据-取费表'!j"&amp;$G$1)</f>
        <v>0.08</v>
      </c>
      <c r="I76" s="1841"/>
      <c r="J76" s="1841"/>
      <c r="K76" s="1867"/>
      <c r="L76" s="1841"/>
    </row>
    <row r="77" spans="1:18">
      <c r="B77" s="389" t="s">
        <v>1502</v>
      </c>
      <c r="C77" s="390"/>
      <c r="I77" s="1841"/>
      <c r="J77" s="1841"/>
      <c r="K77" s="1867"/>
      <c r="L77" s="1841"/>
    </row>
    <row r="78" spans="1:18">
      <c r="B78" s="313" t="s">
        <v>1503</v>
      </c>
      <c r="C78" s="391"/>
    </row>
    <row r="79" spans="1:18">
      <c r="B79" s="385" t="s">
        <v>1504</v>
      </c>
      <c r="C79" s="317">
        <f ca="1">1-C80</f>
        <v>4.4000000000000039E-2</v>
      </c>
    </row>
    <row r="80" spans="1:18">
      <c r="B80" s="385" t="s">
        <v>1505</v>
      </c>
      <c r="C80" s="317">
        <f ca="1">ROUND(C75/C39,3)</f>
        <v>0.95599999999999996</v>
      </c>
    </row>
    <row r="81" spans="2:3">
      <c r="B81" s="313" t="s">
        <v>1506</v>
      </c>
      <c r="C81" s="281"/>
    </row>
    <row r="82" spans="2:3">
      <c r="B82" s="316" t="s">
        <v>1507</v>
      </c>
      <c r="C82" s="318">
        <f ca="1">1-C83</f>
        <v>0.43100000000000005</v>
      </c>
    </row>
    <row r="83" spans="2:3">
      <c r="B83" s="316" t="s">
        <v>1508</v>
      </c>
      <c r="C83" s="317">
        <f ca="1">ROUND(C13/C40,3)</f>
        <v>0.56899999999999995</v>
      </c>
    </row>
  </sheetData>
  <sheetProtection password="C66D" sheet="1" objects="1" scenarios="1" formatCells="0" formatColumns="0" formatRows="0"/>
  <mergeCells count="3">
    <mergeCell ref="K53:L53"/>
    <mergeCell ref="B6:B9"/>
    <mergeCell ref="I6:I9"/>
  </mergeCells>
  <phoneticPr fontId="5"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1583</v>
      </c>
      <c r="B1" s="781"/>
      <c r="C1" s="1836"/>
      <c r="D1" s="1819"/>
      <c r="E1" s="1820" t="s">
        <v>1382</v>
      </c>
      <c r="F1" s="1282">
        <f ca="1">J53</f>
        <v>0</v>
      </c>
      <c r="G1" s="1835">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1584</v>
      </c>
      <c r="B2" s="1843" t="e">
        <f ca="1">ROUND(D2/10000,0)</f>
        <v>#DIV/0!</v>
      </c>
      <c r="C2" s="1844" t="s">
        <v>1585</v>
      </c>
      <c r="D2" s="1936" t="e">
        <f ca="1">C40+J29+L46</f>
        <v>#DIV/0!</v>
      </c>
      <c r="E2" s="1845" t="s">
        <v>1586</v>
      </c>
      <c r="F2" s="1846"/>
      <c r="G2" s="1847"/>
      <c r="H2" s="1839"/>
      <c r="I2" s="1839"/>
      <c r="J2" s="1839"/>
      <c r="K2" s="1840"/>
      <c r="L2" s="1839"/>
      <c r="M2" s="1839"/>
    </row>
    <row r="3" spans="1:37" ht="18" customHeight="1" thickBot="1">
      <c r="A3" s="1848" t="s">
        <v>1587</v>
      </c>
      <c r="B3" s="1849">
        <f ca="1">IF(ISERROR(D2/F43),0,ROUND(D2/F43,0))</f>
        <v>0</v>
      </c>
      <c r="C3" s="1844" t="s">
        <v>1588</v>
      </c>
      <c r="D3" s="1844"/>
      <c r="E3" s="1845"/>
      <c r="F3" s="1846"/>
      <c r="G3" s="1847"/>
      <c r="H3" s="743" t="s">
        <v>1582</v>
      </c>
      <c r="I3" s="1839"/>
      <c r="J3" s="1839"/>
      <c r="K3" s="1840"/>
      <c r="L3" s="1839"/>
      <c r="M3" s="1839"/>
    </row>
    <row r="4" spans="1:37" ht="18" customHeight="1">
      <c r="A4" s="339" t="s">
        <v>1589</v>
      </c>
      <c r="B4" s="340" t="s">
        <v>1590</v>
      </c>
      <c r="C4" s="340" t="s">
        <v>1591</v>
      </c>
      <c r="D4" s="340" t="s">
        <v>1592</v>
      </c>
      <c r="E4" s="341" t="s">
        <v>1593</v>
      </c>
      <c r="F4" s="342"/>
      <c r="G4" s="1850"/>
      <c r="H4" s="339" t="s">
        <v>1589</v>
      </c>
      <c r="I4" s="340" t="s">
        <v>1590</v>
      </c>
      <c r="J4" s="340" t="s">
        <v>1591</v>
      </c>
      <c r="K4" s="340" t="s">
        <v>1592</v>
      </c>
      <c r="L4" s="341" t="s">
        <v>1593</v>
      </c>
      <c r="M4" s="342"/>
    </row>
    <row r="5" spans="1:37" ht="18" customHeight="1">
      <c r="A5" s="343">
        <v>1</v>
      </c>
      <c r="B5" s="344" t="s">
        <v>1594</v>
      </c>
      <c r="C5" s="1291">
        <f ca="1">C6+C10+C12</f>
        <v>0</v>
      </c>
      <c r="D5" s="1821" t="s">
        <v>1595</v>
      </c>
      <c r="E5" s="1292"/>
      <c r="F5" s="1293"/>
      <c r="G5" s="1850"/>
      <c r="H5" s="343">
        <v>1</v>
      </c>
      <c r="I5" s="344" t="s">
        <v>1594</v>
      </c>
      <c r="J5" s="1291">
        <f ca="1">J6+J10+J12</f>
        <v>0</v>
      </c>
      <c r="K5" s="1821" t="s">
        <v>1595</v>
      </c>
      <c r="L5" s="1292"/>
      <c r="M5" s="1293"/>
    </row>
    <row r="6" spans="1:37" ht="18" customHeight="1">
      <c r="A6" s="1290" t="s">
        <v>1032</v>
      </c>
      <c r="B6" s="3251" t="s">
        <v>1398</v>
      </c>
      <c r="C6" s="1295">
        <f ca="1">ROUND(F6*F8*F7*(1-F9),0)</f>
        <v>0</v>
      </c>
      <c r="D6" s="163" t="s">
        <v>3021</v>
      </c>
      <c r="E6" s="346" t="s">
        <v>1400</v>
      </c>
      <c r="F6" s="347">
        <f ca="1">INDIRECT("'数据-取费表'!u"&amp;$G$1)</f>
        <v>0</v>
      </c>
      <c r="G6" s="1850"/>
      <c r="H6" s="1290" t="s">
        <v>1032</v>
      </c>
      <c r="I6" s="3251" t="s">
        <v>1398</v>
      </c>
      <c r="J6" s="345">
        <f ca="1">ROUND(M6*M8*M7*(1-M9),0)</f>
        <v>0</v>
      </c>
      <c r="K6" s="1833" t="s">
        <v>3022</v>
      </c>
      <c r="L6" s="346" t="s">
        <v>1400</v>
      </c>
      <c r="M6" s="347">
        <f ca="1">INDIRECT("'数据-取费表'!z"&amp;$G$1)</f>
        <v>0</v>
      </c>
    </row>
    <row r="7" spans="1:37" ht="18" customHeight="1">
      <c r="A7" s="1294"/>
      <c r="B7" s="3252"/>
      <c r="C7" s="1296"/>
      <c r="D7" s="351"/>
      <c r="E7" s="1297" t="s">
        <v>1401</v>
      </c>
      <c r="F7" s="347">
        <f ca="1">IF(INDIRECT("'数据-取费表'!ah"&amp;$G$1)="",INDIRECT("'数据-取费表'!k"&amp;$G$1),INDIRECT("'数据-取费表'!ah"&amp;$G$1))</f>
        <v>0</v>
      </c>
      <c r="G7" s="1850"/>
      <c r="H7" s="348"/>
      <c r="I7" s="3252"/>
      <c r="J7" s="350"/>
      <c r="K7" s="351"/>
      <c r="L7" s="346" t="s">
        <v>1401</v>
      </c>
      <c r="M7" s="347">
        <f ca="1">F7</f>
        <v>0</v>
      </c>
    </row>
    <row r="8" spans="1:37" ht="18" customHeight="1">
      <c r="A8" s="348"/>
      <c r="B8" s="3252"/>
      <c r="C8" s="350"/>
      <c r="D8" s="351"/>
      <c r="E8" s="346" t="s">
        <v>1402</v>
      </c>
      <c r="F8" s="347">
        <f ca="1">INDIRECT("'数据-取费表'!ai"&amp;$G$1)</f>
        <v>0</v>
      </c>
      <c r="G8" s="1850"/>
      <c r="H8" s="348"/>
      <c r="I8" s="3252"/>
      <c r="J8" s="350"/>
      <c r="K8" s="351"/>
      <c r="L8" s="346" t="s">
        <v>1402</v>
      </c>
      <c r="M8" s="347">
        <f ca="1">INDIRECT("'数据-取费表'!ai"&amp;$G$1)</f>
        <v>0</v>
      </c>
    </row>
    <row r="9" spans="1:37" ht="18" customHeight="1">
      <c r="A9" s="348"/>
      <c r="B9" s="3253"/>
      <c r="C9" s="350"/>
      <c r="D9" s="351"/>
      <c r="E9" s="346" t="s">
        <v>1403</v>
      </c>
      <c r="F9" s="356">
        <f ca="1">INDIRECT("'数据-取费表'!w"&amp;$G$1)</f>
        <v>0</v>
      </c>
      <c r="G9" s="1850"/>
      <c r="H9" s="348"/>
      <c r="I9" s="3253"/>
      <c r="J9" s="350"/>
      <c r="K9" s="351"/>
      <c r="L9" s="357" t="s">
        <v>1403</v>
      </c>
      <c r="M9" s="358">
        <f ca="1">INDIRECT("'数据-取费表'!ab"&amp;$G$1)</f>
        <v>0</v>
      </c>
    </row>
    <row r="10" spans="1:37" ht="18" customHeight="1">
      <c r="A10" s="1290" t="s">
        <v>1036</v>
      </c>
      <c r="B10" s="1822" t="s">
        <v>1404</v>
      </c>
      <c r="C10" s="360">
        <f ca="1">ROUND(IF(F10="押一",C6/12*F11,IF(F10="押二",C6/12*2*F11,IF(F10="押三",C6/12*3*F11,C11*F11))),0)</f>
        <v>0</v>
      </c>
      <c r="D10" s="1823" t="s">
        <v>3032</v>
      </c>
      <c r="E10" s="357" t="s">
        <v>1405</v>
      </c>
      <c r="F10" s="1365"/>
      <c r="G10" s="1850"/>
      <c r="H10" s="1290" t="s">
        <v>1036</v>
      </c>
      <c r="I10" s="1822" t="s">
        <v>1404</v>
      </c>
      <c r="J10" s="345">
        <f ca="1">ROUND(IF(M10="押一",J6/12*M11,IF(M10="押二",J6/12*2*M11,IF(M10="押三",J6/12*3*M11,J11*M11))),0)</f>
        <v>0</v>
      </c>
      <c r="K10" s="1834" t="s">
        <v>3034</v>
      </c>
      <c r="L10" s="357" t="s">
        <v>1405</v>
      </c>
      <c r="M10" s="1365"/>
    </row>
    <row r="11" spans="1:37" ht="18" customHeight="1">
      <c r="A11" s="352"/>
      <c r="B11" s="1824" t="s">
        <v>1596</v>
      </c>
      <c r="C11" s="1177"/>
      <c r="D11" s="351"/>
      <c r="E11" s="357" t="s">
        <v>1406</v>
      </c>
      <c r="F11" s="358">
        <f ca="1">'数据-取费表'!B39</f>
        <v>1.4999999999999999E-2</v>
      </c>
      <c r="G11" s="1850"/>
      <c r="H11" s="1298"/>
      <c r="I11" s="1824" t="s">
        <v>1597</v>
      </c>
      <c r="J11" s="1177"/>
      <c r="K11" s="747"/>
      <c r="L11" s="357" t="s">
        <v>1406</v>
      </c>
      <c r="M11" s="1055">
        <f ca="1">'数据-取费表'!B39</f>
        <v>1.4999999999999999E-2</v>
      </c>
    </row>
    <row r="12" spans="1:37" ht="18" customHeight="1" thickBot="1">
      <c r="A12" s="1332" t="s">
        <v>1072</v>
      </c>
      <c r="B12" s="1826" t="s">
        <v>1407</v>
      </c>
      <c r="C12" s="1333"/>
      <c r="D12" s="1334"/>
      <c r="E12" s="1339"/>
      <c r="F12" s="1335"/>
      <c r="G12" s="1850"/>
      <c r="H12" s="1332" t="s">
        <v>1072</v>
      </c>
      <c r="I12" s="1826" t="s">
        <v>1407</v>
      </c>
      <c r="J12" s="1333"/>
      <c r="K12" s="1347"/>
      <c r="L12" s="1339"/>
      <c r="M12" s="1348"/>
    </row>
    <row r="13" spans="1:37" ht="18" customHeight="1" thickTop="1">
      <c r="A13" s="1328">
        <v>2</v>
      </c>
      <c r="B13" s="1329" t="s">
        <v>1408</v>
      </c>
      <c r="C13" s="354">
        <f ca="1">ROUND(C29*F13,0)</f>
        <v>0</v>
      </c>
      <c r="D13" s="1330" t="s">
        <v>1409</v>
      </c>
      <c r="E13" s="1330" t="s">
        <v>1410</v>
      </c>
      <c r="F13" s="1331">
        <f ca="1">INDIRECT("'数据-取费表'!y"&amp;$G$1)</f>
        <v>0</v>
      </c>
      <c r="G13" s="1850"/>
      <c r="H13" s="1328">
        <v>2</v>
      </c>
      <c r="I13" s="1329" t="s">
        <v>1408</v>
      </c>
      <c r="J13" s="1289">
        <f ca="1">ROUND(J14*J15,0)</f>
        <v>0</v>
      </c>
      <c r="K13" s="1336" t="s">
        <v>1409</v>
      </c>
      <c r="L13" s="1851"/>
      <c r="M13" s="1852"/>
    </row>
    <row r="14" spans="1:37" ht="18" customHeight="1">
      <c r="A14" s="1200" t="s">
        <v>1031</v>
      </c>
      <c r="B14" s="346" t="s">
        <v>1411</v>
      </c>
      <c r="C14" s="362">
        <f ca="1">ROUND(INDIRECT("'数据-取费表'!l"&amp;$G$1)*F43+'数据-取费表'!L14*INDIRECT("'数据-取费表'!S"&amp;$G$1),0)</f>
        <v>0</v>
      </c>
      <c r="D14" s="1799" t="s">
        <v>1412</v>
      </c>
      <c r="E14" s="1793"/>
      <c r="F14" s="363"/>
      <c r="G14" s="1850"/>
      <c r="H14" s="1200" t="s">
        <v>1032</v>
      </c>
      <c r="I14" s="346" t="s">
        <v>1413</v>
      </c>
      <c r="J14" s="24">
        <f ca="1">C29</f>
        <v>0</v>
      </c>
      <c r="K14" s="15"/>
      <c r="L14" s="978"/>
      <c r="M14" s="979"/>
    </row>
    <row r="15" spans="1:37" s="1857" customFormat="1" ht="18" customHeight="1" thickBot="1">
      <c r="A15" s="1200" t="s">
        <v>1033</v>
      </c>
      <c r="B15" s="346" t="s">
        <v>1414</v>
      </c>
      <c r="C15" s="24">
        <f ca="1">ROUND(C14*F15,0)</f>
        <v>0</v>
      </c>
      <c r="D15" s="364" t="s">
        <v>1415</v>
      </c>
      <c r="E15" s="364" t="s">
        <v>1416</v>
      </c>
      <c r="F15" s="365">
        <f>'数据-取费表'!B33</f>
        <v>0.03</v>
      </c>
      <c r="G15" s="1853"/>
      <c r="H15" s="1338" t="s">
        <v>1036</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6" t="s">
        <v>1417</v>
      </c>
      <c r="C16" s="24">
        <f ca="1">ROUND(INDIRECT("'数据-取费表'!l"&amp;$G$1)*F43*F16,0)</f>
        <v>0</v>
      </c>
      <c r="D16" s="346" t="s">
        <v>1415</v>
      </c>
      <c r="E16" s="346" t="s">
        <v>1416</v>
      </c>
      <c r="F16" s="366">
        <f ca="1">IF(INDIRECT("'数据-取费表'!c"&amp;$G$1)="住宅",'数据-取费表'!B34,0)</f>
        <v>0</v>
      </c>
      <c r="G16" s="1850"/>
      <c r="H16" s="1328" t="s">
        <v>1027</v>
      </c>
      <c r="I16" s="1329" t="s">
        <v>1418</v>
      </c>
      <c r="J16" s="354">
        <f ca="1">ROUND(J17+J22+J23+J24,0)</f>
        <v>0</v>
      </c>
      <c r="K16" s="1336" t="s">
        <v>1419</v>
      </c>
      <c r="L16" s="1337"/>
      <c r="M16" s="1293"/>
    </row>
    <row r="17" spans="1:37" s="1857" customFormat="1" ht="18" customHeight="1">
      <c r="A17" s="1200" t="s">
        <v>1385</v>
      </c>
      <c r="B17" s="346" t="s">
        <v>1420</v>
      </c>
      <c r="C17" s="24">
        <f ca="1">ROUND(F17*(F43+INDIRECT("'数据-取费表'!S"&amp;$G$1)),0)</f>
        <v>0</v>
      </c>
      <c r="D17" s="346" t="s">
        <v>1421</v>
      </c>
      <c r="E17" s="346" t="s">
        <v>1422</v>
      </c>
      <c r="F17" s="26">
        <f>'数据-取费表'!B35</f>
        <v>200</v>
      </c>
      <c r="G17" s="1853"/>
      <c r="H17" s="1200" t="s">
        <v>1032</v>
      </c>
      <c r="I17" s="346" t="s">
        <v>1423</v>
      </c>
      <c r="J17" s="24">
        <f ca="1">ROUND(IF(项目基本情况!B11="自然人",J6*M17/(1+'数据-取费表'!C42),J18+J19+J20),0)</f>
        <v>0</v>
      </c>
      <c r="K17" s="1799" t="s">
        <v>1424</v>
      </c>
      <c r="L17" s="1797" t="s">
        <v>1425</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6" t="s">
        <v>1426</v>
      </c>
      <c r="C18" s="24">
        <f ca="1">ROUND(C14*F18,0)</f>
        <v>0</v>
      </c>
      <c r="D18" s="346" t="s">
        <v>1415</v>
      </c>
      <c r="E18" s="346" t="s">
        <v>1416</v>
      </c>
      <c r="F18" s="366">
        <f>'数据-取费表'!B36</f>
        <v>1.4999999999999999E-2</v>
      </c>
      <c r="G18" s="1853"/>
      <c r="H18" s="1200" t="s">
        <v>1031</v>
      </c>
      <c r="I18" s="346" t="s">
        <v>1427</v>
      </c>
      <c r="J18" s="24">
        <f ca="1">ROUND(J6*M18/(1+'数据-取费表'!C42),0)</f>
        <v>0</v>
      </c>
      <c r="K18" s="1797" t="s">
        <v>1428</v>
      </c>
      <c r="L18" s="346" t="s">
        <v>1416</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1429</v>
      </c>
      <c r="C19" s="24">
        <f ca="1">SUM(C14:C18)</f>
        <v>0</v>
      </c>
      <c r="D19" s="139" t="s">
        <v>1430</v>
      </c>
      <c r="E19" s="1817"/>
      <c r="F19" s="26"/>
      <c r="G19" s="1850"/>
      <c r="H19" s="1200" t="s">
        <v>1033</v>
      </c>
      <c r="I19" s="346" t="s">
        <v>1431</v>
      </c>
      <c r="J19" s="24">
        <f ca="1">IF(K19="按租金收入计税",ROUND(J6*M19/(1+'数据-取费表'!C42),0),ROUND(C29*M19*0.7,0))</f>
        <v>0</v>
      </c>
      <c r="K19" s="1827" t="s">
        <v>1432</v>
      </c>
      <c r="L19" s="346" t="s">
        <v>1416</v>
      </c>
      <c r="M19" s="366">
        <f>IF(K19="按租金收入计税",'数据-取费表'!B51,'数据-取费表'!B50)</f>
        <v>1.2E-2</v>
      </c>
    </row>
    <row r="20" spans="1:37" s="1857" customFormat="1" ht="18" customHeight="1">
      <c r="A20" s="1200" t="s">
        <v>1036</v>
      </c>
      <c r="B20" s="346" t="s">
        <v>1433</v>
      </c>
      <c r="C20" s="24">
        <f ca="1">ROUND(C19*F20,0)</f>
        <v>0</v>
      </c>
      <c r="D20" s="368" t="s">
        <v>1434</v>
      </c>
      <c r="E20" s="346" t="s">
        <v>1416</v>
      </c>
      <c r="F20" s="366">
        <f>'数据-取费表'!B37</f>
        <v>0.01</v>
      </c>
      <c r="G20" s="1853"/>
      <c r="H20" s="1200" t="s">
        <v>1384</v>
      </c>
      <c r="I20" s="163" t="s">
        <v>1435</v>
      </c>
      <c r="J20" s="25">
        <f ca="1">ROUND(M20*M21,0)</f>
        <v>0</v>
      </c>
      <c r="K20" s="369" t="s">
        <v>1436</v>
      </c>
      <c r="L20" s="346" t="s">
        <v>1437</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1438</v>
      </c>
      <c r="C21" s="24" t="s">
        <v>1</v>
      </c>
      <c r="D21" s="368" t="s">
        <v>1439</v>
      </c>
      <c r="E21" s="346" t="s">
        <v>1440</v>
      </c>
      <c r="F21" s="366">
        <f>'数据-取费表'!B38</f>
        <v>0.01</v>
      </c>
      <c r="G21" s="1853"/>
      <c r="H21" s="371"/>
      <c r="I21" s="355"/>
      <c r="J21" s="29"/>
      <c r="K21" s="372"/>
      <c r="L21" s="346" t="s">
        <v>1441</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6" t="s">
        <v>1442</v>
      </c>
      <c r="C22" s="24"/>
      <c r="D22" s="139" t="str">
        <f>IF(F23&lt;=1,"单利计息。","复利计息。")&amp;"建造成本、管理费用、销售费用产生的利息。"</f>
        <v>单利计息。建造成本、管理费用、销售费用产生的利息。</v>
      </c>
      <c r="E22" s="1817"/>
      <c r="F22" s="26"/>
      <c r="G22" s="1850"/>
      <c r="H22" s="1200" t="s">
        <v>1036</v>
      </c>
      <c r="I22" s="346" t="s">
        <v>1443</v>
      </c>
      <c r="J22" s="24">
        <f ca="1">ROUND(J14*M22,0)</f>
        <v>0</v>
      </c>
      <c r="K22" s="1797" t="s">
        <v>1444</v>
      </c>
      <c r="L22" s="346" t="s">
        <v>1416</v>
      </c>
      <c r="M22" s="373">
        <f ca="1">INDIRECT("'数据-取费表'!Ak"&amp;$G$1)</f>
        <v>0</v>
      </c>
    </row>
    <row r="23" spans="1:37" s="1857" customFormat="1" ht="18" customHeight="1">
      <c r="A23" s="1200" t="s">
        <v>1031</v>
      </c>
      <c r="B23" s="346" t="s">
        <v>1445</v>
      </c>
      <c r="C23" s="24">
        <f ca="1">IF('数据-取费表'!B22&lt;=1,ROUND(C19*F24*F23/2,0)+ROUND(C20*F24*F23/2,0),ROUND(C19*(POWER((1+F24),F23/2)-1),0)+ROUND(C20*(POWER((1+F24),F23/2)-1),0))</f>
        <v>0</v>
      </c>
      <c r="D23" s="374" t="str">
        <f>IF(F23&lt;=1,"(建造成本+管理费用)×利率×(建设周期÷2)","(建造成本+管理费用)×((1+利率)^(建设周期÷2)-1)")</f>
        <v>(建造成本+管理费用)×利率×(建设周期÷2)</v>
      </c>
      <c r="E23" s="346" t="s">
        <v>1446</v>
      </c>
      <c r="F23" s="370">
        <f>'数据-取费表'!B20</f>
        <v>1</v>
      </c>
      <c r="G23" s="1853"/>
      <c r="H23" s="1200" t="s">
        <v>1072</v>
      </c>
      <c r="I23" s="346" t="s">
        <v>1447</v>
      </c>
      <c r="J23" s="24">
        <f ca="1">ROUND(J13*M23,0)</f>
        <v>0</v>
      </c>
      <c r="K23" s="1797" t="s">
        <v>1448</v>
      </c>
      <c r="L23" s="346" t="s">
        <v>1449</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6" t="s">
        <v>1451</v>
      </c>
      <c r="C24" s="24">
        <f ca="1">ROUND(IF('数据-取费表'!B22&lt;=1,F21*F24*F23/2,F21*(POWER((1+F24),F23/2)-1)),4)</f>
        <v>2.0000000000000001E-4</v>
      </c>
      <c r="D24" s="374" t="str">
        <f>IF(F23&lt;=1,"销售费用×利率×(建设周期÷2)","销售费用×((1+利率)^(建设周期÷2)-1)")</f>
        <v>销售费用×利率×(建设周期÷2)</v>
      </c>
      <c r="E24" s="346" t="s">
        <v>1452</v>
      </c>
      <c r="F24" s="376">
        <f ca="1">'数据-取费表'!B40</f>
        <v>4.3499999999999997E-2</v>
      </c>
      <c r="G24" s="1853"/>
      <c r="H24" s="1338" t="s">
        <v>1388</v>
      </c>
      <c r="I24" s="1339" t="s">
        <v>1433</v>
      </c>
      <c r="J24" s="1340">
        <f ca="1">ROUND(J5*M24,0)</f>
        <v>0</v>
      </c>
      <c r="K24" s="1341" t="s">
        <v>1453</v>
      </c>
      <c r="L24" s="1339" t="s">
        <v>1449</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1454</v>
      </c>
      <c r="B25" s="346" t="s">
        <v>1455</v>
      </c>
      <c r="C25" s="24"/>
      <c r="D25" s="139" t="s">
        <v>1456</v>
      </c>
      <c r="E25" s="1817"/>
      <c r="F25" s="26"/>
      <c r="G25" s="1850"/>
      <c r="H25" s="1328" t="s">
        <v>1028</v>
      </c>
      <c r="I25" s="1343" t="s">
        <v>1457</v>
      </c>
      <c r="J25" s="354">
        <f ca="1">J5-J16</f>
        <v>0</v>
      </c>
      <c r="K25" s="1344" t="s">
        <v>1458</v>
      </c>
      <c r="L25" s="1345"/>
      <c r="M25" s="1346"/>
    </row>
    <row r="26" spans="1:37" ht="18" customHeight="1">
      <c r="A26" s="1200" t="s">
        <v>1031</v>
      </c>
      <c r="B26" s="346" t="s">
        <v>1459</v>
      </c>
      <c r="C26" s="24">
        <f ca="1">ROUND((C19+C20)*F26,0)</f>
        <v>0</v>
      </c>
      <c r="D26" s="368" t="s">
        <v>1460</v>
      </c>
      <c r="E26" s="357" t="s">
        <v>1461</v>
      </c>
      <c r="F26" s="356">
        <f ca="1">INDIRECT("'数据-取费表'!q"&amp;$G$1)</f>
        <v>0</v>
      </c>
      <c r="G26" s="1850"/>
      <c r="H26" s="343" t="s">
        <v>1029</v>
      </c>
      <c r="I26" s="344" t="s">
        <v>1462</v>
      </c>
      <c r="J26" s="345">
        <f ca="1">IF(J5&lt;&gt;0,ROUND(J25*(1-((1+M28)/(1+M26))^M27)/(M26-M28),0),0)</f>
        <v>0</v>
      </c>
      <c r="K26" s="369" t="s">
        <v>1463</v>
      </c>
      <c r="L26" s="346" t="s">
        <v>1464</v>
      </c>
      <c r="M26" s="356">
        <f ca="1">INDIRECT("'数据-取费表'!I"&amp;$G$1)</f>
        <v>0</v>
      </c>
    </row>
    <row r="27" spans="1:37" ht="18" customHeight="1">
      <c r="A27" s="1200" t="s">
        <v>1033</v>
      </c>
      <c r="B27" s="346" t="s">
        <v>1465</v>
      </c>
      <c r="C27" s="24">
        <f ca="1">ROUND(F21*F26,4)</f>
        <v>0</v>
      </c>
      <c r="D27" s="368" t="s">
        <v>1466</v>
      </c>
      <c r="E27" s="364"/>
      <c r="F27" s="365"/>
      <c r="G27" s="1850"/>
      <c r="H27" s="348"/>
      <c r="I27" s="349"/>
      <c r="J27" s="350"/>
      <c r="K27" s="377" t="s">
        <v>1467</v>
      </c>
      <c r="L27" s="346" t="s">
        <v>1468</v>
      </c>
      <c r="M27" s="378">
        <f ca="1">INDIRECT("'数据-取费表'!ag"&amp;$G$1)</f>
        <v>0</v>
      </c>
    </row>
    <row r="28" spans="1:37" s="1857" customFormat="1" ht="18" customHeight="1">
      <c r="A28" s="1200" t="s">
        <v>1034</v>
      </c>
      <c r="B28" s="346" t="s">
        <v>1469</v>
      </c>
      <c r="C28" s="24">
        <f>ROUND(F28/(1+'数据-取费表'!C42),4)</f>
        <v>5.2400000000000002E-2</v>
      </c>
      <c r="D28" s="368" t="s">
        <v>1470</v>
      </c>
      <c r="E28" s="346" t="s">
        <v>1416</v>
      </c>
      <c r="F28" s="366">
        <f>'数据-取费表'!B41</f>
        <v>5.5000000000000007E-2</v>
      </c>
      <c r="G28" s="1853"/>
      <c r="H28" s="352"/>
      <c r="I28" s="353"/>
      <c r="J28" s="354"/>
      <c r="K28" s="372"/>
      <c r="L28" s="346" t="s">
        <v>1471</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1472</v>
      </c>
      <c r="C29" s="1340">
        <f ca="1">ROUND((C19+C20+C23+C26)/(1-F21-C24-C27-C28),0)</f>
        <v>0</v>
      </c>
      <c r="D29" s="1341"/>
      <c r="E29" s="1339"/>
      <c r="F29" s="1342"/>
      <c r="G29" s="1853"/>
      <c r="H29" s="379" t="s">
        <v>1030</v>
      </c>
      <c r="I29" s="380" t="s">
        <v>1473</v>
      </c>
      <c r="J29" s="381">
        <f ca="1">ROUND(J26/(1+F40)^F41,0)</f>
        <v>0</v>
      </c>
      <c r="K29" s="382" t="s">
        <v>1474</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1418</v>
      </c>
      <c r="C30" s="354">
        <f ca="1">ROUND(C31+C36+C37+C38,0)</f>
        <v>0</v>
      </c>
      <c r="D30" s="1336" t="s">
        <v>1419</v>
      </c>
      <c r="E30" s="1337"/>
      <c r="F30" s="1293"/>
      <c r="G30" s="1850"/>
      <c r="H30" s="744"/>
      <c r="I30" s="745"/>
      <c r="J30" s="746"/>
      <c r="K30" s="747"/>
      <c r="L30" s="748"/>
      <c r="M30" s="749"/>
    </row>
    <row r="31" spans="1:37" ht="18" customHeight="1">
      <c r="A31" s="1200" t="s">
        <v>1032</v>
      </c>
      <c r="B31" s="346" t="s">
        <v>1423</v>
      </c>
      <c r="C31" s="24">
        <f ca="1">ROUND(IF(项目基本情况!B11="自然人",C6*F31/(1+'数据-取费表'!C42),C32+C33+C34),0)</f>
        <v>0</v>
      </c>
      <c r="D31" s="1799" t="s">
        <v>1424</v>
      </c>
      <c r="E31" s="1797" t="s">
        <v>1475</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1427</v>
      </c>
      <c r="C32" s="24">
        <f ca="1">IF(项目基本情况!B11="自然人","——",ROUND(C6*F32/(1+'数据-取费表'!C42),0))</f>
        <v>0</v>
      </c>
      <c r="D32" s="1797" t="s">
        <v>1428</v>
      </c>
      <c r="E32" s="346" t="s">
        <v>1416</v>
      </c>
      <c r="F32" s="376">
        <f>'数据-取费表'!B41</f>
        <v>5.5000000000000007E-2</v>
      </c>
      <c r="G32" s="1850"/>
      <c r="H32" s="744"/>
      <c r="I32" s="745"/>
      <c r="J32" s="746"/>
      <c r="K32" s="747"/>
      <c r="L32" s="748"/>
      <c r="M32" s="749"/>
    </row>
    <row r="33" spans="1:18" ht="18" customHeight="1">
      <c r="A33" s="1200" t="s">
        <v>1033</v>
      </c>
      <c r="B33" s="346" t="s">
        <v>1431</v>
      </c>
      <c r="C33" s="24">
        <f ca="1">IF(项目基本情况!B11="自然人","——",IF(D33="按租金收入计税",ROUND(C6*F33/(1+'数据-取费表'!C42),0),IF(D33="按房产原值计税",ROUND(C29*F33*0.7,0),INDIRECT("'数据-取费表'!Aj"&amp;$G$1))))</f>
        <v>0</v>
      </c>
      <c r="D33" s="1827" t="s">
        <v>1432</v>
      </c>
      <c r="E33" s="346" t="s">
        <v>1416</v>
      </c>
      <c r="F33" s="366">
        <f>IF(D33="按票据","——",IF(D33="按租金收入计税",'数据-取费表'!B51,'数据-取费表'!B50))</f>
        <v>1.2E-2</v>
      </c>
      <c r="G33" s="1850"/>
      <c r="H33" s="1858"/>
      <c r="I33" s="1859"/>
      <c r="J33" s="1860"/>
      <c r="K33" s="1861"/>
      <c r="L33" s="1858"/>
      <c r="M33" s="1858"/>
    </row>
    <row r="34" spans="1:18" ht="18" customHeight="1">
      <c r="A34" s="1290" t="s">
        <v>1384</v>
      </c>
      <c r="B34" s="163" t="s">
        <v>1435</v>
      </c>
      <c r="C34" s="25">
        <f ca="1">IF(项目基本情况!B11="自然人","——",ROUND(F34*F35,))</f>
        <v>0</v>
      </c>
      <c r="D34" s="369" t="s">
        <v>1436</v>
      </c>
      <c r="E34" s="346" t="s">
        <v>1437</v>
      </c>
      <c r="F34" s="370">
        <f>'数据-取费表'!B52</f>
        <v>1.5</v>
      </c>
      <c r="G34" s="1850"/>
      <c r="H34" s="744"/>
      <c r="I34" s="1859"/>
      <c r="J34" s="1860"/>
      <c r="K34" s="1862"/>
      <c r="L34" s="1863"/>
      <c r="M34" s="1863"/>
    </row>
    <row r="35" spans="1:18" ht="18" customHeight="1">
      <c r="A35" s="1352"/>
      <c r="B35" s="1350"/>
      <c r="C35" s="29"/>
      <c r="D35" s="372"/>
      <c r="E35" s="346" t="s">
        <v>1441</v>
      </c>
      <c r="F35" s="347">
        <f ca="1">INDIRECT("'数据-取费表'!r"&amp;$G$1)</f>
        <v>0</v>
      </c>
      <c r="G35" s="1850"/>
      <c r="H35" s="744"/>
      <c r="I35" s="1859"/>
      <c r="J35" s="1860"/>
      <c r="K35" s="1861"/>
      <c r="L35" s="1858"/>
      <c r="M35" s="1858"/>
    </row>
    <row r="36" spans="1:18" ht="18" customHeight="1">
      <c r="A36" s="1351" t="s">
        <v>1036</v>
      </c>
      <c r="B36" s="346" t="s">
        <v>1443</v>
      </c>
      <c r="C36" s="24">
        <f ca="1">ROUND(C29*F36,0)</f>
        <v>0</v>
      </c>
      <c r="D36" s="1797" t="s">
        <v>1476</v>
      </c>
      <c r="E36" s="346" t="s">
        <v>1416</v>
      </c>
      <c r="F36" s="373">
        <f ca="1">INDIRECT("'数据-取费表'!Ak"&amp;$G$1)</f>
        <v>0</v>
      </c>
      <c r="G36" s="1850"/>
      <c r="H36" s="1858"/>
      <c r="I36" s="1859"/>
      <c r="J36" s="1860"/>
      <c r="K36" s="750"/>
      <c r="L36" s="1858"/>
      <c r="M36" s="1858"/>
    </row>
    <row r="37" spans="1:18" ht="18" customHeight="1">
      <c r="A37" s="1200" t="s">
        <v>1072</v>
      </c>
      <c r="B37" s="346" t="s">
        <v>1447</v>
      </c>
      <c r="C37" s="24">
        <f ca="1">ROUND(C13*F37,0)</f>
        <v>0</v>
      </c>
      <c r="D37" s="1797" t="s">
        <v>1448</v>
      </c>
      <c r="E37" s="346" t="s">
        <v>1449</v>
      </c>
      <c r="F37" s="375">
        <f ca="1">INDIRECT("'数据-取费表'!Al"&amp;$G$1)</f>
        <v>0</v>
      </c>
      <c r="G37" s="1850"/>
      <c r="H37" s="1858"/>
      <c r="I37" s="1859"/>
      <c r="J37" s="1860"/>
      <c r="K37" s="750"/>
      <c r="L37" s="1858"/>
      <c r="M37" s="1858"/>
    </row>
    <row r="38" spans="1:18" ht="18" customHeight="1" thickBot="1">
      <c r="A38" s="1338" t="s">
        <v>1388</v>
      </c>
      <c r="B38" s="1339" t="s">
        <v>1433</v>
      </c>
      <c r="C38" s="1340">
        <f ca="1">ROUND(C5*F38,1)</f>
        <v>0</v>
      </c>
      <c r="D38" s="1341" t="s">
        <v>1453</v>
      </c>
      <c r="E38" s="1339" t="s">
        <v>1449</v>
      </c>
      <c r="F38" s="1335">
        <f ca="1">INDIRECT("'数据-取费表'!Am"&amp;$G$1)</f>
        <v>0</v>
      </c>
      <c r="G38" s="1850"/>
      <c r="H38" s="1858"/>
      <c r="I38" s="1859"/>
      <c r="J38" s="1860"/>
      <c r="K38" s="1864"/>
      <c r="L38" s="1858"/>
      <c r="M38" s="1858"/>
    </row>
    <row r="39" spans="1:18" ht="24.6" customHeight="1" thickTop="1">
      <c r="A39" s="1328" t="s">
        <v>1028</v>
      </c>
      <c r="B39" s="1343" t="s">
        <v>1477</v>
      </c>
      <c r="C39" s="354">
        <f ca="1">C5-C30</f>
        <v>0</v>
      </c>
      <c r="D39" s="1344" t="s">
        <v>1478</v>
      </c>
      <c r="E39" s="1345"/>
      <c r="F39" s="1346"/>
      <c r="G39" s="1850"/>
      <c r="H39" s="1858"/>
      <c r="I39" s="1859"/>
      <c r="J39" s="1860"/>
      <c r="K39" s="1864"/>
      <c r="L39" s="1858"/>
      <c r="M39" s="1858"/>
    </row>
    <row r="40" spans="1:18" ht="18" customHeight="1">
      <c r="A40" s="343" t="s">
        <v>1029</v>
      </c>
      <c r="B40" s="344" t="s">
        <v>1479</v>
      </c>
      <c r="C40" s="345" t="e">
        <f ca="1">ROUND(C39*(1-((1+F42)/(1+F40))^F41)/(F40-F42),0)</f>
        <v>#DIV/0!</v>
      </c>
      <c r="D40" s="369" t="s">
        <v>1463</v>
      </c>
      <c r="E40" s="346" t="s">
        <v>1464</v>
      </c>
      <c r="F40" s="356">
        <f ca="1">INDIRECT("'数据-取费表'!I"&amp;$G$1)</f>
        <v>0</v>
      </c>
      <c r="G40" s="1850"/>
      <c r="H40" s="1838"/>
      <c r="I40" s="1859"/>
      <c r="J40" s="1860"/>
      <c r="K40" s="1864"/>
      <c r="L40" s="1838"/>
      <c r="M40" s="1838"/>
    </row>
    <row r="41" spans="1:18" ht="18" customHeight="1">
      <c r="A41" s="348"/>
      <c r="B41" s="349"/>
      <c r="C41" s="350"/>
      <c r="D41" s="377" t="s">
        <v>1480</v>
      </c>
      <c r="E41" s="346" t="s">
        <v>1468</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1471</v>
      </c>
      <c r="F42" s="356">
        <f ca="1">INDIRECT("'数据-取费表'!v"&amp;$G$1)</f>
        <v>0</v>
      </c>
      <c r="G42" s="1850"/>
      <c r="H42" s="731"/>
      <c r="I42" s="1859"/>
      <c r="J42" s="1860"/>
      <c r="K42" s="750"/>
      <c r="L42" s="731"/>
      <c r="M42" s="731"/>
    </row>
    <row r="43" spans="1:18" ht="18" customHeight="1" thickBot="1">
      <c r="A43" s="379" t="s">
        <v>1030</v>
      </c>
      <c r="B43" s="380" t="s">
        <v>1481</v>
      </c>
      <c r="C43" s="381" t="e">
        <f ca="1">ROUND(C40/F43,0)</f>
        <v>#DIV/0!</v>
      </c>
      <c r="D43" s="382" t="s">
        <v>1482</v>
      </c>
      <c r="E43" s="383" t="s">
        <v>1483</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1598</v>
      </c>
      <c r="E45" s="1865"/>
      <c r="F45" s="1865"/>
      <c r="O45" s="1868" t="s">
        <v>1513</v>
      </c>
      <c r="P45" s="1838"/>
      <c r="Q45" s="1838"/>
      <c r="R45" s="1838"/>
    </row>
    <row r="46" spans="1:18" s="1841" customFormat="1" ht="13.5" thickBot="1">
      <c r="A46" s="1869" t="s">
        <v>1514</v>
      </c>
      <c r="C46" s="1870" t="e">
        <f ca="1">ROUND(C45/10000,0)</f>
        <v>#DIV/0!</v>
      </c>
      <c r="D46" s="1871" t="str">
        <f>C2</f>
        <v>万元</v>
      </c>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4" t="s">
        <v>1391</v>
      </c>
      <c r="B47" s="1196" t="s">
        <v>1392</v>
      </c>
      <c r="C47" s="1196" t="s">
        <v>1393</v>
      </c>
      <c r="D47" s="1196" t="s">
        <v>1394</v>
      </c>
      <c r="E47" s="1278" t="s">
        <v>1395</v>
      </c>
      <c r="F47" s="1279"/>
      <c r="G47" s="791"/>
      <c r="I47" s="1879" t="s">
        <v>1520</v>
      </c>
      <c r="J47" s="1880"/>
      <c r="K47" s="1881" t="s">
        <v>1521</v>
      </c>
      <c r="L47" s="1882">
        <f ca="1">INDIRECT("'数据-取费表'!d"&amp;$G$1)</f>
        <v>0</v>
      </c>
      <c r="M47" s="1837" t="str">
        <f>IF(ISNUMBER(FIND("住宅",C1)),"住宅","非住宅")</f>
        <v>非住宅</v>
      </c>
      <c r="O47" s="1883" t="s">
        <v>1037</v>
      </c>
      <c r="P47" s="1884" t="s">
        <v>1522</v>
      </c>
      <c r="Q47" s="1885" t="e">
        <f ca="1">C40+J29</f>
        <v>#DIV/0!</v>
      </c>
      <c r="R47" s="1885" t="s">
        <v>1523</v>
      </c>
    </row>
    <row r="48" spans="1:18" s="1841" customFormat="1" ht="28.5" thickBot="1">
      <c r="A48" s="1359" t="s">
        <v>1132</v>
      </c>
      <c r="B48" s="344" t="s">
        <v>1396</v>
      </c>
      <c r="C48" s="1816">
        <f ca="1">C49+C53+C55</f>
        <v>0</v>
      </c>
      <c r="D48" s="1361"/>
      <c r="E48" s="1362"/>
      <c r="F48" s="1180"/>
      <c r="G48" s="791"/>
      <c r="H48" s="792"/>
      <c r="I48" s="1886" t="s">
        <v>1524</v>
      </c>
      <c r="J48" s="1887"/>
      <c r="K48" s="1888" t="s">
        <v>1525</v>
      </c>
      <c r="L48" s="1889">
        <f ca="1">INDIRECT("'数据-取费表'!f"&amp;$G$1)</f>
        <v>0</v>
      </c>
      <c r="O48" s="1883" t="s">
        <v>1038</v>
      </c>
      <c r="P48" s="1884" t="s">
        <v>1526</v>
      </c>
      <c r="Q48" s="1885" t="e">
        <f ca="1">J60</f>
        <v>#DIV/0!</v>
      </c>
      <c r="R48" s="1885" t="s">
        <v>1527</v>
      </c>
    </row>
    <row r="49" spans="1:18" s="1841" customFormat="1" ht="13.5" thickBot="1">
      <c r="A49" s="1193" t="s">
        <v>1133</v>
      </c>
      <c r="B49" s="1828" t="s">
        <v>1484</v>
      </c>
      <c r="C49" s="1363">
        <f ca="1">ROUND(F49*F51*F50*(1-F52),0)</f>
        <v>0</v>
      </c>
      <c r="D49" s="1275" t="s">
        <v>1399</v>
      </c>
      <c r="E49" s="1829" t="s">
        <v>1485</v>
      </c>
      <c r="F49" s="1280"/>
      <c r="G49" s="1890"/>
      <c r="H49" s="792"/>
      <c r="I49" s="1886" t="s">
        <v>1528</v>
      </c>
      <c r="J49" s="1891"/>
      <c r="K49" s="1888" t="s">
        <v>1529</v>
      </c>
      <c r="L49" s="1892"/>
      <c r="O49" s="1893" t="s">
        <v>1039</v>
      </c>
      <c r="P49" s="1884" t="s">
        <v>1530</v>
      </c>
      <c r="Q49" s="1885">
        <f ca="1">C29</f>
        <v>0</v>
      </c>
      <c r="R49" s="1885" t="s">
        <v>1523</v>
      </c>
    </row>
    <row r="50" spans="1:18" s="1841" customFormat="1" ht="13.5" thickBot="1">
      <c r="A50" s="1194"/>
      <c r="B50" s="1197"/>
      <c r="C50" s="1198"/>
      <c r="D50" s="1171"/>
      <c r="E50" s="1276" t="s">
        <v>1401</v>
      </c>
      <c r="F50" s="1277">
        <f ca="1">F7</f>
        <v>0</v>
      </c>
      <c r="H50" s="792"/>
      <c r="I50" s="1886" t="s">
        <v>1531</v>
      </c>
      <c r="J50" s="1894">
        <f>SUMPRODUCT((I63:I65=J47)*(J62:L62=J48)*(J63:L65))</f>
        <v>0</v>
      </c>
      <c r="K50" s="1888" t="s">
        <v>1532</v>
      </c>
      <c r="L50" s="1892"/>
      <c r="M50" s="1895"/>
      <c r="O50" s="1893" t="s">
        <v>1040</v>
      </c>
      <c r="P50" s="1884" t="s">
        <v>1533</v>
      </c>
      <c r="Q50" s="1896" t="e">
        <f ca="1">J58</f>
        <v>#DIV/0!</v>
      </c>
      <c r="R50" s="1885"/>
    </row>
    <row r="51" spans="1:18" s="1841" customFormat="1" ht="13.5" thickBot="1">
      <c r="A51" s="1195"/>
      <c r="B51" s="1197"/>
      <c r="C51" s="1198"/>
      <c r="D51" s="1171"/>
      <c r="E51" s="1199" t="s">
        <v>1402</v>
      </c>
      <c r="F51" s="347">
        <f ca="1">F8</f>
        <v>0</v>
      </c>
      <c r="I51" s="1897" t="s">
        <v>1534</v>
      </c>
      <c r="J51" s="1898">
        <f>IF(J49="",J50,J49+J50-YEAR('数据-取费表'!B2))</f>
        <v>0</v>
      </c>
      <c r="K51" s="1899" t="s">
        <v>1535</v>
      </c>
      <c r="L51" s="1900">
        <f ca="1">ROUND(-PV(INDIRECT("'数据-取费表'!h"&amp;$G$1),L48,(C39-C13*C76),0),0)</f>
        <v>0</v>
      </c>
      <c r="M51" s="1901"/>
      <c r="O51" s="1893" t="s">
        <v>1041</v>
      </c>
      <c r="P51" s="1884" t="s">
        <v>1536</v>
      </c>
      <c r="Q51" s="1896">
        <f>J52</f>
        <v>0</v>
      </c>
      <c r="R51" s="1885"/>
    </row>
    <row r="52" spans="1:18" s="1841" customFormat="1" ht="13.5" thickBot="1">
      <c r="A52" s="1195"/>
      <c r="B52" s="1197"/>
      <c r="C52" s="1198"/>
      <c r="D52" s="1171"/>
      <c r="E52" s="1199" t="s">
        <v>1403</v>
      </c>
      <c r="F52" s="1274"/>
      <c r="I52" s="1902" t="s">
        <v>1537</v>
      </c>
      <c r="J52" s="1903"/>
      <c r="K52" s="1902" t="s">
        <v>1538</v>
      </c>
      <c r="L52" s="1903"/>
      <c r="O52" s="1893" t="s">
        <v>1042</v>
      </c>
      <c r="P52" s="1884" t="s">
        <v>1539</v>
      </c>
      <c r="Q52" s="1885">
        <f ca="1">J53</f>
        <v>0</v>
      </c>
      <c r="R52" s="1885" t="s">
        <v>1540</v>
      </c>
    </row>
    <row r="53" spans="1:18" s="1841" customFormat="1" ht="30.75" customHeight="1" thickBot="1">
      <c r="A53" s="1360" t="s">
        <v>1134</v>
      </c>
      <c r="B53" s="368" t="s">
        <v>1404</v>
      </c>
      <c r="C53" s="360">
        <f ca="1">ROUND(IF(F53="押一",C49/12*F11,IF(F53="押二",C49/12*2*F11,IF(F53="押三",C49/12*3*F11,C54*F11))),0)</f>
        <v>0</v>
      </c>
      <c r="D53" s="1823" t="s">
        <v>3035</v>
      </c>
      <c r="E53" s="357" t="s">
        <v>1405</v>
      </c>
      <c r="F53" s="1365"/>
      <c r="I53" s="1904" t="s">
        <v>1541</v>
      </c>
      <c r="J53" s="2948">
        <f ca="1">IF(M47="住宅",IF(D1="——",MAX(J51,L48),MAX(J51,L48-'数据-取费表'!B24)),IF(D1="——",MIN(J51,L48),MIN(J51,L48-'数据-取费表'!B24)))</f>
        <v>0</v>
      </c>
      <c r="K53" s="3249" t="s">
        <v>1542</v>
      </c>
      <c r="L53" s="3250"/>
      <c r="O53" s="1883" t="s">
        <v>1043</v>
      </c>
      <c r="P53" s="1884" t="s">
        <v>1543</v>
      </c>
      <c r="Q53" s="1885" t="e">
        <f ca="1">Q47+Q48</f>
        <v>#DIV/0!</v>
      </c>
      <c r="R53" s="1885" t="s">
        <v>1044</v>
      </c>
    </row>
    <row r="54" spans="1:18" s="1841" customFormat="1" ht="13.5" thickBot="1">
      <c r="A54" s="1193"/>
      <c r="B54" s="1939" t="s">
        <v>1597</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2" t="s">
        <v>1072</v>
      </c>
      <c r="B55" s="1826" t="s">
        <v>1407</v>
      </c>
      <c r="C55" s="1333"/>
      <c r="D55" s="1823"/>
      <c r="E55" s="1831"/>
      <c r="F55" s="1905"/>
      <c r="I55" s="1908" t="s">
        <v>1545</v>
      </c>
      <c r="J55" s="1909" t="e">
        <f ca="1">ROUND(IF(J47="钢混",J57/J50,1-(1-2%)*(J50-J57)/J50),3)</f>
        <v>#DIV/0!</v>
      </c>
      <c r="K55" s="1910" t="s">
        <v>1546</v>
      </c>
      <c r="L55" s="1911"/>
      <c r="O55" s="1876" t="s">
        <v>1516</v>
      </c>
      <c r="P55" s="1877" t="s">
        <v>1517</v>
      </c>
      <c r="Q55" s="1878" t="s">
        <v>1518</v>
      </c>
      <c r="R55" s="1878" t="s">
        <v>1519</v>
      </c>
    </row>
    <row r="56" spans="1:18" s="1841" customFormat="1" ht="36" customHeight="1" thickTop="1" thickBot="1">
      <c r="A56" s="1175">
        <v>2</v>
      </c>
      <c r="B56" s="1176" t="s">
        <v>1408</v>
      </c>
      <c r="C56" s="275">
        <f ca="1">C13</f>
        <v>0</v>
      </c>
      <c r="D56" s="1912"/>
      <c r="E56" s="1913"/>
      <c r="F56" s="1905"/>
      <c r="I56" s="1914" t="s">
        <v>1548</v>
      </c>
      <c r="J56" s="1915"/>
      <c r="K56" s="1886" t="s">
        <v>1549</v>
      </c>
      <c r="L56" s="1889">
        <f ca="1">IF(L48&lt;J51,"——",L48-J51)</f>
        <v>0</v>
      </c>
      <c r="O56" s="1883" t="s">
        <v>1037</v>
      </c>
      <c r="P56" s="1884" t="s">
        <v>1522</v>
      </c>
      <c r="Q56" s="1885" t="e">
        <f ca="1">C40+J29</f>
        <v>#DIV/0!</v>
      </c>
      <c r="R56" s="1885" t="s">
        <v>1523</v>
      </c>
    </row>
    <row r="57" spans="1:18" s="1841" customFormat="1" ht="24.75" thickBot="1">
      <c r="A57" s="1916"/>
      <c r="B57" s="1168" t="s">
        <v>1472</v>
      </c>
      <c r="C57" s="281">
        <f ca="1">C29</f>
        <v>0</v>
      </c>
      <c r="D57" s="1917"/>
      <c r="E57" s="1918"/>
      <c r="F57" s="1919"/>
      <c r="I57" s="1920" t="s">
        <v>1550</v>
      </c>
      <c r="J57" s="1921">
        <f ca="1">IF(OR(M47="住宅",J51&lt;L48,J56="是"),"——",J51-L48)</f>
        <v>0</v>
      </c>
      <c r="K57" s="1886" t="s">
        <v>1599</v>
      </c>
      <c r="L57" s="1889">
        <f ca="1">IF(L48&lt;J51,"——",IF(L55="比较法",L49,IF(L55="基准地价",L50,L51)))</f>
        <v>0</v>
      </c>
      <c r="O57" s="1883" t="s">
        <v>1038</v>
      </c>
      <c r="P57" s="1884" t="s">
        <v>1600</v>
      </c>
      <c r="Q57" s="1885" t="e">
        <f ca="1">L60</f>
        <v>#DIV/0!</v>
      </c>
      <c r="R57" s="1885" t="s">
        <v>1601</v>
      </c>
    </row>
    <row r="58" spans="1:18" s="1841" customFormat="1" ht="24.75" thickBot="1">
      <c r="A58" s="359" t="s">
        <v>1027</v>
      </c>
      <c r="B58" s="1176" t="s">
        <v>1418</v>
      </c>
      <c r="C58" s="360">
        <f ca="1">ROUND(C59+C64+C65+C66,0)</f>
        <v>0</v>
      </c>
      <c r="D58" s="1178" t="s">
        <v>1419</v>
      </c>
      <c r="E58" s="1179"/>
      <c r="F58" s="1180"/>
      <c r="I58" s="1920" t="s">
        <v>1554</v>
      </c>
      <c r="J58" s="1922" t="e">
        <f ca="1">IF(J55&lt;0.4,0.4,J55)</f>
        <v>#DIV/0!</v>
      </c>
      <c r="K58" s="1899" t="s">
        <v>1602</v>
      </c>
      <c r="L58" s="1889" t="e">
        <f ca="1">ROUND(POWER(1+L52,L47-L48)*(POWER(1+L52,L48)-1)/(POWER(1+L52,L47)-1),4)</f>
        <v>#DIV/0!</v>
      </c>
      <c r="O58" s="1893" t="s">
        <v>1039</v>
      </c>
      <c r="P58" s="1884" t="s">
        <v>1556</v>
      </c>
      <c r="Q58" s="1885">
        <f>IF(L55="比较法",L49,IF(L55="基准地价",L50,0))</f>
        <v>0</v>
      </c>
      <c r="R58" s="1885" t="s">
        <v>1523</v>
      </c>
    </row>
    <row r="59" spans="1:18" s="1841" customFormat="1" ht="24.75" thickBot="1">
      <c r="A59" s="1200" t="s">
        <v>1032</v>
      </c>
      <c r="B59" s="1168" t="s">
        <v>1423</v>
      </c>
      <c r="C59" s="24">
        <f ca="1">ROUND(IF(项目基本情况!B11="自然人",C48*F59,C60+C61+C62),0)</f>
        <v>0</v>
      </c>
      <c r="D59" s="1181" t="s">
        <v>1424</v>
      </c>
      <c r="E59" s="1182" t="s">
        <v>1425</v>
      </c>
      <c r="F59" s="367" t="str">
        <f ca="1">IF(项目基本情况!B11="企业","",IF(INDIRECT("'数据-取费表'!c"&amp;$G$1)="住宅",5%,IF(F49*F50*F51/12/(1+'数据-取费表'!C42)&gt;20000,12%,7%)))</f>
        <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1558</v>
      </c>
      <c r="Q59" s="1896">
        <f>L52</f>
        <v>0</v>
      </c>
      <c r="R59" s="1885"/>
    </row>
    <row r="60" spans="1:18" s="1841" customFormat="1" ht="16.5" thickBot="1">
      <c r="A60" s="1200" t="s">
        <v>1031</v>
      </c>
      <c r="B60" s="1168" t="s">
        <v>1427</v>
      </c>
      <c r="C60" s="24">
        <f ca="1">IF(项目基本情况!B11="自然人","——",ROUND(C48*F60/(1+'数据-取费表'!C42),0))</f>
        <v>0</v>
      </c>
      <c r="D60" s="1182" t="s">
        <v>1428</v>
      </c>
      <c r="E60" s="1168" t="s">
        <v>1416</v>
      </c>
      <c r="F60" s="376">
        <f t="shared" ref="F60:F66" si="0">F32</f>
        <v>5.5000000000000007E-2</v>
      </c>
      <c r="I60" s="1923" t="s">
        <v>1559</v>
      </c>
      <c r="J60" s="1924" t="e">
        <f ca="1">IF(OR(M47="住宅",J51&lt;L48,J56="是"),"0",ROUND(J59/(1+J52)^J53,0))</f>
        <v>#DIV/0!</v>
      </c>
      <c r="K60" s="1925" t="s">
        <v>1560</v>
      </c>
      <c r="L60" s="1924" t="e">
        <f ca="1">IF(OR(M47="住宅",L48&lt;J51),0,ROUND(L57*(L58/L59-1),0))</f>
        <v>#DIV/0!</v>
      </c>
      <c r="O60" s="1893" t="s">
        <v>1041</v>
      </c>
      <c r="P60" s="1884" t="s">
        <v>1561</v>
      </c>
      <c r="Q60" s="1885" t="e">
        <f ca="1">L58</f>
        <v>#DIV/0!</v>
      </c>
      <c r="R60" s="1885" t="s">
        <v>1562</v>
      </c>
    </row>
    <row r="61" spans="1:18" s="1841" customFormat="1" ht="13.5" thickBot="1">
      <c r="A61" s="1200" t="s">
        <v>1486</v>
      </c>
      <c r="B61" s="1168" t="s">
        <v>1487</v>
      </c>
      <c r="C61" s="24">
        <f ca="1">IF(项目基本情况!B11="自然人","——",IF(D61="按租金收入计税",ROUND(C48*F61,0),IF(D61="按房产原值计税",ROUND(C57*F61*0.7,0),INDIRECT("'数据-取费表'!Aj"&amp;$G$1))))</f>
        <v>0</v>
      </c>
      <c r="D61" s="1827" t="s">
        <v>1432</v>
      </c>
      <c r="E61" s="1168" t="s">
        <v>1488</v>
      </c>
      <c r="F61" s="366">
        <f t="shared" si="0"/>
        <v>1.2E-2</v>
      </c>
      <c r="I61" s="1926"/>
      <c r="J61" s="1926"/>
      <c r="K61" s="1926"/>
      <c r="L61" s="1926"/>
      <c r="O61" s="1893" t="s">
        <v>1042</v>
      </c>
      <c r="P61" s="1884" t="str">
        <f>K59</f>
        <v>建设期及建筑物耐用年限下的土地年期修正系数Kn</v>
      </c>
      <c r="Q61" s="1885" t="e">
        <f ca="1">L59</f>
        <v>#DIV/0!</v>
      </c>
      <c r="R61" s="1885" t="s">
        <v>1563</v>
      </c>
    </row>
    <row r="62" spans="1:18" s="1841" customFormat="1" ht="13.5" thickBot="1">
      <c r="A62" s="1200" t="s">
        <v>1489</v>
      </c>
      <c r="B62" s="1167" t="s">
        <v>1490</v>
      </c>
      <c r="C62" s="25">
        <f ca="1">IF(项目基本情况!B11="自然人","——",ROUND(F62*F63,0))</f>
        <v>0</v>
      </c>
      <c r="D62" s="1183" t="s">
        <v>1491</v>
      </c>
      <c r="E62" s="1168" t="s">
        <v>1492</v>
      </c>
      <c r="F62" s="370">
        <f t="shared" si="0"/>
        <v>1.5</v>
      </c>
      <c r="I62" s="1927" t="s">
        <v>1564</v>
      </c>
      <c r="J62" s="1928" t="s">
        <v>1565</v>
      </c>
      <c r="K62" s="1928" t="s">
        <v>1566</v>
      </c>
      <c r="L62" s="1928" t="s">
        <v>1567</v>
      </c>
      <c r="M62" s="1929" t="s">
        <v>1568</v>
      </c>
      <c r="O62" s="1883" t="s">
        <v>1043</v>
      </c>
      <c r="P62" s="1884" t="s">
        <v>1569</v>
      </c>
      <c r="Q62" s="1885" t="e">
        <f ca="1">Q56+Q57</f>
        <v>#DIV/0!</v>
      </c>
      <c r="R62" s="1885" t="s">
        <v>1044</v>
      </c>
    </row>
    <row r="63" spans="1:18" s="1841" customFormat="1" ht="13.5" thickBot="1">
      <c r="A63" s="371"/>
      <c r="B63" s="1174"/>
      <c r="C63" s="29"/>
      <c r="D63" s="1184"/>
      <c r="E63" s="1168" t="s">
        <v>1493</v>
      </c>
      <c r="F63" s="347">
        <f t="shared" ca="1" si="0"/>
        <v>0</v>
      </c>
      <c r="I63" s="1927" t="s">
        <v>1570</v>
      </c>
      <c r="J63" s="1928">
        <v>70</v>
      </c>
      <c r="K63" s="1928">
        <v>50</v>
      </c>
      <c r="L63" s="1928">
        <v>80</v>
      </c>
      <c r="M63" s="1930">
        <v>0.02</v>
      </c>
      <c r="O63" s="1868" t="s">
        <v>1571</v>
      </c>
      <c r="P63" s="1838"/>
      <c r="Q63" s="1838"/>
      <c r="R63" s="1838"/>
    </row>
    <row r="64" spans="1:18" s="1841" customFormat="1" ht="13.5" thickBot="1">
      <c r="A64" s="1200" t="s">
        <v>1494</v>
      </c>
      <c r="B64" s="1168" t="s">
        <v>1495</v>
      </c>
      <c r="C64" s="24">
        <f ca="1">ROUND(C57*F64,0)</f>
        <v>0</v>
      </c>
      <c r="D64" s="1182" t="s">
        <v>1496</v>
      </c>
      <c r="E64" s="1168" t="s">
        <v>1488</v>
      </c>
      <c r="F64" s="373">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ROUND(C56*F65,0)</f>
        <v>0</v>
      </c>
      <c r="D65" s="1182" t="s">
        <v>1448</v>
      </c>
      <c r="E65" s="1168" t="s">
        <v>1449</v>
      </c>
      <c r="F65" s="375">
        <f t="shared" ca="1" si="0"/>
        <v>0</v>
      </c>
      <c r="I65" s="1927" t="s">
        <v>1573</v>
      </c>
      <c r="J65" s="1928">
        <v>40</v>
      </c>
      <c r="K65" s="1928">
        <v>30</v>
      </c>
      <c r="L65" s="1928">
        <v>50</v>
      </c>
      <c r="M65" s="1930">
        <v>0.02</v>
      </c>
      <c r="O65" s="1883" t="s">
        <v>1037</v>
      </c>
      <c r="P65" s="1884" t="s">
        <v>1574</v>
      </c>
      <c r="Q65" s="1885" t="e">
        <f ca="1">C40+J29</f>
        <v>#DIV/0!</v>
      </c>
      <c r="R65" s="1885" t="s">
        <v>1523</v>
      </c>
    </row>
    <row r="66" spans="1:18" s="1841" customFormat="1" ht="16.5" thickBot="1">
      <c r="A66" s="1200" t="s">
        <v>1498</v>
      </c>
      <c r="B66" s="1168" t="s">
        <v>1433</v>
      </c>
      <c r="C66" s="24">
        <f ca="1">ROUND(C48*F66,0)</f>
        <v>0</v>
      </c>
      <c r="D66" s="1182" t="s">
        <v>1499</v>
      </c>
      <c r="E66" s="1168" t="s">
        <v>1416</v>
      </c>
      <c r="F66" s="356">
        <f t="shared" ca="1" si="0"/>
        <v>0</v>
      </c>
      <c r="O66" s="1883" t="s">
        <v>1038</v>
      </c>
      <c r="P66" s="1884" t="s">
        <v>1552</v>
      </c>
      <c r="Q66" s="1885" t="e">
        <f ca="1">L60</f>
        <v>#DIV/0!</v>
      </c>
      <c r="R66" s="1885" t="s">
        <v>1575</v>
      </c>
    </row>
    <row r="67" spans="1:18" s="1841" customFormat="1" ht="16.5" thickBot="1">
      <c r="A67" s="1175" t="s">
        <v>1028</v>
      </c>
      <c r="B67" s="1185" t="s">
        <v>1457</v>
      </c>
      <c r="C67" s="360">
        <f ca="1">C48-C58</f>
        <v>0</v>
      </c>
      <c r="D67" s="1181" t="s">
        <v>1458</v>
      </c>
      <c r="E67" s="1186"/>
      <c r="F67" s="1187"/>
      <c r="O67" s="1893" t="s">
        <v>1039</v>
      </c>
      <c r="P67" s="1884" t="s">
        <v>1556</v>
      </c>
      <c r="Q67" s="1931">
        <f ca="1">L51</f>
        <v>0</v>
      </c>
      <c r="R67" s="1885" t="s">
        <v>1576</v>
      </c>
    </row>
    <row r="68" spans="1:18" s="1841" customFormat="1" ht="16.5" thickBot="1">
      <c r="A68" s="1165" t="s">
        <v>1029</v>
      </c>
      <c r="B68" s="1166" t="s">
        <v>1479</v>
      </c>
      <c r="C68" s="345" t="e">
        <f ca="1">ROUND(C67*(1-((1+F70)/(1+F68))^F69)/(F68-F70),0)</f>
        <v>#DIV/0!</v>
      </c>
      <c r="D68" s="1183" t="s">
        <v>1463</v>
      </c>
      <c r="E68" s="1168" t="s">
        <v>1464</v>
      </c>
      <c r="F68" s="356">
        <f ca="1">F40</f>
        <v>0</v>
      </c>
      <c r="O68" s="1893" t="s">
        <v>1040</v>
      </c>
      <c r="P68" s="1932" t="s">
        <v>1577</v>
      </c>
      <c r="Q68" s="1885">
        <f ca="1">ROUND(Q69-Q70*Q71,0)</f>
        <v>0</v>
      </c>
      <c r="R68" s="1885" t="s">
        <v>1048</v>
      </c>
    </row>
    <row r="69" spans="1:18" s="1841" customFormat="1" ht="13.5" thickBot="1">
      <c r="A69" s="1169"/>
      <c r="B69" s="1170"/>
      <c r="C69" s="350"/>
      <c r="D69" s="1188" t="s">
        <v>1467</v>
      </c>
      <c r="E69" s="1168" t="s">
        <v>1468</v>
      </c>
      <c r="F69" s="378">
        <f ca="1">F41</f>
        <v>0</v>
      </c>
      <c r="O69" s="1893" t="s">
        <v>1045</v>
      </c>
      <c r="P69" s="1932" t="s">
        <v>1578</v>
      </c>
      <c r="Q69" s="1885">
        <f ca="1">C39</f>
        <v>0</v>
      </c>
      <c r="R69" s="1885" t="s">
        <v>1523</v>
      </c>
    </row>
    <row r="70" spans="1:18" s="1841" customFormat="1" ht="13.5" thickBot="1">
      <c r="A70" s="1172"/>
      <c r="B70" s="1173"/>
      <c r="C70" s="354"/>
      <c r="D70" s="1184"/>
      <c r="E70" s="1168" t="s">
        <v>1471</v>
      </c>
      <c r="F70" s="1274">
        <f ca="1">F42</f>
        <v>0</v>
      </c>
      <c r="O70" s="1893" t="s">
        <v>1046</v>
      </c>
      <c r="P70" s="1932" t="s">
        <v>1579</v>
      </c>
      <c r="Q70" s="1885">
        <f ca="1">C13</f>
        <v>0</v>
      </c>
      <c r="R70" s="1885" t="s">
        <v>1523</v>
      </c>
    </row>
    <row r="71" spans="1:18" s="1841" customFormat="1" ht="13.5" thickBot="1">
      <c r="A71" s="1189" t="s">
        <v>1030</v>
      </c>
      <c r="B71" s="1190" t="s">
        <v>1481</v>
      </c>
      <c r="C71" s="381" t="e">
        <f ca="1">ROUND(C68/F71,0)</f>
        <v>#DIV/0!</v>
      </c>
      <c r="D71" s="1191" t="s">
        <v>1482</v>
      </c>
      <c r="E71" s="1192" t="s">
        <v>1483</v>
      </c>
      <c r="F71" s="384">
        <f ca="1">F43</f>
        <v>0</v>
      </c>
      <c r="O71" s="1893" t="s">
        <v>1047</v>
      </c>
      <c r="P71" s="1932" t="s">
        <v>1580</v>
      </c>
      <c r="Q71" s="1896">
        <f ca="1">C76</f>
        <v>0</v>
      </c>
      <c r="R71" s="1885"/>
    </row>
    <row r="72" spans="1:18" s="1841" customFormat="1" ht="13.5" thickBot="1">
      <c r="B72" s="795"/>
      <c r="C72" s="795"/>
      <c r="O72" s="1893" t="s">
        <v>1041</v>
      </c>
      <c r="P72" s="1884" t="s">
        <v>1558</v>
      </c>
      <c r="Q72" s="1896">
        <f>L52</f>
        <v>0</v>
      </c>
      <c r="R72" s="1885"/>
    </row>
    <row r="73" spans="1:18" ht="16.5" thickBot="1">
      <c r="A73" s="1841"/>
      <c r="B73" s="795"/>
      <c r="C73" s="795"/>
      <c r="D73" s="1841"/>
      <c r="E73" s="1841"/>
      <c r="F73" s="1841"/>
      <c r="O73" s="1893" t="s">
        <v>1042</v>
      </c>
      <c r="P73" s="1884" t="s">
        <v>1561</v>
      </c>
      <c r="Q73" s="1885" t="e">
        <f ca="1">L58</f>
        <v>#DIV/0!</v>
      </c>
      <c r="R73" s="1885" t="s">
        <v>1562</v>
      </c>
    </row>
    <row r="74" spans="1:18" ht="13.5" thickBot="1">
      <c r="A74" s="1841"/>
      <c r="B74" s="316" t="s">
        <v>1581</v>
      </c>
      <c r="C74" s="1934"/>
      <c r="D74" s="1841"/>
      <c r="E74" s="1841"/>
      <c r="F74" s="1841"/>
      <c r="O74" s="1893" t="s">
        <v>1049</v>
      </c>
      <c r="P74" s="1884" t="str">
        <f>K59</f>
        <v>建设期及建筑物耐用年限下的土地年期修正系数Kn</v>
      </c>
      <c r="Q74" s="1885" t="e">
        <f ca="1">L59</f>
        <v>#DIV/0!</v>
      </c>
      <c r="R74" s="1885" t="s">
        <v>1563</v>
      </c>
    </row>
    <row r="75" spans="1:18" ht="13.5" thickBot="1">
      <c r="A75" s="1841"/>
      <c r="B75" s="385" t="s">
        <v>1500</v>
      </c>
      <c r="C75" s="386">
        <f ca="1">ROUND(C13*C76,0)</f>
        <v>0</v>
      </c>
      <c r="D75" s="1841"/>
      <c r="E75" s="1841"/>
      <c r="F75" s="1841"/>
      <c r="K75" s="1867"/>
      <c r="L75" s="1841"/>
      <c r="O75" s="1883" t="s">
        <v>1043</v>
      </c>
      <c r="P75" s="1884" t="s">
        <v>1543</v>
      </c>
      <c r="Q75" s="1885" t="e">
        <f ca="1">Q65+Q66</f>
        <v>#DIV/0!</v>
      </c>
      <c r="R75" s="1885" t="s">
        <v>1044</v>
      </c>
    </row>
    <row r="76" spans="1:18">
      <c r="B76" s="387" t="s">
        <v>1501</v>
      </c>
      <c r="C76" s="388">
        <f ca="1">INDIRECT("'数据-取费表'!j"&amp;$G$1)</f>
        <v>0</v>
      </c>
      <c r="I76" s="1841"/>
      <c r="J76" s="1841"/>
      <c r="K76" s="1867"/>
      <c r="L76" s="1841"/>
    </row>
    <row r="77" spans="1:18">
      <c r="B77" s="389" t="s">
        <v>1502</v>
      </c>
      <c r="C77" s="390"/>
      <c r="I77" s="1841"/>
      <c r="J77" s="1841"/>
      <c r="K77" s="1867"/>
      <c r="L77" s="1841"/>
    </row>
    <row r="78" spans="1:18">
      <c r="B78" s="313" t="s">
        <v>1503</v>
      </c>
      <c r="C78" s="391"/>
    </row>
    <row r="79" spans="1:18">
      <c r="B79" s="385" t="s">
        <v>1504</v>
      </c>
      <c r="C79" s="317" t="e">
        <f ca="1">1-C80</f>
        <v>#DIV/0!</v>
      </c>
    </row>
    <row r="80" spans="1:18">
      <c r="B80" s="385" t="s">
        <v>1505</v>
      </c>
      <c r="C80" s="317" t="e">
        <f ca="1">ROUND(C75/C39,3)</f>
        <v>#DIV/0!</v>
      </c>
    </row>
    <row r="81" spans="2:3">
      <c r="B81" s="313" t="s">
        <v>1506</v>
      </c>
      <c r="C81" s="281"/>
    </row>
    <row r="82" spans="2:3">
      <c r="B82" s="316" t="s">
        <v>1507</v>
      </c>
      <c r="C82" s="318" t="e">
        <f ca="1">1-C83</f>
        <v>#DIV/0!</v>
      </c>
    </row>
    <row r="83" spans="2:3">
      <c r="B83" s="316" t="s">
        <v>1508</v>
      </c>
      <c r="C83" s="317"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9" t="s">
        <v>2520</v>
      </c>
      <c r="B1" s="2560"/>
      <c r="C1" s="2560"/>
      <c r="D1" s="2560"/>
      <c r="E1" s="2561"/>
    </row>
    <row r="2" spans="1:6" ht="15.75">
      <c r="A2" s="2562" t="s">
        <v>2321</v>
      </c>
      <c r="B2" s="2563">
        <f ca="1">SUMIF(B6:B13,"&lt;&gt;#ref!",B6:B13)</f>
        <v>46811</v>
      </c>
      <c r="C2" s="2564" t="s">
        <v>2513</v>
      </c>
      <c r="D2" s="2565" t="s">
        <v>2514</v>
      </c>
      <c r="E2" s="2566">
        <f>SUM(E6:E13)</f>
        <v>83271.239999999991</v>
      </c>
    </row>
    <row r="3" spans="1:6" ht="15.75">
      <c r="A3" s="2562" t="s">
        <v>1390</v>
      </c>
      <c r="B3" s="2563">
        <f ca="1">ROUND(B2*10000/E2,0)</f>
        <v>5622</v>
      </c>
      <c r="C3" s="2564" t="s">
        <v>2521</v>
      </c>
      <c r="D3" s="2567"/>
      <c r="E3" s="2568"/>
    </row>
    <row r="4" spans="1:6" ht="15.75">
      <c r="A4" s="2569"/>
      <c r="B4" s="2567"/>
      <c r="C4" s="2567"/>
      <c r="D4" s="2567"/>
      <c r="E4" s="2568"/>
    </row>
    <row r="5" spans="1:6" ht="15">
      <c r="A5" s="2570" t="s">
        <v>2515</v>
      </c>
      <c r="B5" s="3254" t="s">
        <v>2516</v>
      </c>
      <c r="C5" s="3254"/>
      <c r="D5" s="2571"/>
      <c r="E5" s="2572" t="s">
        <v>2517</v>
      </c>
      <c r="F5" s="2573" t="s">
        <v>2518</v>
      </c>
    </row>
    <row r="6" spans="1:6">
      <c r="A6" s="2574" t="str">
        <f>'数据-取费表'!AN6</f>
        <v>收益法</v>
      </c>
      <c r="B6" s="2573">
        <f ca="1">IF(F6="是",'数据-取费表'!AO6,0)</f>
        <v>46811</v>
      </c>
      <c r="C6" s="2564" t="s">
        <v>2513</v>
      </c>
      <c r="D6" s="2567"/>
      <c r="E6" s="2575">
        <f>IF(OR(A6=0,F6="否"),0,'数据-取费表'!K6+'数据-取费表'!S6)</f>
        <v>83271.239999999991</v>
      </c>
      <c r="F6" s="2576" t="s">
        <v>2519</v>
      </c>
    </row>
    <row r="7" spans="1:6">
      <c r="A7" s="2574">
        <f>'数据-取费表'!AN7</f>
        <v>0</v>
      </c>
      <c r="B7" s="2573" t="e">
        <f ca="1">IF(F7="是",'数据-取费表'!AO7,0)</f>
        <v>#REF!</v>
      </c>
      <c r="C7" s="2564" t="s">
        <v>2513</v>
      </c>
      <c r="D7" s="2567"/>
      <c r="E7" s="2575">
        <f>IF(OR(A7=0,F7="否"),0,'数据-取费表'!K7+'数据-取费表'!S7)</f>
        <v>0</v>
      </c>
      <c r="F7" s="2576" t="s">
        <v>2519</v>
      </c>
    </row>
    <row r="8" spans="1:6">
      <c r="A8" s="2574">
        <f>'数据-取费表'!AN8</f>
        <v>0</v>
      </c>
      <c r="B8" s="2573" t="e">
        <f ca="1">IF(F8="是",'数据-取费表'!AO8,0)</f>
        <v>#REF!</v>
      </c>
      <c r="C8" s="2564" t="s">
        <v>2513</v>
      </c>
      <c r="D8" s="2567"/>
      <c r="E8" s="2575">
        <f>IF(OR(A8=0,F8="否"),0,'数据-取费表'!K8+'数据-取费表'!S8)</f>
        <v>0</v>
      </c>
      <c r="F8" s="2576" t="s">
        <v>2519</v>
      </c>
    </row>
    <row r="9" spans="1:6">
      <c r="A9" s="2574">
        <f>'数据-取费表'!AN9</f>
        <v>0</v>
      </c>
      <c r="B9" s="2573" t="e">
        <f ca="1">IF(F9="是",'数据-取费表'!AO9,0)</f>
        <v>#REF!</v>
      </c>
      <c r="C9" s="2564" t="s">
        <v>2513</v>
      </c>
      <c r="D9" s="2567"/>
      <c r="E9" s="2575">
        <f>IF(OR(A9=0,F9="否"),0,'数据-取费表'!K9+'数据-取费表'!S9)</f>
        <v>0</v>
      </c>
      <c r="F9" s="2576" t="s">
        <v>2519</v>
      </c>
    </row>
    <row r="10" spans="1:6">
      <c r="A10" s="2574">
        <f>'数据-取费表'!AN10</f>
        <v>0</v>
      </c>
      <c r="B10" s="2573" t="e">
        <f ca="1">IF(F10="是",'数据-取费表'!AO10,0)</f>
        <v>#REF!</v>
      </c>
      <c r="C10" s="2564" t="s">
        <v>2513</v>
      </c>
      <c r="D10" s="2567"/>
      <c r="E10" s="2575">
        <f>IF(OR(A10=0,F10="否"),0,'数据-取费表'!K10+'数据-取费表'!S10)</f>
        <v>0</v>
      </c>
      <c r="F10" s="2576" t="s">
        <v>2519</v>
      </c>
    </row>
    <row r="11" spans="1:6">
      <c r="A11" s="2574">
        <f>'数据-取费表'!AN11</f>
        <v>0</v>
      </c>
      <c r="B11" s="2573" t="e">
        <f ca="1">IF(F11="是",'数据-取费表'!AO11,0)</f>
        <v>#REF!</v>
      </c>
      <c r="C11" s="2564" t="s">
        <v>2513</v>
      </c>
      <c r="D11" s="2567"/>
      <c r="E11" s="2575">
        <f>IF(OR(A11=0,F11="否"),0,'数据-取费表'!K11+'数据-取费表'!S11)</f>
        <v>0</v>
      </c>
      <c r="F11" s="2576" t="s">
        <v>2519</v>
      </c>
    </row>
    <row r="12" spans="1:6">
      <c r="A12" s="2574">
        <f>'数据-取费表'!AN12</f>
        <v>0</v>
      </c>
      <c r="B12" s="2573" t="e">
        <f ca="1">IF(F12="是",'数据-取费表'!AO12,0)</f>
        <v>#REF!</v>
      </c>
      <c r="C12" s="2564" t="s">
        <v>2513</v>
      </c>
      <c r="D12" s="2567"/>
      <c r="E12" s="2575">
        <f>IF(OR(A12=0,F12="否"),0,'数据-取费表'!K12+'数据-取费表'!S12)</f>
        <v>0</v>
      </c>
      <c r="F12" s="2576" t="s">
        <v>2519</v>
      </c>
    </row>
    <row r="13" spans="1:6" ht="15" thickBot="1">
      <c r="A13" s="2577">
        <f>'数据-取费表'!AN13</f>
        <v>0</v>
      </c>
      <c r="B13" s="2573" t="e">
        <f ca="1">IF(F13="是",'数据-取费表'!AO13,0)</f>
        <v>#REF!</v>
      </c>
      <c r="C13" s="2578" t="s">
        <v>2513</v>
      </c>
      <c r="D13" s="2579"/>
      <c r="E13" s="2575">
        <f>IF(OR(A13=0,F13="否"),0,'数据-取费表'!K13+'数据-取费表'!S13)</f>
        <v>0</v>
      </c>
      <c r="F13" s="2576" t="s">
        <v>2519</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1" t="s">
        <v>1073</v>
      </c>
      <c r="B1" s="3272"/>
      <c r="C1" s="3273"/>
      <c r="D1" s="3274">
        <f>SUM(I10,I15,I20,I21,I23)</f>
        <v>0</v>
      </c>
      <c r="E1" s="3274"/>
      <c r="F1" s="3274"/>
      <c r="G1" s="3274"/>
      <c r="H1" s="3274"/>
      <c r="I1" s="3275"/>
    </row>
    <row r="2" spans="1:9">
      <c r="A2" s="3261" t="s">
        <v>1074</v>
      </c>
      <c r="B2" s="3262" t="s">
        <v>1075</v>
      </c>
      <c r="C2" s="3262"/>
      <c r="D2" s="1300" t="s">
        <v>1076</v>
      </c>
      <c r="E2" s="1300" t="s">
        <v>1077</v>
      </c>
      <c r="F2" s="1300" t="s">
        <v>1078</v>
      </c>
      <c r="G2" s="1300" t="s">
        <v>1079</v>
      </c>
      <c r="H2" s="1300" t="s">
        <v>1080</v>
      </c>
      <c r="I2" s="1301" t="s">
        <v>1081</v>
      </c>
    </row>
    <row r="3" spans="1:9">
      <c r="A3" s="3261"/>
      <c r="B3" s="3262" t="s">
        <v>1082</v>
      </c>
      <c r="C3" s="3262"/>
      <c r="D3" s="1302"/>
      <c r="E3" s="1300"/>
      <c r="F3" s="1303"/>
      <c r="G3" s="1303"/>
      <c r="H3" s="1304"/>
      <c r="I3" s="1305">
        <f>ROUND(D3*E3*F3*G3*H3/10000,0)</f>
        <v>0</v>
      </c>
    </row>
    <row r="4" spans="1:9">
      <c r="A4" s="3261"/>
      <c r="B4" s="3262" t="s">
        <v>1083</v>
      </c>
      <c r="C4" s="3262"/>
      <c r="D4" s="1302"/>
      <c r="E4" s="1300"/>
      <c r="F4" s="1303"/>
      <c r="G4" s="1303"/>
      <c r="H4" s="1304"/>
      <c r="I4" s="1305">
        <f t="shared" ref="I4:I9" si="0">ROUND(D4*E4*F4*G4*H4/10000,0)</f>
        <v>0</v>
      </c>
    </row>
    <row r="5" spans="1:9">
      <c r="A5" s="3261"/>
      <c r="B5" s="3262" t="s">
        <v>1084</v>
      </c>
      <c r="C5" s="3262"/>
      <c r="D5" s="1302"/>
      <c r="E5" s="1300"/>
      <c r="F5" s="1303"/>
      <c r="G5" s="1303"/>
      <c r="H5" s="1304"/>
      <c r="I5" s="1305">
        <f t="shared" si="0"/>
        <v>0</v>
      </c>
    </row>
    <row r="6" spans="1:9">
      <c r="A6" s="3261"/>
      <c r="B6" s="3262" t="s">
        <v>1085</v>
      </c>
      <c r="C6" s="3262"/>
      <c r="D6" s="1302"/>
      <c r="E6" s="1300"/>
      <c r="F6" s="1303"/>
      <c r="G6" s="1303"/>
      <c r="H6" s="1304"/>
      <c r="I6" s="1305">
        <f t="shared" si="0"/>
        <v>0</v>
      </c>
    </row>
    <row r="7" spans="1:9">
      <c r="A7" s="3261"/>
      <c r="B7" s="3262" t="s">
        <v>1086</v>
      </c>
      <c r="C7" s="3262"/>
      <c r="D7" s="1302"/>
      <c r="E7" s="1300"/>
      <c r="F7" s="1303"/>
      <c r="G7" s="1303"/>
      <c r="H7" s="1304"/>
      <c r="I7" s="1305">
        <f t="shared" si="0"/>
        <v>0</v>
      </c>
    </row>
    <row r="8" spans="1:9">
      <c r="A8" s="3261"/>
      <c r="B8" s="3262" t="s">
        <v>1087</v>
      </c>
      <c r="C8" s="3262"/>
      <c r="D8" s="1302"/>
      <c r="E8" s="1300"/>
      <c r="F8" s="1303"/>
      <c r="G8" s="1303"/>
      <c r="H8" s="1304"/>
      <c r="I8" s="1305">
        <f t="shared" si="0"/>
        <v>0</v>
      </c>
    </row>
    <row r="9" spans="1:9">
      <c r="A9" s="3261"/>
      <c r="B9" s="3262" t="s">
        <v>1088</v>
      </c>
      <c r="C9" s="3262"/>
      <c r="D9" s="1302"/>
      <c r="E9" s="1300"/>
      <c r="F9" s="1303"/>
      <c r="G9" s="1303"/>
      <c r="H9" s="1304"/>
      <c r="I9" s="1305">
        <f t="shared" si="0"/>
        <v>0</v>
      </c>
    </row>
    <row r="10" spans="1:9">
      <c r="A10" s="3261"/>
      <c r="B10" s="3263" t="s">
        <v>1089</v>
      </c>
      <c r="C10" s="3263"/>
      <c r="D10" s="1306"/>
      <c r="E10" s="1306" t="e">
        <f>ROUND(D1*10000/D10/H9,0)</f>
        <v>#DIV/0!</v>
      </c>
      <c r="F10" s="1307"/>
      <c r="G10" s="1307"/>
      <c r="H10" s="1308"/>
      <c r="I10" s="1309">
        <f>SUM(I3:I9)</f>
        <v>0</v>
      </c>
    </row>
    <row r="11" spans="1:9" ht="14.25">
      <c r="A11" s="3261" t="s">
        <v>1090</v>
      </c>
      <c r="B11" s="3262" t="s">
        <v>1091</v>
      </c>
      <c r="C11" s="3262"/>
      <c r="D11" s="1302" t="s">
        <v>1092</v>
      </c>
      <c r="E11" s="1302" t="s">
        <v>1093</v>
      </c>
      <c r="F11" s="1303" t="s">
        <v>1094</v>
      </c>
      <c r="G11" s="1303" t="s">
        <v>1080</v>
      </c>
      <c r="H11" s="1310" t="s">
        <v>1095</v>
      </c>
      <c r="I11" s="1301" t="s">
        <v>1081</v>
      </c>
    </row>
    <row r="12" spans="1:9">
      <c r="A12" s="3261"/>
      <c r="B12" s="3262" t="s">
        <v>1096</v>
      </c>
      <c r="C12" s="3262"/>
      <c r="D12" s="1302"/>
      <c r="E12" s="1302"/>
      <c r="F12" s="1303"/>
      <c r="G12" s="1304"/>
      <c r="H12" s="1311"/>
      <c r="I12" s="1301">
        <f>ROUND(D12*E12*F12*G12/10000,0)</f>
        <v>0</v>
      </c>
    </row>
    <row r="13" spans="1:9">
      <c r="A13" s="3261"/>
      <c r="B13" s="3262" t="s">
        <v>1097</v>
      </c>
      <c r="C13" s="3262"/>
      <c r="D13" s="1302"/>
      <c r="E13" s="1302"/>
      <c r="F13" s="1303"/>
      <c r="G13" s="1304"/>
      <c r="H13" s="1311"/>
      <c r="I13" s="1301">
        <f>ROUND(D13*E13*F13*G13/10000,0)</f>
        <v>0</v>
      </c>
    </row>
    <row r="14" spans="1:9">
      <c r="A14" s="3261"/>
      <c r="B14" s="3262" t="s">
        <v>1098</v>
      </c>
      <c r="C14" s="3262"/>
      <c r="D14" s="1302"/>
      <c r="E14" s="1302"/>
      <c r="F14" s="1303"/>
      <c r="G14" s="1304"/>
      <c r="H14" s="1311"/>
      <c r="I14" s="1301">
        <f>ROUND(D14*E14*F14*G14/10000,0)</f>
        <v>0</v>
      </c>
    </row>
    <row r="15" spans="1:9">
      <c r="A15" s="3261"/>
      <c r="B15" s="3263" t="s">
        <v>1089</v>
      </c>
      <c r="C15" s="3263"/>
      <c r="D15" s="1306"/>
      <c r="E15" s="1306">
        <f>SUM(E12:E14)</f>
        <v>0</v>
      </c>
      <c r="F15" s="1307"/>
      <c r="G15" s="1304"/>
      <c r="H15" s="1311"/>
      <c r="I15" s="1312">
        <f>SUM(I12:I14)</f>
        <v>0</v>
      </c>
    </row>
    <row r="16" spans="1:9" ht="24">
      <c r="A16" s="3261" t="s">
        <v>1099</v>
      </c>
      <c r="B16" s="3262" t="s">
        <v>1100</v>
      </c>
      <c r="C16" s="3262"/>
      <c r="D16" s="1302" t="s">
        <v>1076</v>
      </c>
      <c r="E16" s="1313" t="s">
        <v>1101</v>
      </c>
      <c r="F16" s="1303" t="s">
        <v>1102</v>
      </c>
      <c r="G16" s="1304" t="s">
        <v>1080</v>
      </c>
      <c r="H16" s="1310" t="s">
        <v>1095</v>
      </c>
      <c r="I16" s="1301" t="s">
        <v>1081</v>
      </c>
    </row>
    <row r="17" spans="1:9" ht="14.25">
      <c r="A17" s="3261"/>
      <c r="B17" s="3262" t="s">
        <v>1103</v>
      </c>
      <c r="C17" s="3262"/>
      <c r="D17" s="1302"/>
      <c r="E17" s="1302"/>
      <c r="F17" s="1303"/>
      <c r="G17" s="1304"/>
      <c r="H17" s="1314"/>
      <c r="I17" s="1315">
        <f>ROUND(D17*E17*F17*G17/10000,0)</f>
        <v>0</v>
      </c>
    </row>
    <row r="18" spans="1:9" ht="14.25">
      <c r="A18" s="3261"/>
      <c r="B18" s="3262" t="s">
        <v>1104</v>
      </c>
      <c r="C18" s="3262"/>
      <c r="D18" s="1302"/>
      <c r="E18" s="1302"/>
      <c r="F18" s="1303"/>
      <c r="G18" s="1304"/>
      <c r="H18" s="1314"/>
      <c r="I18" s="1315">
        <f>ROUND(D18*E18*F18*G18/10000,0)</f>
        <v>0</v>
      </c>
    </row>
    <row r="19" spans="1:9" ht="14.25">
      <c r="A19" s="3261"/>
      <c r="B19" s="3262" t="s">
        <v>1105</v>
      </c>
      <c r="C19" s="3262"/>
      <c r="D19" s="1302"/>
      <c r="E19" s="1302"/>
      <c r="F19" s="1303"/>
      <c r="G19" s="1304"/>
      <c r="H19" s="1314"/>
      <c r="I19" s="1315">
        <f>ROUND(D19*E19*F19*G19/10000,0)</f>
        <v>0</v>
      </c>
    </row>
    <row r="20" spans="1:9">
      <c r="A20" s="3261"/>
      <c r="B20" s="3263" t="s">
        <v>1089</v>
      </c>
      <c r="C20" s="3263"/>
      <c r="D20" s="1306">
        <f>SUM(D17:D19)</f>
        <v>0</v>
      </c>
      <c r="E20" s="1306"/>
      <c r="F20" s="1307"/>
      <c r="G20" s="1304"/>
      <c r="H20" s="1311"/>
      <c r="I20" s="1312">
        <f>SUM(I17:I19)</f>
        <v>0</v>
      </c>
    </row>
    <row r="21" spans="1:9">
      <c r="A21" s="3261" t="s">
        <v>1106</v>
      </c>
      <c r="B21" s="3264"/>
      <c r="C21" s="3264"/>
      <c r="D21" s="3264"/>
      <c r="E21" s="3264"/>
      <c r="F21" s="3264"/>
      <c r="G21" s="3264"/>
      <c r="H21" s="1764">
        <v>0.1</v>
      </c>
      <c r="I21" s="1309">
        <f>ROUND(I10*H21,0)</f>
        <v>0</v>
      </c>
    </row>
    <row r="22" spans="1:9" ht="14.25">
      <c r="A22" s="3265" t="s">
        <v>1107</v>
      </c>
      <c r="B22" s="3266"/>
      <c r="C22" s="3267"/>
      <c r="D22" s="1316" t="s">
        <v>1108</v>
      </c>
      <c r="E22" s="1316" t="s">
        <v>1109</v>
      </c>
      <c r="F22" s="1317" t="s">
        <v>1110</v>
      </c>
      <c r="G22" s="1317" t="s">
        <v>1111</v>
      </c>
      <c r="H22" s="1310" t="s">
        <v>1112</v>
      </c>
      <c r="I22" s="1301" t="s">
        <v>1113</v>
      </c>
    </row>
    <row r="23" spans="1:9" ht="14.25" thickBot="1">
      <c r="A23" s="3268"/>
      <c r="B23" s="3269"/>
      <c r="C23" s="3270"/>
      <c r="D23" s="1318"/>
      <c r="E23" s="1318"/>
      <c r="F23" s="1318"/>
      <c r="G23" s="1319"/>
      <c r="H23" s="1320"/>
      <c r="I23" s="1321">
        <f>ROUND(E23*D23*F23*(1-G23)/10000,0)</f>
        <v>0</v>
      </c>
    </row>
    <row r="26" spans="1:9">
      <c r="A26" s="1322" t="s">
        <v>1114</v>
      </c>
      <c r="B26" s="1322"/>
      <c r="C26" s="1322"/>
      <c r="D26" s="1322"/>
      <c r="E26" s="3258">
        <f>C27-C30-C31-C32</f>
        <v>0</v>
      </c>
      <c r="F26" s="3258"/>
      <c r="G26" s="3258"/>
      <c r="H26" s="1736" t="s">
        <v>1336</v>
      </c>
    </row>
    <row r="27" spans="1:9">
      <c r="A27" s="1323">
        <v>1</v>
      </c>
      <c r="B27" s="1324" t="s">
        <v>1115</v>
      </c>
      <c r="C27" s="1324">
        <f>C28+C29</f>
        <v>0</v>
      </c>
      <c r="D27" s="1324"/>
      <c r="E27" s="3259"/>
      <c r="F27" s="3259"/>
      <c r="G27" s="3259"/>
    </row>
    <row r="28" spans="1:9">
      <c r="A28" s="1325" t="s">
        <v>1116</v>
      </c>
      <c r="B28" s="1324" t="s">
        <v>1117</v>
      </c>
      <c r="C28" s="1324"/>
      <c r="D28" s="1324"/>
      <c r="E28" s="3259"/>
      <c r="F28" s="3259"/>
      <c r="G28" s="3259"/>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260"/>
      <c r="F32" s="3260"/>
      <c r="G32" s="3260"/>
    </row>
    <row r="33" spans="1:7" hidden="1">
      <c r="A33" s="3255" t="s">
        <v>1126</v>
      </c>
      <c r="B33" s="3256"/>
      <c r="C33" s="3256"/>
      <c r="D33" s="3257"/>
      <c r="E33" s="3258"/>
      <c r="F33" s="3258"/>
      <c r="G33" s="3258"/>
    </row>
    <row r="34" spans="1:7" hidden="1">
      <c r="A34" s="1327">
        <v>1</v>
      </c>
      <c r="B34" s="1324" t="s">
        <v>1127</v>
      </c>
      <c r="C34" s="1324"/>
      <c r="D34" s="1324"/>
      <c r="E34" s="3259"/>
      <c r="F34" s="3259"/>
      <c r="G34" s="3259"/>
    </row>
    <row r="35" spans="1:7" hidden="1">
      <c r="A35" s="1327">
        <v>2</v>
      </c>
      <c r="B35" s="1324" t="s">
        <v>1128</v>
      </c>
      <c r="C35" s="1324"/>
      <c r="D35" s="1324"/>
      <c r="E35" s="3259"/>
      <c r="F35" s="3259"/>
      <c r="G35" s="3259"/>
    </row>
    <row r="36" spans="1:7" hidden="1">
      <c r="A36" s="1327">
        <v>3</v>
      </c>
      <c r="B36" s="1324" t="s">
        <v>1129</v>
      </c>
      <c r="C36" s="1324"/>
      <c r="D36" s="1324"/>
      <c r="E36" s="3259"/>
      <c r="F36" s="3259"/>
      <c r="G36" s="3259"/>
    </row>
    <row r="37" spans="1:7" hidden="1">
      <c r="A37" s="1327">
        <v>4</v>
      </c>
      <c r="B37" s="1324" t="s">
        <v>1130</v>
      </c>
      <c r="C37" s="1324"/>
      <c r="D37" s="1324"/>
      <c r="E37" s="3259"/>
      <c r="F37" s="3259"/>
      <c r="G37" s="3259"/>
    </row>
    <row r="38" spans="1:7" hidden="1">
      <c r="A38" s="3255" t="s">
        <v>1131</v>
      </c>
      <c r="B38" s="3256"/>
      <c r="C38" s="3256"/>
      <c r="D38" s="3257"/>
      <c r="E38" s="3258"/>
      <c r="F38" s="3258"/>
      <c r="G38" s="325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2522</v>
      </c>
      <c r="B1" s="2580" t="s">
        <v>2523</v>
      </c>
      <c r="C1" s="1633" t="s">
        <v>2524</v>
      </c>
      <c r="D1" s="1620"/>
      <c r="E1" s="2581"/>
      <c r="F1" s="2582" t="s">
        <v>2525</v>
      </c>
      <c r="G1" s="1630" t="s">
        <v>2526</v>
      </c>
      <c r="H1" s="1629"/>
      <c r="I1" s="1629"/>
      <c r="J1" s="1629"/>
      <c r="K1" s="1631"/>
      <c r="L1" s="1632"/>
      <c r="M1" s="1633"/>
      <c r="N1" s="1633"/>
      <c r="O1" s="1633"/>
      <c r="P1" s="2583"/>
      <c r="Q1" s="1619"/>
      <c r="R1" s="1619"/>
      <c r="S1" s="1619"/>
      <c r="T1" s="1619"/>
      <c r="U1" s="1619"/>
      <c r="V1" s="1619"/>
      <c r="W1" s="1619"/>
      <c r="X1" s="1619"/>
      <c r="Y1" s="1619"/>
      <c r="Z1" s="1619"/>
      <c r="AA1" s="1619"/>
      <c r="AB1" s="1619"/>
      <c r="AC1" s="1627"/>
    </row>
    <row r="2" spans="1:29" s="392" customFormat="1" ht="28.5" customHeight="1" thickTop="1">
      <c r="A2" s="1616" t="s">
        <v>1389</v>
      </c>
      <c r="B2" s="1417" t="e">
        <f ca="1">IF(C2="——",ROUND(C49*D3/10000,0),ROUND(C49*D3/10000,0)-D2)</f>
        <v>#DIV/0!</v>
      </c>
      <c r="C2" s="2584"/>
      <c r="D2" s="1364" t="e">
        <f ca="1">SUMIF(INDIRECT("'"&amp;F2&amp;"'"&amp;"!A:A"),"承租人权益价值",INDIRECT("'"&amp;F2&amp;"'"&amp;"!c:c"))</f>
        <v>#REF!</v>
      </c>
      <c r="E2" s="2585" t="s">
        <v>2527</v>
      </c>
      <c r="F2" s="2586"/>
      <c r="G2" s="1123"/>
      <c r="H2" s="1123"/>
      <c r="I2" s="1123"/>
      <c r="J2" s="1123"/>
      <c r="K2" s="2587"/>
      <c r="L2" s="2588"/>
      <c r="M2" s="2589"/>
      <c r="N2" s="2589"/>
      <c r="O2" s="2589"/>
      <c r="P2" s="2590"/>
      <c r="Q2" s="2591"/>
      <c r="R2" s="2591"/>
      <c r="S2" s="2591"/>
      <c r="T2" s="2591"/>
      <c r="U2" s="2591"/>
      <c r="V2" s="2591"/>
      <c r="W2" s="2591"/>
      <c r="X2" s="2591"/>
      <c r="Y2" s="2591"/>
      <c r="Z2" s="2591"/>
      <c r="AA2" s="2591"/>
      <c r="AB2" s="2591"/>
      <c r="AC2" s="2592"/>
    </row>
    <row r="3" spans="1:29" s="392" customFormat="1" ht="28.5" customHeight="1" thickBot="1">
      <c r="A3" s="246" t="s">
        <v>1390</v>
      </c>
      <c r="B3" s="398" t="e">
        <f ca="1">IF(C2="——",C49,ROUND(B2*10000/D3,0))</f>
        <v>#DIV/0!</v>
      </c>
      <c r="C3" s="399" t="s">
        <v>2528</v>
      </c>
      <c r="D3" s="398">
        <f>IF(D1="",'数据-汇总表'!E3,SUMIF('数据-汇总表'!$C19:$C33,D1,'数据-汇总表'!$E19:$E33))</f>
        <v>83329.149999999994</v>
      </c>
      <c r="E3" s="1123"/>
      <c r="F3" s="2593"/>
      <c r="G3" s="1123"/>
      <c r="H3" s="1123"/>
      <c r="I3" s="1123"/>
      <c r="J3" s="1123"/>
      <c r="K3" s="2587"/>
      <c r="L3" s="2588"/>
      <c r="M3" s="2589"/>
      <c r="N3" s="2589"/>
      <c r="O3" s="2589"/>
      <c r="P3" s="2590"/>
      <c r="Q3" s="2591"/>
      <c r="R3" s="2591"/>
      <c r="S3" s="2591"/>
      <c r="T3" s="2591"/>
      <c r="U3" s="2591"/>
      <c r="V3" s="2591"/>
      <c r="W3" s="2591"/>
      <c r="X3" s="2591"/>
      <c r="Y3" s="2591"/>
      <c r="Z3" s="2591"/>
      <c r="AA3" s="2591"/>
      <c r="AB3" s="2591"/>
      <c r="AC3" s="1281"/>
    </row>
    <row r="4" spans="1:29" ht="15">
      <c r="A4" s="400" t="s">
        <v>2529</v>
      </c>
      <c r="B4" s="401"/>
      <c r="C4" s="3294" t="s">
        <v>2530</v>
      </c>
      <c r="D4" s="3295"/>
      <c r="E4" s="3296" t="s">
        <v>2531</v>
      </c>
      <c r="F4" s="3297"/>
      <c r="G4" s="3294" t="s">
        <v>2532</v>
      </c>
      <c r="H4" s="3295"/>
      <c r="I4" s="3294" t="s">
        <v>2533</v>
      </c>
      <c r="J4" s="3295"/>
      <c r="K4" s="2594" t="s">
        <v>2534</v>
      </c>
      <c r="L4" s="1129"/>
      <c r="M4" s="1130"/>
      <c r="N4" s="1130"/>
      <c r="O4" s="1130"/>
      <c r="P4" s="3298" t="s">
        <v>2535</v>
      </c>
      <c r="Q4" s="3299"/>
      <c r="R4" s="3304" t="s">
        <v>2531</v>
      </c>
      <c r="S4" s="3305"/>
      <c r="T4" s="3304" t="s">
        <v>2532</v>
      </c>
      <c r="U4" s="3305"/>
      <c r="V4" s="3310" t="s">
        <v>2533</v>
      </c>
      <c r="W4" s="3310"/>
      <c r="X4" s="1812"/>
      <c r="Y4" s="3304" t="s">
        <v>2535</v>
      </c>
      <c r="Z4" s="3305"/>
      <c r="AA4" s="3291" t="s">
        <v>2531</v>
      </c>
      <c r="AB4" s="3291" t="s">
        <v>2532</v>
      </c>
      <c r="AC4" s="3291" t="s">
        <v>2533</v>
      </c>
    </row>
    <row r="5" spans="1:29" ht="15">
      <c r="A5" s="403"/>
      <c r="B5" s="404"/>
      <c r="C5" s="3313" t="s">
        <v>2536</v>
      </c>
      <c r="D5" s="3314"/>
      <c r="E5" s="3320" t="s">
        <v>2537</v>
      </c>
      <c r="F5" s="3321"/>
      <c r="G5" s="3313" t="s">
        <v>2538</v>
      </c>
      <c r="H5" s="3314"/>
      <c r="I5" s="3313" t="s">
        <v>2539</v>
      </c>
      <c r="J5" s="3314"/>
      <c r="K5" s="2595"/>
      <c r="L5" s="1129"/>
      <c r="M5" s="1130"/>
      <c r="N5" s="1130"/>
      <c r="O5" s="1130"/>
      <c r="P5" s="3300"/>
      <c r="Q5" s="3301"/>
      <c r="R5" s="3306"/>
      <c r="S5" s="3307"/>
      <c r="T5" s="3306"/>
      <c r="U5" s="3307"/>
      <c r="V5" s="3310"/>
      <c r="W5" s="3310"/>
      <c r="X5" s="1812"/>
      <c r="Y5" s="3306"/>
      <c r="Z5" s="3307"/>
      <c r="AA5" s="3292"/>
      <c r="AB5" s="3292"/>
      <c r="AC5" s="3292"/>
    </row>
    <row r="6" spans="1:29" ht="15.75" thickBot="1">
      <c r="A6" s="405"/>
      <c r="B6" s="406"/>
      <c r="C6" s="3311" t="s">
        <v>2540</v>
      </c>
      <c r="D6" s="3312"/>
      <c r="E6" s="3318" t="s">
        <v>2540</v>
      </c>
      <c r="F6" s="3319"/>
      <c r="G6" s="3311" t="s">
        <v>2540</v>
      </c>
      <c r="H6" s="3312"/>
      <c r="I6" s="3311" t="s">
        <v>2540</v>
      </c>
      <c r="J6" s="3312"/>
      <c r="K6" s="2595" t="s">
        <v>2541</v>
      </c>
      <c r="L6" s="1129"/>
      <c r="M6" s="1130"/>
      <c r="N6" s="1130"/>
      <c r="O6" s="1130"/>
      <c r="P6" s="3302"/>
      <c r="Q6" s="3303"/>
      <c r="R6" s="3306"/>
      <c r="S6" s="3307"/>
      <c r="T6" s="3308"/>
      <c r="U6" s="3309"/>
      <c r="V6" s="3310"/>
      <c r="W6" s="3310"/>
      <c r="X6" s="1812"/>
      <c r="Y6" s="3308"/>
      <c r="Z6" s="3309"/>
      <c r="AA6" s="3293"/>
      <c r="AB6" s="3293"/>
      <c r="AC6" s="3293"/>
    </row>
    <row r="7" spans="1:29" s="117" customFormat="1" ht="15.75" thickBot="1">
      <c r="A7" s="407" t="s">
        <v>2542</v>
      </c>
      <c r="B7" s="408"/>
      <c r="C7" s="409">
        <f>'数据-取费表'!B2</f>
        <v>43691</v>
      </c>
      <c r="D7" s="410">
        <v>100</v>
      </c>
      <c r="E7" s="411"/>
      <c r="F7" s="412">
        <f>SUMIF(58:58,YEAR(E7)&amp;"-"&amp;MONTH(E7),59:59)</f>
        <v>0</v>
      </c>
      <c r="G7" s="411"/>
      <c r="H7" s="410">
        <f>SUMIF(58:58,YEAR(G7)&amp;"-"&amp;MONTH(G7),59:59)</f>
        <v>0</v>
      </c>
      <c r="I7" s="411"/>
      <c r="J7" s="410">
        <f>SUMIF(58:58,YEAR(I7)&amp;"-"&amp;MONTH(I7),59:59)</f>
        <v>0</v>
      </c>
      <c r="K7" s="2596"/>
      <c r="L7" s="1131"/>
      <c r="M7" s="1132"/>
      <c r="N7" s="1132"/>
      <c r="O7" s="1132"/>
      <c r="P7" s="3315" t="s">
        <v>2543</v>
      </c>
      <c r="Q7" s="3317"/>
      <c r="R7" s="769" t="s">
        <v>23</v>
      </c>
      <c r="S7" s="770">
        <f t="shared" ref="S7:S15" si="0">F7</f>
        <v>0</v>
      </c>
      <c r="T7" s="769" t="s">
        <v>23</v>
      </c>
      <c r="U7" s="770">
        <f t="shared" ref="U7:U15" si="1">H7</f>
        <v>0</v>
      </c>
      <c r="V7" s="769" t="s">
        <v>23</v>
      </c>
      <c r="W7" s="770">
        <f t="shared" ref="W7:W15" si="2">J7</f>
        <v>0</v>
      </c>
      <c r="X7" s="771"/>
      <c r="Y7" s="3315" t="s">
        <v>2543</v>
      </c>
      <c r="Z7" s="3316"/>
      <c r="AA7" s="772" t="e">
        <f>D7/F7</f>
        <v>#DIV/0!</v>
      </c>
      <c r="AB7" s="772" t="e">
        <f>D7/H7</f>
        <v>#DIV/0!</v>
      </c>
      <c r="AC7" s="772" t="e">
        <f>D7/J7</f>
        <v>#DIV/0!</v>
      </c>
    </row>
    <row r="8" spans="1:29" s="117" customFormat="1" ht="15.75" thickBot="1">
      <c r="A8" s="407" t="s">
        <v>2544</v>
      </c>
      <c r="B8" s="408"/>
      <c r="C8" s="413" t="s">
        <v>2545</v>
      </c>
      <c r="D8" s="410">
        <v>100</v>
      </c>
      <c r="E8" s="2597"/>
      <c r="F8" s="412">
        <f>SUMIF(61:61,E8,62:62)-SUMIF(61:61,C8,62:62)+100</f>
        <v>0</v>
      </c>
      <c r="G8" s="413"/>
      <c r="H8" s="410">
        <f>SUMIF(61:61,G8,62:62)-SUMIF(61:61,C8,62:62)+100</f>
        <v>0</v>
      </c>
      <c r="I8" s="2597"/>
      <c r="J8" s="410">
        <f>SUMIF(61:61,I8,62:62)-SUMIF(61:61,C8,62:62)+100</f>
        <v>0</v>
      </c>
      <c r="K8" s="2596"/>
      <c r="L8" s="1131"/>
      <c r="M8" s="1132"/>
      <c r="N8" s="1132"/>
      <c r="O8" s="1132"/>
      <c r="P8" s="3315" t="s">
        <v>2546</v>
      </c>
      <c r="Q8" s="3316"/>
      <c r="R8" s="769" t="s">
        <v>23</v>
      </c>
      <c r="S8" s="770">
        <f t="shared" si="0"/>
        <v>0</v>
      </c>
      <c r="T8" s="769" t="s">
        <v>23</v>
      </c>
      <c r="U8" s="770">
        <f t="shared" si="1"/>
        <v>0</v>
      </c>
      <c r="V8" s="769" t="s">
        <v>23</v>
      </c>
      <c r="W8" s="770">
        <f t="shared" si="2"/>
        <v>0</v>
      </c>
      <c r="X8" s="771"/>
      <c r="Y8" s="3315" t="s">
        <v>2546</v>
      </c>
      <c r="Z8" s="3316"/>
      <c r="AA8" s="772" t="e">
        <f t="shared" ref="AA8:AA19" si="3">D8/F8</f>
        <v>#DIV/0!</v>
      </c>
      <c r="AB8" s="772" t="e">
        <f t="shared" ref="AB8:AB19" si="4">D8/H8</f>
        <v>#DIV/0!</v>
      </c>
      <c r="AC8" s="772" t="e">
        <f t="shared" ref="AC8:AC19" si="5">D8/J8</f>
        <v>#DIV/0!</v>
      </c>
    </row>
    <row r="9" spans="1:29" s="117" customFormat="1">
      <c r="A9" s="414" t="s">
        <v>2547</v>
      </c>
      <c r="B9" s="71" t="s">
        <v>2548</v>
      </c>
      <c r="C9" s="415"/>
      <c r="D9" s="134">
        <v>100</v>
      </c>
      <c r="E9" s="416"/>
      <c r="F9" s="417">
        <f>SUMIF(63:63,E9,64:64)-SUMIF(63:63,C9,64:64)+100</f>
        <v>100</v>
      </c>
      <c r="G9" s="418"/>
      <c r="H9" s="134">
        <f>SUMIF(63:63,G9,64:64)-SUMIF(63:63,C9,64:64)+100</f>
        <v>100</v>
      </c>
      <c r="I9" s="418"/>
      <c r="J9" s="134">
        <f>SUMIF(63:63,I9,64:64)-SUMIF(63:63,C9,64:64)+100</f>
        <v>100</v>
      </c>
      <c r="K9" s="2596"/>
      <c r="L9" s="1131"/>
      <c r="M9" s="1132"/>
      <c r="N9" s="1132"/>
      <c r="O9" s="1132"/>
      <c r="P9" s="3290" t="s">
        <v>2549</v>
      </c>
      <c r="Q9" s="1794" t="str">
        <f t="shared" ref="Q9:Q15" si="6">B9</f>
        <v>用途</v>
      </c>
      <c r="R9" s="769" t="s">
        <v>17</v>
      </c>
      <c r="S9" s="770">
        <f t="shared" si="0"/>
        <v>100</v>
      </c>
      <c r="T9" s="769" t="s">
        <v>17</v>
      </c>
      <c r="U9" s="770">
        <f t="shared" si="1"/>
        <v>100</v>
      </c>
      <c r="V9" s="769" t="s">
        <v>17</v>
      </c>
      <c r="W9" s="770">
        <f t="shared" si="2"/>
        <v>100</v>
      </c>
      <c r="X9" s="771"/>
      <c r="Y9" s="3077" t="s">
        <v>2550</v>
      </c>
      <c r="Z9" s="55" t="str">
        <f t="shared" ref="Z9:Z15" si="7">Q9</f>
        <v>用途</v>
      </c>
      <c r="AA9" s="772">
        <f t="shared" si="3"/>
        <v>1</v>
      </c>
      <c r="AB9" s="772">
        <f t="shared" si="4"/>
        <v>1</v>
      </c>
      <c r="AC9" s="772">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290"/>
      <c r="Q10" s="1794" t="str">
        <f t="shared" si="6"/>
        <v>土地使用年限（年）</v>
      </c>
      <c r="R10" s="769" t="s">
        <v>17</v>
      </c>
      <c r="S10" s="770">
        <f t="shared" si="0"/>
        <v>100</v>
      </c>
      <c r="T10" s="769" t="s">
        <v>17</v>
      </c>
      <c r="U10" s="770">
        <f t="shared" si="1"/>
        <v>100</v>
      </c>
      <c r="V10" s="769" t="s">
        <v>17</v>
      </c>
      <c r="W10" s="770">
        <f t="shared" si="2"/>
        <v>100</v>
      </c>
      <c r="X10" s="771"/>
      <c r="Y10" s="3077"/>
      <c r="Z10" s="55" t="str">
        <f t="shared" si="7"/>
        <v>土地使用年限（年）</v>
      </c>
      <c r="AA10" s="772">
        <f t="shared" si="3"/>
        <v>1</v>
      </c>
      <c r="AB10" s="772">
        <f t="shared" si="4"/>
        <v>1</v>
      </c>
      <c r="AC10" s="772">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290"/>
      <c r="Q11" s="1794" t="str">
        <f t="shared" si="6"/>
        <v>容积率</v>
      </c>
      <c r="R11" s="769" t="s">
        <v>21</v>
      </c>
      <c r="S11" s="770" t="e">
        <f t="shared" si="0"/>
        <v>#N/A</v>
      </c>
      <c r="T11" s="769" t="s">
        <v>21</v>
      </c>
      <c r="U11" s="770" t="e">
        <f t="shared" si="1"/>
        <v>#N/A</v>
      </c>
      <c r="V11" s="769" t="s">
        <v>21</v>
      </c>
      <c r="W11" s="770" t="e">
        <f t="shared" si="2"/>
        <v>#N/A</v>
      </c>
      <c r="X11" s="771"/>
      <c r="Y11" s="3077"/>
      <c r="Z11" s="55" t="str">
        <f t="shared" si="7"/>
        <v>容积率</v>
      </c>
      <c r="AA11" s="772" t="e">
        <f t="shared" si="3"/>
        <v>#N/A</v>
      </c>
      <c r="AB11" s="772" t="e">
        <f t="shared" si="4"/>
        <v>#N/A</v>
      </c>
      <c r="AC11" s="772" t="e">
        <f t="shared" si="5"/>
        <v>#N/A</v>
      </c>
    </row>
    <row r="12" spans="1:29" s="117" customFormat="1" ht="15">
      <c r="A12" s="430"/>
      <c r="B12" s="2598">
        <v>111</v>
      </c>
      <c r="C12" s="431"/>
      <c r="D12" s="432">
        <v>100</v>
      </c>
      <c r="E12" s="431"/>
      <c r="F12" s="424">
        <f>SUMIF(70:70,E12,71:71)-SUMIF(70:70,C12,71:71)+100</f>
        <v>100</v>
      </c>
      <c r="G12" s="431"/>
      <c r="H12" s="135">
        <f>SUMIF(70:70,G12,71:71)-SUMIF(70:70,C12,71:71)+100</f>
        <v>100</v>
      </c>
      <c r="I12" s="431"/>
      <c r="J12" s="135">
        <f>SUMIF(70:70,I12,71:71)-SUMIF(70:70,C12,71:71)+100</f>
        <v>100</v>
      </c>
      <c r="K12" s="2599"/>
      <c r="L12" s="1131"/>
      <c r="M12" s="1132"/>
      <c r="N12" s="1132"/>
      <c r="O12" s="1132"/>
      <c r="P12" s="3290"/>
      <c r="Q12" s="1794">
        <f t="shared" si="6"/>
        <v>111</v>
      </c>
      <c r="R12" s="769" t="s">
        <v>21</v>
      </c>
      <c r="S12" s="770">
        <f t="shared" si="0"/>
        <v>100</v>
      </c>
      <c r="T12" s="769" t="s">
        <v>21</v>
      </c>
      <c r="U12" s="770">
        <f t="shared" si="1"/>
        <v>100</v>
      </c>
      <c r="V12" s="769" t="s">
        <v>21</v>
      </c>
      <c r="W12" s="770">
        <f t="shared" si="2"/>
        <v>100</v>
      </c>
      <c r="X12" s="771"/>
      <c r="Y12" s="3077"/>
      <c r="Z12" s="55">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2599"/>
      <c r="L13" s="1139"/>
      <c r="M13" s="1130"/>
      <c r="N13" s="1130"/>
      <c r="O13" s="1130"/>
      <c r="P13" s="3290"/>
      <c r="Q13" s="1794">
        <f t="shared" si="6"/>
        <v>111</v>
      </c>
      <c r="R13" s="769" t="s">
        <v>21</v>
      </c>
      <c r="S13" s="770">
        <f t="shared" si="0"/>
        <v>100</v>
      </c>
      <c r="T13" s="769" t="s">
        <v>21</v>
      </c>
      <c r="U13" s="770">
        <f t="shared" si="1"/>
        <v>100</v>
      </c>
      <c r="V13" s="769" t="s">
        <v>21</v>
      </c>
      <c r="W13" s="770">
        <f t="shared" si="2"/>
        <v>100</v>
      </c>
      <c r="X13" s="771"/>
      <c r="Y13" s="3077"/>
      <c r="Z13" s="55">
        <f t="shared" si="7"/>
        <v>111</v>
      </c>
      <c r="AA13" s="772">
        <f t="shared" si="3"/>
        <v>1</v>
      </c>
      <c r="AB13" s="772">
        <f t="shared" si="4"/>
        <v>1</v>
      </c>
      <c r="AC13" s="772">
        <f t="shared" si="5"/>
        <v>1</v>
      </c>
    </row>
    <row r="14" spans="1:29" ht="15.75" thickBot="1">
      <c r="A14" s="435"/>
      <c r="B14" s="2600">
        <v>111</v>
      </c>
      <c r="C14" s="436"/>
      <c r="D14" s="437">
        <v>100</v>
      </c>
      <c r="E14" s="436"/>
      <c r="F14" s="438">
        <f>SUMIF(74:74,E14,75:75)-SUMIF(74:74,C14,75:75)+100</f>
        <v>100</v>
      </c>
      <c r="G14" s="436"/>
      <c r="H14" s="437">
        <f>SUMIF(74:74,G14,75:75)-SUMIF(74:74,C14,75:75)+100</f>
        <v>100</v>
      </c>
      <c r="I14" s="436"/>
      <c r="J14" s="437">
        <f>SUMIF(74:74,I14,75:75)-SUMIF(74:74,C14,75:75)+100</f>
        <v>100</v>
      </c>
      <c r="K14" s="2599"/>
      <c r="L14" s="1139"/>
      <c r="M14" s="1130"/>
      <c r="N14" s="1130"/>
      <c r="O14" s="1130"/>
      <c r="P14" s="3290"/>
      <c r="Q14" s="1794">
        <f t="shared" si="6"/>
        <v>111</v>
      </c>
      <c r="R14" s="769" t="s">
        <v>21</v>
      </c>
      <c r="S14" s="770">
        <f t="shared" si="0"/>
        <v>100</v>
      </c>
      <c r="T14" s="769" t="s">
        <v>21</v>
      </c>
      <c r="U14" s="770">
        <f t="shared" si="1"/>
        <v>100</v>
      </c>
      <c r="V14" s="769" t="s">
        <v>21</v>
      </c>
      <c r="W14" s="770">
        <f t="shared" si="2"/>
        <v>100</v>
      </c>
      <c r="X14" s="771"/>
      <c r="Y14" s="3077"/>
      <c r="Z14" s="55">
        <f t="shared" si="7"/>
        <v>111</v>
      </c>
      <c r="AA14" s="772">
        <f t="shared" si="3"/>
        <v>1</v>
      </c>
      <c r="AB14" s="772">
        <f t="shared" si="4"/>
        <v>1</v>
      </c>
      <c r="AC14" s="772">
        <f t="shared" si="5"/>
        <v>1</v>
      </c>
    </row>
    <row r="15" spans="1:29" ht="99.75">
      <c r="A15" s="439" t="s">
        <v>2553</v>
      </c>
      <c r="B15" s="69" t="s">
        <v>2083</v>
      </c>
      <c r="C15" s="2601"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88" t="s">
        <v>2554</v>
      </c>
      <c r="Q15" s="1809" t="str">
        <f t="shared" si="6"/>
        <v>居住社区成熟度</v>
      </c>
      <c r="R15" s="773" t="s">
        <v>21</v>
      </c>
      <c r="S15" s="774">
        <f t="shared" si="0"/>
        <v>100</v>
      </c>
      <c r="T15" s="773" t="s">
        <v>21</v>
      </c>
      <c r="U15" s="774">
        <f t="shared" si="1"/>
        <v>100</v>
      </c>
      <c r="V15" s="773" t="s">
        <v>21</v>
      </c>
      <c r="W15" s="774">
        <f t="shared" si="2"/>
        <v>100</v>
      </c>
      <c r="X15" s="1812"/>
      <c r="Y15" s="3281" t="s">
        <v>2554</v>
      </c>
      <c r="Z15" s="1813" t="str">
        <f t="shared" si="7"/>
        <v>居住社区成熟度</v>
      </c>
      <c r="AA15" s="1810">
        <f t="shared" si="3"/>
        <v>1</v>
      </c>
      <c r="AB15" s="1810">
        <f t="shared" si="4"/>
        <v>1</v>
      </c>
      <c r="AC15" s="1810">
        <f t="shared" si="5"/>
        <v>1</v>
      </c>
    </row>
    <row r="16" spans="1:29" ht="15">
      <c r="A16" s="427"/>
      <c r="B16" s="445"/>
      <c r="C16" s="446"/>
      <c r="D16" s="447"/>
      <c r="E16" s="2602"/>
      <c r="F16" s="447"/>
      <c r="G16" s="2603"/>
      <c r="H16" s="449"/>
      <c r="I16" s="2603"/>
      <c r="J16" s="447"/>
      <c r="K16" s="2604"/>
      <c r="L16" s="1139"/>
      <c r="M16" s="1130"/>
      <c r="N16" s="1130"/>
      <c r="O16" s="1130"/>
      <c r="P16" s="3289"/>
      <c r="Q16" s="1809"/>
      <c r="R16" s="773"/>
      <c r="S16" s="774"/>
      <c r="T16" s="773"/>
      <c r="U16" s="774"/>
      <c r="V16" s="773"/>
      <c r="W16" s="774"/>
      <c r="X16" s="1812"/>
      <c r="Y16" s="3282"/>
      <c r="Z16" s="1813"/>
      <c r="AA16" s="1810">
        <v>1</v>
      </c>
      <c r="AB16" s="1810">
        <v>1</v>
      </c>
      <c r="AC16" s="1810">
        <v>1</v>
      </c>
    </row>
    <row r="17" spans="1:29" ht="85.5">
      <c r="A17" s="427"/>
      <c r="B17" s="450" t="s">
        <v>2095</v>
      </c>
      <c r="C17" s="2605"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89"/>
      <c r="Q17" s="1809" t="str">
        <f>B17</f>
        <v>交通便捷度</v>
      </c>
      <c r="R17" s="773" t="s">
        <v>21</v>
      </c>
      <c r="S17" s="774">
        <f>F17</f>
        <v>100</v>
      </c>
      <c r="T17" s="773" t="s">
        <v>21</v>
      </c>
      <c r="U17" s="774">
        <f>H17</f>
        <v>100</v>
      </c>
      <c r="V17" s="773" t="s">
        <v>21</v>
      </c>
      <c r="W17" s="774">
        <f>J17</f>
        <v>100</v>
      </c>
      <c r="X17" s="1812"/>
      <c r="Y17" s="3282"/>
      <c r="Z17" s="1813" t="str">
        <f>Q17</f>
        <v>交通便捷度</v>
      </c>
      <c r="AA17" s="1810">
        <f t="shared" si="3"/>
        <v>1</v>
      </c>
      <c r="AB17" s="1810">
        <f t="shared" si="4"/>
        <v>1</v>
      </c>
      <c r="AC17" s="1810">
        <f t="shared" si="5"/>
        <v>1</v>
      </c>
    </row>
    <row r="18" spans="1:29" ht="15">
      <c r="A18" s="427"/>
      <c r="B18" s="455"/>
      <c r="C18" s="2606"/>
      <c r="D18" s="449"/>
      <c r="E18" s="2607"/>
      <c r="F18" s="449"/>
      <c r="G18" s="2608"/>
      <c r="H18" s="447"/>
      <c r="I18" s="2608"/>
      <c r="J18" s="447"/>
      <c r="K18" s="2604"/>
      <c r="L18" s="1139"/>
      <c r="M18" s="1130"/>
      <c r="N18" s="1130"/>
      <c r="O18" s="1130"/>
      <c r="P18" s="3289"/>
      <c r="Q18" s="1809"/>
      <c r="R18" s="773"/>
      <c r="S18" s="774"/>
      <c r="T18" s="773"/>
      <c r="U18" s="774"/>
      <c r="V18" s="773"/>
      <c r="W18" s="774"/>
      <c r="X18" s="1812"/>
      <c r="Y18" s="3282"/>
      <c r="Z18" s="1813"/>
      <c r="AA18" s="1810">
        <v>1</v>
      </c>
      <c r="AB18" s="1810">
        <v>1</v>
      </c>
      <c r="AC18" s="1810">
        <v>1</v>
      </c>
    </row>
    <row r="19" spans="1:29" ht="42.75">
      <c r="A19" s="427"/>
      <c r="B19" s="450" t="s">
        <v>2093</v>
      </c>
      <c r="C19" s="2605"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89"/>
      <c r="Q19" s="1809" t="str">
        <f>B19</f>
        <v>公共配套设施</v>
      </c>
      <c r="R19" s="773" t="s">
        <v>21</v>
      </c>
      <c r="S19" s="774">
        <f>F19</f>
        <v>100</v>
      </c>
      <c r="T19" s="773" t="s">
        <v>21</v>
      </c>
      <c r="U19" s="774">
        <f>H19</f>
        <v>100</v>
      </c>
      <c r="V19" s="773" t="s">
        <v>21</v>
      </c>
      <c r="W19" s="774">
        <f>J19</f>
        <v>100</v>
      </c>
      <c r="X19" s="1812"/>
      <c r="Y19" s="3282"/>
      <c r="Z19" s="1813" t="str">
        <f>Q19</f>
        <v>公共配套设施</v>
      </c>
      <c r="AA19" s="1810">
        <f t="shared" si="3"/>
        <v>1</v>
      </c>
      <c r="AB19" s="1810">
        <f t="shared" si="4"/>
        <v>1</v>
      </c>
      <c r="AC19" s="1810">
        <f t="shared" si="5"/>
        <v>1</v>
      </c>
    </row>
    <row r="20" spans="1:29" ht="15">
      <c r="A20" s="427"/>
      <c r="B20" s="455"/>
      <c r="C20" s="446"/>
      <c r="D20" s="447"/>
      <c r="E20" s="2602"/>
      <c r="F20" s="447"/>
      <c r="G20" s="2603"/>
      <c r="H20" s="447"/>
      <c r="I20" s="2603"/>
      <c r="J20" s="447"/>
      <c r="K20" s="2604"/>
      <c r="L20" s="1139"/>
      <c r="M20" s="1130"/>
      <c r="N20" s="1130"/>
      <c r="O20" s="1130"/>
      <c r="P20" s="3289"/>
      <c r="Q20" s="1809"/>
      <c r="R20" s="773"/>
      <c r="S20" s="774"/>
      <c r="T20" s="773"/>
      <c r="U20" s="774"/>
      <c r="V20" s="773"/>
      <c r="W20" s="774"/>
      <c r="X20" s="1812"/>
      <c r="Y20" s="3282"/>
      <c r="Z20" s="1813"/>
      <c r="AA20" s="1810">
        <v>1</v>
      </c>
      <c r="AB20" s="1810">
        <v>1</v>
      </c>
      <c r="AC20" s="1810">
        <v>1</v>
      </c>
    </row>
    <row r="21" spans="1:29" ht="28.5">
      <c r="A21" s="427"/>
      <c r="B21" s="1383" t="s">
        <v>2096</v>
      </c>
      <c r="C21" s="2605"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89"/>
      <c r="Q21" s="1809" t="str">
        <f>B21</f>
        <v>基础设施水平</v>
      </c>
      <c r="R21" s="773" t="s">
        <v>17</v>
      </c>
      <c r="S21" s="774">
        <f>F21</f>
        <v>100</v>
      </c>
      <c r="T21" s="773" t="s">
        <v>17</v>
      </c>
      <c r="U21" s="774">
        <f>H21</f>
        <v>100</v>
      </c>
      <c r="V21" s="773" t="s">
        <v>17</v>
      </c>
      <c r="W21" s="774">
        <f>J21</f>
        <v>100</v>
      </c>
      <c r="X21" s="1812"/>
      <c r="Y21" s="3282"/>
      <c r="Z21" s="1813" t="str">
        <f>Q21</f>
        <v>基础设施水平</v>
      </c>
      <c r="AA21" s="1810">
        <f t="shared" ref="AA21" si="8">D21/F21</f>
        <v>1</v>
      </c>
      <c r="AB21" s="1810">
        <f t="shared" ref="AB21" si="9">D21/H21</f>
        <v>1</v>
      </c>
      <c r="AC21" s="1810">
        <f t="shared" ref="AC21" si="10">D21/J21</f>
        <v>1</v>
      </c>
    </row>
    <row r="22" spans="1:29" ht="15">
      <c r="A22" s="427"/>
      <c r="B22" s="1383"/>
      <c r="C22" s="2606"/>
      <c r="D22" s="447"/>
      <c r="E22" s="446"/>
      <c r="F22" s="447"/>
      <c r="G22" s="2609"/>
      <c r="H22" s="447"/>
      <c r="I22" s="446"/>
      <c r="J22" s="447"/>
      <c r="K22" s="2610"/>
      <c r="L22" s="1139"/>
      <c r="M22" s="1130"/>
      <c r="N22" s="1130"/>
      <c r="O22" s="1130"/>
      <c r="P22" s="3289"/>
      <c r="Q22" s="1809"/>
      <c r="R22" s="773"/>
      <c r="S22" s="774"/>
      <c r="T22" s="773"/>
      <c r="U22" s="774"/>
      <c r="V22" s="773"/>
      <c r="W22" s="774"/>
      <c r="X22" s="1812"/>
      <c r="Y22" s="3282"/>
      <c r="Z22" s="1813"/>
      <c r="AA22" s="1810">
        <v>1</v>
      </c>
      <c r="AB22" s="1810">
        <v>1</v>
      </c>
      <c r="AC22" s="1810">
        <v>1</v>
      </c>
    </row>
    <row r="23" spans="1:29" ht="57">
      <c r="A23" s="427"/>
      <c r="B23" s="450" t="s">
        <v>2100</v>
      </c>
      <c r="C23" s="2605"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89"/>
      <c r="Q23" s="1809" t="str">
        <f>B23</f>
        <v>自然及人文环境</v>
      </c>
      <c r="R23" s="773" t="s">
        <v>21</v>
      </c>
      <c r="S23" s="774">
        <f>F23</f>
        <v>100</v>
      </c>
      <c r="T23" s="773" t="s">
        <v>21</v>
      </c>
      <c r="U23" s="774">
        <f>H23</f>
        <v>100</v>
      </c>
      <c r="V23" s="773" t="s">
        <v>21</v>
      </c>
      <c r="W23" s="774">
        <f>J23</f>
        <v>100</v>
      </c>
      <c r="X23" s="1812"/>
      <c r="Y23" s="3282"/>
      <c r="Z23" s="1813" t="str">
        <f>Q23</f>
        <v>自然及人文环境</v>
      </c>
      <c r="AA23" s="1810">
        <f>D23/F23</f>
        <v>1</v>
      </c>
      <c r="AB23" s="1810">
        <f>D23/H23</f>
        <v>1</v>
      </c>
      <c r="AC23" s="1810">
        <f>D23/J23</f>
        <v>1</v>
      </c>
    </row>
    <row r="24" spans="1:29" ht="15">
      <c r="A24" s="427"/>
      <c r="B24" s="455"/>
      <c r="C24" s="446"/>
      <c r="D24" s="447"/>
      <c r="E24" s="2602"/>
      <c r="F24" s="447"/>
      <c r="G24" s="2603"/>
      <c r="H24" s="447"/>
      <c r="I24" s="2603"/>
      <c r="J24" s="447"/>
      <c r="K24" s="2604"/>
      <c r="L24" s="1139"/>
      <c r="M24" s="1130"/>
      <c r="N24" s="1130"/>
      <c r="O24" s="1130"/>
      <c r="P24" s="3289"/>
      <c r="Q24" s="1809"/>
      <c r="R24" s="773"/>
      <c r="S24" s="774"/>
      <c r="T24" s="773"/>
      <c r="U24" s="774"/>
      <c r="V24" s="773"/>
      <c r="W24" s="774"/>
      <c r="X24" s="1812"/>
      <c r="Y24" s="3282"/>
      <c r="Z24" s="1813"/>
      <c r="AA24" s="1810">
        <v>1</v>
      </c>
      <c r="AB24" s="1810">
        <v>1</v>
      </c>
      <c r="AC24" s="1810">
        <v>1</v>
      </c>
    </row>
    <row r="25" spans="1:29" ht="15">
      <c r="A25" s="427"/>
      <c r="B25" s="421" t="s">
        <v>2555</v>
      </c>
      <c r="C25" s="459"/>
      <c r="D25" s="434">
        <v>100</v>
      </c>
      <c r="E25" s="2611"/>
      <c r="F25" s="434">
        <f>SUMIF(86:86,E25,87:87)-SUMIF(86:86,C25,87:87)+100</f>
        <v>100</v>
      </c>
      <c r="G25" s="2612"/>
      <c r="H25" s="434">
        <f>SUMIF(86:86,G25,87:87)-SUMIF(86:86,C25,87:87)+100</f>
        <v>100</v>
      </c>
      <c r="I25" s="2612"/>
      <c r="J25" s="434">
        <f>SUMIF(86:86,I25,87:87)-SUMIF(86:86,C25,87:87)+100</f>
        <v>100</v>
      </c>
      <c r="K25" s="425"/>
      <c r="L25" s="1139"/>
      <c r="M25" s="1130"/>
      <c r="N25" s="1130"/>
      <c r="O25" s="1130"/>
      <c r="P25" s="3289"/>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282"/>
      <c r="Z25" s="1813" t="str">
        <f>Q25</f>
        <v>楼层-1</v>
      </c>
      <c r="AA25" s="1810">
        <f t="shared" ref="AA25:AA46" si="15">D25/F25</f>
        <v>1</v>
      </c>
      <c r="AB25" s="1810">
        <f t="shared" ref="AB25:AB46" si="16">D25/H25</f>
        <v>1</v>
      </c>
      <c r="AC25" s="1810">
        <f t="shared" ref="AC25:AC46" si="17">D25/J25</f>
        <v>1</v>
      </c>
    </row>
    <row r="26" spans="1:29" ht="15">
      <c r="A26" s="427"/>
      <c r="B26" s="421" t="s">
        <v>2556</v>
      </c>
      <c r="C26" s="459"/>
      <c r="D26" s="434">
        <v>100</v>
      </c>
      <c r="E26" s="2611"/>
      <c r="F26" s="434">
        <f>SUMIF(88:88,E26,89:89)-SUMIF(88:88,C26,89:89)+100</f>
        <v>100</v>
      </c>
      <c r="G26" s="2612"/>
      <c r="H26" s="434">
        <f>SUMIF(88:88,G26,89:89)-SUMIF(88:88,C26,89:89)+100</f>
        <v>100</v>
      </c>
      <c r="I26" s="2612"/>
      <c r="J26" s="434">
        <f>SUMIF(88:88,I26,89:89)-SUMIF(88:88,C26,89:89)+100</f>
        <v>100</v>
      </c>
      <c r="K26" s="425"/>
      <c r="L26" s="1139"/>
      <c r="M26" s="1130"/>
      <c r="N26" s="1130"/>
      <c r="O26" s="1130"/>
      <c r="P26" s="3289"/>
      <c r="Q26" s="1809" t="str">
        <f t="shared" si="11"/>
        <v>朝向</v>
      </c>
      <c r="R26" s="773" t="s">
        <v>21</v>
      </c>
      <c r="S26" s="774">
        <f t="shared" si="12"/>
        <v>100</v>
      </c>
      <c r="T26" s="773" t="s">
        <v>21</v>
      </c>
      <c r="U26" s="774">
        <f t="shared" si="13"/>
        <v>100</v>
      </c>
      <c r="V26" s="773" t="s">
        <v>21</v>
      </c>
      <c r="W26" s="774">
        <f t="shared" si="14"/>
        <v>100</v>
      </c>
      <c r="X26" s="1812"/>
      <c r="Y26" s="3282"/>
      <c r="Z26" s="1813" t="str">
        <f>Q26</f>
        <v>朝向</v>
      </c>
      <c r="AA26" s="1810">
        <f t="shared" si="15"/>
        <v>1</v>
      </c>
      <c r="AB26" s="1810">
        <f t="shared" si="16"/>
        <v>1</v>
      </c>
      <c r="AC26" s="1810">
        <f t="shared" si="17"/>
        <v>1</v>
      </c>
    </row>
    <row r="27" spans="1:29" s="117"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599"/>
      <c r="L27" s="1131"/>
      <c r="M27" s="1132"/>
      <c r="N27" s="1132"/>
      <c r="O27" s="1132"/>
      <c r="P27" s="3289"/>
      <c r="Q27" s="1794">
        <f t="shared" si="11"/>
        <v>111</v>
      </c>
      <c r="R27" s="769" t="s">
        <v>21</v>
      </c>
      <c r="S27" s="770">
        <f t="shared" si="12"/>
        <v>100</v>
      </c>
      <c r="T27" s="769" t="s">
        <v>21</v>
      </c>
      <c r="U27" s="770">
        <f t="shared" si="13"/>
        <v>100</v>
      </c>
      <c r="V27" s="769" t="s">
        <v>21</v>
      </c>
      <c r="W27" s="770">
        <f t="shared" si="14"/>
        <v>100</v>
      </c>
      <c r="X27" s="771"/>
      <c r="Y27" s="3282"/>
      <c r="Z27" s="55">
        <f>Q27</f>
        <v>111</v>
      </c>
      <c r="AA27" s="1810">
        <f t="shared" si="15"/>
        <v>1</v>
      </c>
      <c r="AB27" s="1810">
        <f t="shared" si="16"/>
        <v>1</v>
      </c>
      <c r="AC27" s="1810">
        <f t="shared" si="17"/>
        <v>1</v>
      </c>
    </row>
    <row r="28" spans="1:29" ht="15">
      <c r="A28" s="427"/>
      <c r="B28" s="1385">
        <v>111</v>
      </c>
      <c r="C28" s="433"/>
      <c r="D28" s="434">
        <v>100</v>
      </c>
      <c r="E28" s="433"/>
      <c r="F28" s="434">
        <f>SUMIF(92:92,E28,93:93)-SUMIF(92:92,C28,93:93)+100</f>
        <v>100</v>
      </c>
      <c r="G28" s="2613"/>
      <c r="H28" s="434">
        <f>SUMIF(92:92,G28,93:93)-SUMIF(92:92,C28,93:93)+100</f>
        <v>100</v>
      </c>
      <c r="I28" s="433"/>
      <c r="J28" s="434">
        <f>SUMIF(92:92,I28,93:93)-SUMIF(92:92,C28,93:93)+100</f>
        <v>100</v>
      </c>
      <c r="K28" s="2599"/>
      <c r="L28" s="1139"/>
      <c r="M28" s="1130"/>
      <c r="N28" s="1130"/>
      <c r="O28" s="1130"/>
      <c r="P28" s="3289"/>
      <c r="Q28" s="1809">
        <f t="shared" si="11"/>
        <v>111</v>
      </c>
      <c r="R28" s="773" t="s">
        <v>21</v>
      </c>
      <c r="S28" s="774">
        <f t="shared" si="12"/>
        <v>100</v>
      </c>
      <c r="T28" s="773" t="s">
        <v>21</v>
      </c>
      <c r="U28" s="774">
        <f t="shared" si="13"/>
        <v>100</v>
      </c>
      <c r="V28" s="773" t="s">
        <v>21</v>
      </c>
      <c r="W28" s="774">
        <f t="shared" si="14"/>
        <v>100</v>
      </c>
      <c r="X28" s="1812"/>
      <c r="Y28" s="3282"/>
      <c r="Z28" s="1813">
        <f t="shared" ref="Z28:Z46" si="18">Q28</f>
        <v>111</v>
      </c>
      <c r="AA28" s="1810">
        <f t="shared" si="15"/>
        <v>1</v>
      </c>
      <c r="AB28" s="1810">
        <f t="shared" si="16"/>
        <v>1</v>
      </c>
      <c r="AC28" s="1810">
        <f t="shared" si="17"/>
        <v>1</v>
      </c>
    </row>
    <row r="29" spans="1:29" ht="15">
      <c r="A29" s="427"/>
      <c r="B29" s="1385">
        <v>111</v>
      </c>
      <c r="C29" s="433"/>
      <c r="D29" s="434">
        <v>100</v>
      </c>
      <c r="E29" s="433"/>
      <c r="F29" s="434">
        <f>SUMIF(94:94,E29,95:95)-SUMIF(94:94,C29,95:95)+100</f>
        <v>100</v>
      </c>
      <c r="G29" s="2613"/>
      <c r="H29" s="434">
        <f>SUMIF(94:94,G29,95:95)-SUMIF(94:94,C29,95:95)+100</f>
        <v>100</v>
      </c>
      <c r="I29" s="433"/>
      <c r="J29" s="434">
        <f>SUMIF(94:94,I29,95:95)-SUMIF(94:94,C29,95:95)+100</f>
        <v>100</v>
      </c>
      <c r="K29" s="2599"/>
      <c r="L29" s="1139"/>
      <c r="M29" s="1130"/>
      <c r="N29" s="1130"/>
      <c r="O29" s="1130"/>
      <c r="P29" s="3289"/>
      <c r="Q29" s="1809">
        <f t="shared" si="11"/>
        <v>111</v>
      </c>
      <c r="R29" s="773" t="s">
        <v>21</v>
      </c>
      <c r="S29" s="774">
        <f t="shared" si="12"/>
        <v>100</v>
      </c>
      <c r="T29" s="773" t="s">
        <v>21</v>
      </c>
      <c r="U29" s="774">
        <f t="shared" si="13"/>
        <v>100</v>
      </c>
      <c r="V29" s="773" t="s">
        <v>21</v>
      </c>
      <c r="W29" s="774">
        <f t="shared" si="14"/>
        <v>100</v>
      </c>
      <c r="X29" s="1812"/>
      <c r="Y29" s="3282"/>
      <c r="Z29" s="1813">
        <f t="shared" si="18"/>
        <v>111</v>
      </c>
      <c r="AA29" s="1810">
        <f t="shared" si="15"/>
        <v>1</v>
      </c>
      <c r="AB29" s="1810">
        <f t="shared" si="16"/>
        <v>1</v>
      </c>
      <c r="AC29" s="1810">
        <f t="shared" si="17"/>
        <v>1</v>
      </c>
    </row>
    <row r="30" spans="1:29" ht="15">
      <c r="A30" s="427"/>
      <c r="B30" s="1385">
        <v>111</v>
      </c>
      <c r="C30" s="433"/>
      <c r="D30" s="434">
        <v>100</v>
      </c>
      <c r="E30" s="433"/>
      <c r="F30" s="434">
        <f>SUMIF(96:96,E30,97:97)-SUMIF(96:96,C30,97:97)+100</f>
        <v>100</v>
      </c>
      <c r="G30" s="2613"/>
      <c r="H30" s="434">
        <f>SUMIF(96:96,G30,97:97)-SUMIF(96:96,C30,97:97)+100</f>
        <v>100</v>
      </c>
      <c r="I30" s="433"/>
      <c r="J30" s="434">
        <f>SUMIF(96:96,I30,97:97)-SUMIF(96:96,C30,97:97)+100</f>
        <v>100</v>
      </c>
      <c r="K30" s="2599"/>
      <c r="L30" s="1139"/>
      <c r="M30" s="1130"/>
      <c r="N30" s="1130"/>
      <c r="O30" s="1130"/>
      <c r="P30" s="3289"/>
      <c r="Q30" s="1809">
        <f t="shared" si="11"/>
        <v>111</v>
      </c>
      <c r="R30" s="773" t="s">
        <v>21</v>
      </c>
      <c r="S30" s="774">
        <f t="shared" si="12"/>
        <v>100</v>
      </c>
      <c r="T30" s="773" t="s">
        <v>21</v>
      </c>
      <c r="U30" s="774">
        <f t="shared" si="13"/>
        <v>100</v>
      </c>
      <c r="V30" s="773" t="s">
        <v>21</v>
      </c>
      <c r="W30" s="774">
        <f t="shared" si="14"/>
        <v>100</v>
      </c>
      <c r="X30" s="1812"/>
      <c r="Y30" s="3282"/>
      <c r="Z30" s="1813">
        <f t="shared" si="18"/>
        <v>111</v>
      </c>
      <c r="AA30" s="1810">
        <f t="shared" si="15"/>
        <v>1</v>
      </c>
      <c r="AB30" s="1810">
        <f t="shared" si="16"/>
        <v>1</v>
      </c>
      <c r="AC30" s="1810">
        <f t="shared" si="17"/>
        <v>1</v>
      </c>
    </row>
    <row r="31" spans="1:29" ht="15.75" thickBot="1">
      <c r="A31" s="435"/>
      <c r="B31" s="1385">
        <v>111</v>
      </c>
      <c r="C31" s="436"/>
      <c r="D31" s="437">
        <v>100</v>
      </c>
      <c r="E31" s="436"/>
      <c r="F31" s="437">
        <f>SUMIF(98:98,E31,99:99)-SUMIF(98:98,C31,99:99)+100</f>
        <v>100</v>
      </c>
      <c r="G31" s="2614"/>
      <c r="H31" s="437">
        <f>SUMIF(98:98,G31,99:99)-SUMIF(98:98,C31,99:99)+100</f>
        <v>100</v>
      </c>
      <c r="I31" s="436"/>
      <c r="J31" s="437">
        <f>SUMIF(98:98,I31,99:99)-SUMIF(98:98,C31,99:99)+100</f>
        <v>100</v>
      </c>
      <c r="K31" s="2599"/>
      <c r="L31" s="1139"/>
      <c r="M31" s="1130"/>
      <c r="N31" s="1130"/>
      <c r="O31" s="1130"/>
      <c r="P31" s="3289"/>
      <c r="Q31" s="1809">
        <f t="shared" si="11"/>
        <v>111</v>
      </c>
      <c r="R31" s="773" t="s">
        <v>21</v>
      </c>
      <c r="S31" s="774">
        <f t="shared" si="12"/>
        <v>100</v>
      </c>
      <c r="T31" s="773" t="s">
        <v>21</v>
      </c>
      <c r="U31" s="774">
        <f t="shared" si="13"/>
        <v>100</v>
      </c>
      <c r="V31" s="773" t="s">
        <v>21</v>
      </c>
      <c r="W31" s="774">
        <f t="shared" si="14"/>
        <v>100</v>
      </c>
      <c r="X31" s="1812"/>
      <c r="Y31" s="3282"/>
      <c r="Z31" s="1813">
        <f t="shared" si="18"/>
        <v>111</v>
      </c>
      <c r="AA31" s="1810">
        <f t="shared" si="15"/>
        <v>1</v>
      </c>
      <c r="AB31" s="1810">
        <f t="shared" si="16"/>
        <v>1</v>
      </c>
      <c r="AC31" s="1810">
        <f t="shared" si="17"/>
        <v>1</v>
      </c>
    </row>
    <row r="32" spans="1:29" ht="15">
      <c r="A32" s="439" t="s">
        <v>2557</v>
      </c>
      <c r="B32" s="71" t="s">
        <v>2558</v>
      </c>
      <c r="C32" s="2615"/>
      <c r="D32" s="466">
        <v>100</v>
      </c>
      <c r="E32" s="2616"/>
      <c r="F32" s="460">
        <f>SUMIF(100:100,E32,101:101)-SUMIF(100:100,C32,101:101)+100</f>
        <v>100</v>
      </c>
      <c r="G32" s="2615"/>
      <c r="H32" s="466">
        <f>SUMIF(100:100,G32,101:101)-SUMIF(100:100,C32,101:101)+100</f>
        <v>100</v>
      </c>
      <c r="I32" s="2616"/>
      <c r="J32" s="434">
        <f>SUMIF(100:100,I32,101:101)-SUMIF(100:100,C32,101:101)+100</f>
        <v>100</v>
      </c>
      <c r="K32" s="425"/>
      <c r="L32" s="1139"/>
      <c r="M32" s="1130"/>
      <c r="N32" s="1130"/>
      <c r="O32" s="1130"/>
      <c r="P32" s="3283" t="s">
        <v>2559</v>
      </c>
      <c r="Q32" s="1809" t="str">
        <f t="shared" si="11"/>
        <v>建筑类型</v>
      </c>
      <c r="R32" s="773" t="s">
        <v>21</v>
      </c>
      <c r="S32" s="774">
        <f t="shared" si="12"/>
        <v>100</v>
      </c>
      <c r="T32" s="773" t="s">
        <v>21</v>
      </c>
      <c r="U32" s="774">
        <f t="shared" si="13"/>
        <v>100</v>
      </c>
      <c r="V32" s="773" t="s">
        <v>21</v>
      </c>
      <c r="W32" s="774">
        <f t="shared" si="14"/>
        <v>100</v>
      </c>
      <c r="X32" s="1812"/>
      <c r="Y32" s="3286" t="s">
        <v>2559</v>
      </c>
      <c r="Z32" s="1813" t="str">
        <f t="shared" si="18"/>
        <v>建筑类型</v>
      </c>
      <c r="AA32" s="1810">
        <f t="shared" si="15"/>
        <v>1</v>
      </c>
      <c r="AB32" s="1810">
        <f t="shared" si="16"/>
        <v>1</v>
      </c>
      <c r="AC32" s="1810">
        <f t="shared" si="17"/>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9"/>
      <c r="L33" s="1137"/>
      <c r="M33" s="1140"/>
      <c r="N33" s="1140"/>
      <c r="O33" s="1140"/>
      <c r="P33" s="3284"/>
      <c r="Q33" s="775" t="str">
        <f t="shared" si="11"/>
        <v>项目建筑规模</v>
      </c>
      <c r="R33" s="776" t="s">
        <v>21</v>
      </c>
      <c r="S33" s="777" t="e">
        <f t="shared" si="12"/>
        <v>#N/A</v>
      </c>
      <c r="T33" s="776" t="s">
        <v>21</v>
      </c>
      <c r="U33" s="777" t="e">
        <f t="shared" si="13"/>
        <v>#N/A</v>
      </c>
      <c r="V33" s="776" t="s">
        <v>21</v>
      </c>
      <c r="W33" s="777" t="e">
        <f t="shared" si="14"/>
        <v>#N/A</v>
      </c>
      <c r="X33" s="778"/>
      <c r="Y33" s="3286"/>
      <c r="Z33" s="779" t="str">
        <f t="shared" si="18"/>
        <v>项目建筑规模</v>
      </c>
      <c r="AA33" s="1810" t="e">
        <f t="shared" si="15"/>
        <v>#N/A</v>
      </c>
      <c r="AB33" s="1810" t="e">
        <f t="shared" si="16"/>
        <v>#N/A</v>
      </c>
      <c r="AC33" s="1810" t="e">
        <f t="shared" si="17"/>
        <v>#N/A</v>
      </c>
    </row>
    <row r="34" spans="1:29" ht="15">
      <c r="A34" s="471"/>
      <c r="B34" s="421" t="s">
        <v>2561</v>
      </c>
      <c r="C34" s="2617"/>
      <c r="D34" s="434">
        <v>100</v>
      </c>
      <c r="E34" s="2618"/>
      <c r="F34" s="460">
        <f>SUMIF(105:105,E34,106:106)-SUMIF(105:105,C34,106:106)+100</f>
        <v>100</v>
      </c>
      <c r="G34" s="2617"/>
      <c r="H34" s="434">
        <f>SUMIF(105:105,G34,106:106)-SUMIF(105:105,C34,106:106)+100</f>
        <v>100</v>
      </c>
      <c r="I34" s="2618"/>
      <c r="J34" s="434">
        <f>SUMIF(105:105,I34,106:106)-SUMIF(105:105,C34,106:106)+100</f>
        <v>100</v>
      </c>
      <c r="K34" s="425"/>
      <c r="L34" s="1139"/>
      <c r="M34" s="1130"/>
      <c r="N34" s="1130"/>
      <c r="O34" s="1130"/>
      <c r="P34" s="3284"/>
      <c r="Q34" s="1809" t="str">
        <f t="shared" si="11"/>
        <v>建筑结构</v>
      </c>
      <c r="R34" s="773" t="s">
        <v>21</v>
      </c>
      <c r="S34" s="774">
        <f t="shared" si="12"/>
        <v>100</v>
      </c>
      <c r="T34" s="773" t="s">
        <v>21</v>
      </c>
      <c r="U34" s="774">
        <f t="shared" si="13"/>
        <v>100</v>
      </c>
      <c r="V34" s="773" t="s">
        <v>21</v>
      </c>
      <c r="W34" s="774">
        <f t="shared" si="14"/>
        <v>100</v>
      </c>
      <c r="X34" s="1812"/>
      <c r="Y34" s="3286"/>
      <c r="Z34" s="1813" t="str">
        <f t="shared" si="18"/>
        <v>建筑结构</v>
      </c>
      <c r="AA34" s="1810">
        <f t="shared" si="15"/>
        <v>1</v>
      </c>
      <c r="AB34" s="1810">
        <f t="shared" si="16"/>
        <v>1</v>
      </c>
      <c r="AC34" s="1810">
        <f t="shared" si="17"/>
        <v>1</v>
      </c>
    </row>
    <row r="35" spans="1:29" ht="15">
      <c r="A35" s="471"/>
      <c r="B35" s="421" t="s">
        <v>2562</v>
      </c>
      <c r="C35" s="2611"/>
      <c r="D35" s="434">
        <v>100</v>
      </c>
      <c r="E35" s="2612"/>
      <c r="F35" s="460">
        <f>SUMIF(107:107,E35,108:108)-SUMIF(107:107,C35,108:108)+100</f>
        <v>100</v>
      </c>
      <c r="G35" s="2611"/>
      <c r="H35" s="434">
        <f>SUMIF(107:107,G35,108:108)-SUMIF(107:107,C35,108:108)+100</f>
        <v>100</v>
      </c>
      <c r="I35" s="2612"/>
      <c r="J35" s="434">
        <f>SUMIF(107:107,I35,108:108)-SUMIF(107:107,C35,108:108)+100</f>
        <v>100</v>
      </c>
      <c r="K35" s="425"/>
      <c r="L35" s="1139"/>
      <c r="M35" s="1130"/>
      <c r="N35" s="1130"/>
      <c r="O35" s="1130"/>
      <c r="P35" s="3284"/>
      <c r="Q35" s="1809" t="str">
        <f t="shared" si="11"/>
        <v>建筑品质</v>
      </c>
      <c r="R35" s="773" t="s">
        <v>21</v>
      </c>
      <c r="S35" s="774">
        <f t="shared" si="12"/>
        <v>100</v>
      </c>
      <c r="T35" s="773" t="s">
        <v>21</v>
      </c>
      <c r="U35" s="774">
        <f t="shared" si="13"/>
        <v>100</v>
      </c>
      <c r="V35" s="773" t="s">
        <v>21</v>
      </c>
      <c r="W35" s="774">
        <f t="shared" si="14"/>
        <v>100</v>
      </c>
      <c r="X35" s="1812"/>
      <c r="Y35" s="3286"/>
      <c r="Z35" s="1813" t="str">
        <f t="shared" si="18"/>
        <v>建筑品质</v>
      </c>
      <c r="AA35" s="1810">
        <f t="shared" si="15"/>
        <v>1</v>
      </c>
      <c r="AB35" s="1810">
        <f t="shared" si="16"/>
        <v>1</v>
      </c>
      <c r="AC35" s="1810">
        <f t="shared" si="17"/>
        <v>1</v>
      </c>
    </row>
    <row r="36" spans="1:29" ht="15">
      <c r="A36" s="471"/>
      <c r="B36" s="421" t="s">
        <v>2563</v>
      </c>
      <c r="C36" s="2611"/>
      <c r="D36" s="434">
        <v>100</v>
      </c>
      <c r="E36" s="2612"/>
      <c r="F36" s="460">
        <f>SUMIF(109:109,E36,110:110)-SUMIF(109:109,C36,110:110)+100</f>
        <v>100</v>
      </c>
      <c r="G36" s="2611"/>
      <c r="H36" s="434">
        <f>SUMIF(109:109,G36,110:110)-SUMIF(109:109,C36,110:110)+100</f>
        <v>100</v>
      </c>
      <c r="I36" s="2612"/>
      <c r="J36" s="434">
        <f>SUMIF(109:109,I36,110:110)-SUMIF(109:109,C36,110:110)+100</f>
        <v>100</v>
      </c>
      <c r="K36" s="425"/>
      <c r="L36" s="1139"/>
      <c r="M36" s="1130"/>
      <c r="N36" s="1130"/>
      <c r="O36" s="1130"/>
      <c r="P36" s="3284"/>
      <c r="Q36" s="1809" t="str">
        <f t="shared" si="11"/>
        <v>公共部分装修</v>
      </c>
      <c r="R36" s="773" t="s">
        <v>21</v>
      </c>
      <c r="S36" s="774">
        <f t="shared" si="12"/>
        <v>100</v>
      </c>
      <c r="T36" s="773" t="s">
        <v>21</v>
      </c>
      <c r="U36" s="774">
        <f t="shared" si="13"/>
        <v>100</v>
      </c>
      <c r="V36" s="773" t="s">
        <v>21</v>
      </c>
      <c r="W36" s="774">
        <f t="shared" si="14"/>
        <v>100</v>
      </c>
      <c r="X36" s="1812"/>
      <c r="Y36" s="3286"/>
      <c r="Z36" s="1813" t="str">
        <f t="shared" si="18"/>
        <v>公共部分装修</v>
      </c>
      <c r="AA36" s="1810">
        <f t="shared" si="15"/>
        <v>1</v>
      </c>
      <c r="AB36" s="1810">
        <f t="shared" si="16"/>
        <v>1</v>
      </c>
      <c r="AC36" s="1810">
        <f t="shared" si="17"/>
        <v>1</v>
      </c>
    </row>
    <row r="37" spans="1:29" s="117" customFormat="1" ht="15">
      <c r="A37" s="472"/>
      <c r="B37" s="421" t="s">
        <v>2564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284"/>
      <c r="Q37" s="1794" t="str">
        <f t="shared" si="11"/>
        <v>成新度</v>
      </c>
      <c r="R37" s="769" t="s">
        <v>21</v>
      </c>
      <c r="S37" s="770" t="e">
        <f t="shared" si="12"/>
        <v>#N/A</v>
      </c>
      <c r="T37" s="769" t="s">
        <v>21</v>
      </c>
      <c r="U37" s="770" t="e">
        <f t="shared" si="13"/>
        <v>#N/A</v>
      </c>
      <c r="V37" s="769" t="s">
        <v>21</v>
      </c>
      <c r="W37" s="770" t="e">
        <f t="shared" si="14"/>
        <v>#N/A</v>
      </c>
      <c r="X37" s="771"/>
      <c r="Y37" s="3286"/>
      <c r="Z37" s="55" t="str">
        <f t="shared" si="18"/>
        <v>成新度</v>
      </c>
      <c r="AA37" s="772" t="e">
        <f t="shared" si="15"/>
        <v>#N/A</v>
      </c>
      <c r="AB37" s="772" t="e">
        <f t="shared" si="16"/>
        <v>#N/A</v>
      </c>
      <c r="AC37" s="772" t="e">
        <f t="shared" si="17"/>
        <v>#N/A</v>
      </c>
    </row>
    <row r="38" spans="1:29" ht="15">
      <c r="A38" s="471"/>
      <c r="B38" s="421" t="s">
        <v>2565</v>
      </c>
      <c r="C38" s="2611"/>
      <c r="D38" s="434">
        <v>100</v>
      </c>
      <c r="E38" s="2612"/>
      <c r="F38" s="460">
        <f>SUMIF(114:114,E38,115:115)-SUMIF(114:114,C38,115:115)+100</f>
        <v>100</v>
      </c>
      <c r="G38" s="2611"/>
      <c r="H38" s="434">
        <f>SUMIF(114:114,G38,115:115)-SUMIF(114:114,C38,115:115)+100</f>
        <v>100</v>
      </c>
      <c r="I38" s="2612"/>
      <c r="J38" s="434">
        <f>SUMIF(114:114,I38,115:115)-SUMIF(114:114,C38,115:115)+100</f>
        <v>100</v>
      </c>
      <c r="K38" s="425"/>
      <c r="L38" s="1139"/>
      <c r="M38" s="1130"/>
      <c r="N38" s="1130"/>
      <c r="O38" s="1130"/>
      <c r="P38" s="3284" t="s">
        <v>2559</v>
      </c>
      <c r="Q38" s="1809" t="str">
        <f t="shared" si="11"/>
        <v>物业管理</v>
      </c>
      <c r="R38" s="773" t="s">
        <v>21</v>
      </c>
      <c r="S38" s="774">
        <f t="shared" si="12"/>
        <v>100</v>
      </c>
      <c r="T38" s="773" t="s">
        <v>21</v>
      </c>
      <c r="U38" s="774">
        <f t="shared" si="13"/>
        <v>100</v>
      </c>
      <c r="V38" s="773" t="s">
        <v>21</v>
      </c>
      <c r="W38" s="774">
        <f t="shared" si="14"/>
        <v>100</v>
      </c>
      <c r="X38" s="1812"/>
      <c r="Y38" s="3286" t="s">
        <v>2559</v>
      </c>
      <c r="Z38" s="1813" t="str">
        <f t="shared" si="18"/>
        <v>物业管理</v>
      </c>
      <c r="AA38" s="1810">
        <f t="shared" si="15"/>
        <v>1</v>
      </c>
      <c r="AB38" s="1810">
        <f t="shared" si="16"/>
        <v>1</v>
      </c>
      <c r="AC38" s="1810">
        <f t="shared" si="17"/>
        <v>1</v>
      </c>
    </row>
    <row r="39" spans="1:29" ht="15">
      <c r="A39" s="471"/>
      <c r="B39" s="421" t="s">
        <v>2566</v>
      </c>
      <c r="C39" s="2611"/>
      <c r="D39" s="434">
        <v>100</v>
      </c>
      <c r="E39" s="2612"/>
      <c r="F39" s="460">
        <f>SUMIF(116:116,E39,117:117)-SUMIF(116:116,C39,117:117)+100</f>
        <v>100</v>
      </c>
      <c r="G39" s="2611"/>
      <c r="H39" s="434">
        <f>SUMIF(116:116,G39,117:117)-SUMIF(116:116,C39,117:117)+100</f>
        <v>100</v>
      </c>
      <c r="I39" s="2612"/>
      <c r="J39" s="434">
        <f>SUMIF(116:116,I39,117:117)-SUMIF(116:116,C39,117:117)+100</f>
        <v>100</v>
      </c>
      <c r="K39" s="425"/>
      <c r="L39" s="1139"/>
      <c r="M39" s="1130"/>
      <c r="N39" s="1130"/>
      <c r="O39" s="1130"/>
      <c r="P39" s="3284"/>
      <c r="Q39" s="1809" t="str">
        <f t="shared" si="11"/>
        <v>市政基础设施</v>
      </c>
      <c r="R39" s="773" t="s">
        <v>21</v>
      </c>
      <c r="S39" s="774">
        <f t="shared" si="12"/>
        <v>100</v>
      </c>
      <c r="T39" s="773" t="s">
        <v>21</v>
      </c>
      <c r="U39" s="774">
        <f t="shared" si="13"/>
        <v>100</v>
      </c>
      <c r="V39" s="773" t="s">
        <v>21</v>
      </c>
      <c r="W39" s="774">
        <f t="shared" si="14"/>
        <v>100</v>
      </c>
      <c r="X39" s="1812"/>
      <c r="Y39" s="3286"/>
      <c r="Z39" s="1813" t="str">
        <f t="shared" si="18"/>
        <v>市政基础设施</v>
      </c>
      <c r="AA39" s="1810">
        <f t="shared" si="15"/>
        <v>1</v>
      </c>
      <c r="AB39" s="1810">
        <f t="shared" si="16"/>
        <v>1</v>
      </c>
      <c r="AC39" s="1810">
        <f t="shared" si="17"/>
        <v>1</v>
      </c>
    </row>
    <row r="40" spans="1:29" ht="15">
      <c r="A40" s="471"/>
      <c r="B40" s="421" t="s">
        <v>2567</v>
      </c>
      <c r="C40" s="2611"/>
      <c r="D40" s="434">
        <v>100</v>
      </c>
      <c r="E40" s="2612"/>
      <c r="F40" s="460">
        <f>SUMIF(118:118,E40,119:119)-SUMIF(118:118,C40,119:119)+100</f>
        <v>100</v>
      </c>
      <c r="G40" s="2611"/>
      <c r="H40" s="434">
        <f>SUMIF(118:118,G40,119:119)-SUMIF(118:118,C40,119:119)+100</f>
        <v>100</v>
      </c>
      <c r="I40" s="2612"/>
      <c r="J40" s="434">
        <f>SUMIF(118:118,I40,119:119)-SUMIF(118:118,C40,119:119)+100</f>
        <v>100</v>
      </c>
      <c r="K40" s="425"/>
      <c r="L40" s="1139"/>
      <c r="M40" s="1130"/>
      <c r="N40" s="1130"/>
      <c r="O40" s="1130"/>
      <c r="P40" s="3284"/>
      <c r="Q40" s="1809" t="str">
        <f t="shared" si="11"/>
        <v>房型</v>
      </c>
      <c r="R40" s="773" t="s">
        <v>21</v>
      </c>
      <c r="S40" s="774">
        <f t="shared" si="12"/>
        <v>100</v>
      </c>
      <c r="T40" s="773" t="s">
        <v>21</v>
      </c>
      <c r="U40" s="774">
        <f t="shared" si="13"/>
        <v>100</v>
      </c>
      <c r="V40" s="773" t="s">
        <v>21</v>
      </c>
      <c r="W40" s="774">
        <f t="shared" si="14"/>
        <v>100</v>
      </c>
      <c r="X40" s="1812"/>
      <c r="Y40" s="3286"/>
      <c r="Z40" s="1813" t="str">
        <f t="shared" si="18"/>
        <v>房型</v>
      </c>
      <c r="AA40" s="1810">
        <f t="shared" si="15"/>
        <v>1</v>
      </c>
      <c r="AB40" s="1810">
        <f t="shared" si="16"/>
        <v>1</v>
      </c>
      <c r="AC40" s="1810">
        <f t="shared" si="17"/>
        <v>1</v>
      </c>
    </row>
    <row r="41" spans="1:29" s="470" customFormat="1" ht="28.5">
      <c r="A41" s="467"/>
      <c r="B41" s="421" t="s">
        <v>2568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9"/>
      <c r="L41" s="1137"/>
      <c r="M41" s="1140"/>
      <c r="N41" s="1140"/>
      <c r="O41" s="1140"/>
      <c r="P41" s="3284"/>
      <c r="Q41" s="775" t="str">
        <f t="shared" si="11"/>
        <v>单套/主力户型建筑面积</v>
      </c>
      <c r="R41" s="776" t="s">
        <v>21</v>
      </c>
      <c r="S41" s="777">
        <f t="shared" si="12"/>
        <v>100</v>
      </c>
      <c r="T41" s="776" t="s">
        <v>21</v>
      </c>
      <c r="U41" s="777">
        <f t="shared" si="13"/>
        <v>100</v>
      </c>
      <c r="V41" s="776" t="s">
        <v>21</v>
      </c>
      <c r="W41" s="777">
        <f t="shared" si="14"/>
        <v>100</v>
      </c>
      <c r="X41" s="778"/>
      <c r="Y41" s="3286"/>
      <c r="Z41" s="779" t="str">
        <f t="shared" si="18"/>
        <v>单套/主力户型建筑面积</v>
      </c>
      <c r="AA41" s="1810">
        <f t="shared" si="15"/>
        <v>1</v>
      </c>
      <c r="AB41" s="1810">
        <f t="shared" si="16"/>
        <v>1</v>
      </c>
      <c r="AC41" s="1810">
        <f t="shared" si="17"/>
        <v>1</v>
      </c>
    </row>
    <row r="42" spans="1:29" ht="15">
      <c r="A42" s="471"/>
      <c r="B42" s="421" t="s">
        <v>2569</v>
      </c>
      <c r="C42" s="2611"/>
      <c r="D42" s="434">
        <v>100</v>
      </c>
      <c r="E42" s="2612"/>
      <c r="F42" s="460">
        <f>SUMIF(122:122,E42,123:123)-SUMIF(122:122,C42,123:123)+100</f>
        <v>100</v>
      </c>
      <c r="G42" s="2611"/>
      <c r="H42" s="434">
        <f>SUMIF(122:122,G42,123:123)-SUMIF(122:122,C42,123:123)+100</f>
        <v>100</v>
      </c>
      <c r="I42" s="2612"/>
      <c r="J42" s="434">
        <f>SUMIF(122:122,I42,123:123)-SUMIF(122:122,C42,123:123)+100</f>
        <v>100</v>
      </c>
      <c r="K42" s="425"/>
      <c r="L42" s="1139"/>
      <c r="M42" s="1130"/>
      <c r="N42" s="1130"/>
      <c r="O42" s="1130"/>
      <c r="P42" s="3284"/>
      <c r="Q42" s="1809" t="str">
        <f t="shared" si="11"/>
        <v>内部装修</v>
      </c>
      <c r="R42" s="773" t="s">
        <v>21</v>
      </c>
      <c r="S42" s="774">
        <f t="shared" si="12"/>
        <v>100</v>
      </c>
      <c r="T42" s="773" t="s">
        <v>21</v>
      </c>
      <c r="U42" s="774">
        <f t="shared" si="13"/>
        <v>100</v>
      </c>
      <c r="V42" s="773" t="s">
        <v>21</v>
      </c>
      <c r="W42" s="774">
        <f t="shared" si="14"/>
        <v>100</v>
      </c>
      <c r="X42" s="1812"/>
      <c r="Y42" s="3286"/>
      <c r="Z42" s="1813" t="str">
        <f t="shared" si="18"/>
        <v>内部装修</v>
      </c>
      <c r="AA42" s="1810">
        <f t="shared" si="15"/>
        <v>1</v>
      </c>
      <c r="AB42" s="1810">
        <f t="shared" si="16"/>
        <v>1</v>
      </c>
      <c r="AC42" s="1810">
        <f t="shared" si="17"/>
        <v>1</v>
      </c>
    </row>
    <row r="43" spans="1:29" ht="15">
      <c r="A43" s="471"/>
      <c r="B43" s="421" t="s">
        <v>2570</v>
      </c>
      <c r="C43" s="2611"/>
      <c r="D43" s="434">
        <v>100</v>
      </c>
      <c r="E43" s="2612"/>
      <c r="F43" s="460">
        <f>SUMIF(124:124,E43,125:125)-SUMIF(124:124,C43,125:125)+100</f>
        <v>100</v>
      </c>
      <c r="G43" s="2611"/>
      <c r="H43" s="434">
        <f>SUMIF(124:124,G43,125:125)-SUMIF(124:124,C43,125:125)+100</f>
        <v>100</v>
      </c>
      <c r="I43" s="2612"/>
      <c r="J43" s="434">
        <f>SUMIF(124:124,I43,125:125)-SUMIF(124:124,C43,125:125)+100</f>
        <v>100</v>
      </c>
      <c r="K43" s="425"/>
      <c r="L43" s="1139"/>
      <c r="M43" s="1130"/>
      <c r="N43" s="1130"/>
      <c r="O43" s="1130"/>
      <c r="P43" s="3284"/>
      <c r="Q43" s="1809" t="str">
        <f t="shared" si="11"/>
        <v>内部装修维护情况</v>
      </c>
      <c r="R43" s="773" t="s">
        <v>21</v>
      </c>
      <c r="S43" s="774">
        <f t="shared" si="12"/>
        <v>100</v>
      </c>
      <c r="T43" s="773" t="s">
        <v>21</v>
      </c>
      <c r="U43" s="774">
        <f t="shared" si="13"/>
        <v>100</v>
      </c>
      <c r="V43" s="773" t="s">
        <v>21</v>
      </c>
      <c r="W43" s="774">
        <f t="shared" si="14"/>
        <v>100</v>
      </c>
      <c r="X43" s="1812"/>
      <c r="Y43" s="3286"/>
      <c r="Z43" s="1813" t="str">
        <f t="shared" si="18"/>
        <v>内部装修维护情况</v>
      </c>
      <c r="AA43" s="1810">
        <f t="shared" si="15"/>
        <v>1</v>
      </c>
      <c r="AB43" s="1810">
        <f t="shared" si="16"/>
        <v>1</v>
      </c>
      <c r="AC43" s="1810">
        <f t="shared" si="17"/>
        <v>1</v>
      </c>
    </row>
    <row r="44" spans="1:29" s="117"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9"/>
      <c r="L44" s="1131"/>
      <c r="M44" s="1132"/>
      <c r="N44" s="1132"/>
      <c r="O44" s="1132"/>
      <c r="P44" s="3284"/>
      <c r="Q44" s="1794">
        <f t="shared" si="11"/>
        <v>111</v>
      </c>
      <c r="R44" s="769" t="s">
        <v>21</v>
      </c>
      <c r="S44" s="770">
        <f t="shared" si="12"/>
        <v>100</v>
      </c>
      <c r="T44" s="769" t="s">
        <v>21</v>
      </c>
      <c r="U44" s="770">
        <f t="shared" si="13"/>
        <v>100</v>
      </c>
      <c r="V44" s="769" t="s">
        <v>21</v>
      </c>
      <c r="W44" s="770">
        <f t="shared" si="14"/>
        <v>100</v>
      </c>
      <c r="X44" s="771"/>
      <c r="Y44" s="3286"/>
      <c r="Z44" s="55">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9"/>
      <c r="L45" s="1139"/>
      <c r="M45" s="1130"/>
      <c r="N45" s="1130"/>
      <c r="O45" s="1130"/>
      <c r="P45" s="3284"/>
      <c r="Q45" s="1809">
        <f t="shared" si="11"/>
        <v>111</v>
      </c>
      <c r="R45" s="773" t="s">
        <v>21</v>
      </c>
      <c r="S45" s="774">
        <f t="shared" si="12"/>
        <v>100</v>
      </c>
      <c r="T45" s="773" t="s">
        <v>21</v>
      </c>
      <c r="U45" s="774">
        <f t="shared" si="13"/>
        <v>100</v>
      </c>
      <c r="V45" s="773" t="s">
        <v>21</v>
      </c>
      <c r="W45" s="774">
        <f t="shared" si="14"/>
        <v>100</v>
      </c>
      <c r="X45" s="1812"/>
      <c r="Y45" s="3286"/>
      <c r="Z45" s="1813">
        <f t="shared" si="18"/>
        <v>111</v>
      </c>
      <c r="AA45" s="1810">
        <f t="shared" si="15"/>
        <v>1</v>
      </c>
      <c r="AB45" s="1810">
        <f t="shared" si="16"/>
        <v>1</v>
      </c>
      <c r="AC45" s="1810">
        <f t="shared" si="17"/>
        <v>1</v>
      </c>
    </row>
    <row r="46" spans="1:29" ht="15.75" thickBot="1">
      <c r="A46" s="477"/>
      <c r="B46" s="2600">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9"/>
      <c r="L46" s="1139"/>
      <c r="M46" s="1130"/>
      <c r="N46" s="1130"/>
      <c r="O46" s="1130"/>
      <c r="P46" s="3285"/>
      <c r="Q46" s="1809">
        <f t="shared" si="11"/>
        <v>111</v>
      </c>
      <c r="R46" s="773" t="s">
        <v>20</v>
      </c>
      <c r="S46" s="774">
        <f t="shared" si="12"/>
        <v>100</v>
      </c>
      <c r="T46" s="773" t="s">
        <v>20</v>
      </c>
      <c r="U46" s="774">
        <f t="shared" si="13"/>
        <v>100</v>
      </c>
      <c r="V46" s="773" t="s">
        <v>20</v>
      </c>
      <c r="W46" s="774">
        <f t="shared" si="14"/>
        <v>100</v>
      </c>
      <c r="X46" s="1812"/>
      <c r="Y46" s="3287"/>
      <c r="Z46" s="1813">
        <f t="shared" si="18"/>
        <v>111</v>
      </c>
      <c r="AA46" s="1810">
        <f t="shared" si="15"/>
        <v>1</v>
      </c>
      <c r="AB46" s="1810">
        <f t="shared" si="16"/>
        <v>1</v>
      </c>
      <c r="AC46" s="1810">
        <f t="shared" si="17"/>
        <v>1</v>
      </c>
    </row>
    <row r="47" spans="1:29" ht="15">
      <c r="A47" s="478" t="s">
        <v>2571</v>
      </c>
      <c r="B47" s="479"/>
      <c r="C47" s="1406" t="s">
        <v>19</v>
      </c>
      <c r="D47" s="1407"/>
      <c r="E47" s="1408"/>
      <c r="F47" s="1409"/>
      <c r="G47" s="1410"/>
      <c r="H47" s="1411"/>
      <c r="I47" s="1408"/>
      <c r="J47" s="1411"/>
      <c r="K47" s="2619"/>
      <c r="L47" s="1142"/>
      <c r="M47" s="1143"/>
      <c r="N47" s="1130"/>
      <c r="O47" s="1143"/>
      <c r="P47" s="3279" t="str">
        <f>A47</f>
        <v>成交单价（元/平方米）</v>
      </c>
      <c r="Q47" s="3279"/>
      <c r="R47" s="3280">
        <f>E47</f>
        <v>0</v>
      </c>
      <c r="S47" s="3280"/>
      <c r="T47" s="3280">
        <f>G47</f>
        <v>0</v>
      </c>
      <c r="U47" s="3280"/>
      <c r="V47" s="3280">
        <f>I47</f>
        <v>0</v>
      </c>
      <c r="W47" s="3280"/>
      <c r="X47" s="758"/>
      <c r="Y47" s="780"/>
      <c r="Z47" s="758"/>
      <c r="AA47" s="758"/>
      <c r="AB47" s="758"/>
      <c r="AC47" s="758"/>
    </row>
    <row r="48" spans="1:29" ht="15.75" thickBot="1">
      <c r="A48" s="485" t="s">
        <v>2572</v>
      </c>
      <c r="B48" s="486"/>
      <c r="C48" s="1412" t="e">
        <f>R49</f>
        <v>#DIV/0!</v>
      </c>
      <c r="D48" s="1413"/>
      <c r="E48" s="1414" t="e">
        <f>R48</f>
        <v>#DIV/0!</v>
      </c>
      <c r="F48" s="1414"/>
      <c r="G48" s="1412" t="e">
        <f>T48</f>
        <v>#DIV/0!</v>
      </c>
      <c r="H48" s="1413"/>
      <c r="I48" s="1414" t="e">
        <f>V48</f>
        <v>#DIV/0!</v>
      </c>
      <c r="J48" s="1413"/>
      <c r="K48" s="2620"/>
      <c r="L48" s="1142"/>
      <c r="M48" s="1143"/>
      <c r="N48" s="1143"/>
      <c r="O48" s="1143"/>
      <c r="P48" s="3279" t="str">
        <f>A48</f>
        <v>比较价值（元/平方米）</v>
      </c>
      <c r="Q48" s="3279"/>
      <c r="R48" s="3280" t="e">
        <f>IF(F1="售价",ROUND(PRODUCT(R47,AA7:AA46),0),ROUND(PRODUCT(R47,AA7:AA46),1))</f>
        <v>#DIV/0!</v>
      </c>
      <c r="S48" s="3280"/>
      <c r="T48" s="3280" t="e">
        <f>IF(F1="售价",ROUND(PRODUCT(T47,AB7:AB46),0),ROUND(PRODUCT(T47,AB7:AB46),1))</f>
        <v>#DIV/0!</v>
      </c>
      <c r="U48" s="3280"/>
      <c r="V48" s="3280" t="e">
        <f>IF(F1="售价",ROUND(PRODUCT(V47,AC7:AC46),0),ROUND(PRODUCT(V47,AC7:AC46),1))</f>
        <v>#DIV/0!</v>
      </c>
      <c r="W48" s="3280"/>
      <c r="X48" s="758"/>
      <c r="Y48" s="758"/>
      <c r="Z48" s="758"/>
      <c r="AA48" s="758"/>
      <c r="AB48" s="758"/>
      <c r="AC48" s="758"/>
    </row>
    <row r="49" spans="1:29" ht="15.75" thickBot="1">
      <c r="A49" s="491" t="s">
        <v>2573</v>
      </c>
      <c r="B49" s="492"/>
      <c r="C49" s="1415" t="e">
        <f>R49</f>
        <v>#DIV/0!</v>
      </c>
      <c r="D49" s="1416"/>
      <c r="E49" s="1416"/>
      <c r="F49" s="1416"/>
      <c r="G49" s="1416"/>
      <c r="H49" s="1416"/>
      <c r="I49" s="1416"/>
      <c r="J49" s="1416"/>
      <c r="K49" s="2621"/>
      <c r="L49" s="1142"/>
      <c r="M49" s="1143"/>
      <c r="N49" s="1143"/>
      <c r="O49" s="1143"/>
      <c r="P49" s="3276" t="str">
        <f>A49</f>
        <v>估价对象XX用房的比较价值（楼面单价，元/平方米）</v>
      </c>
      <c r="Q49" s="3277"/>
      <c r="R49" s="3278" t="e">
        <f>IF(F1="售价",ROUND(AVERAGE(R48:V48),0),ROUND(AVERAGE(R48:V48),1))</f>
        <v>#DIV/0!</v>
      </c>
      <c r="S49" s="3278"/>
      <c r="T49" s="3278"/>
      <c r="U49" s="3278"/>
      <c r="V49" s="3278"/>
      <c r="W49" s="3278"/>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2575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2576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23"/>
    </row>
    <row r="55" spans="1:29" s="501" customFormat="1">
      <c r="A55" s="1144"/>
      <c r="B55" s="1145"/>
      <c r="C55" s="1149"/>
      <c r="D55" s="1144"/>
      <c r="E55" s="1144"/>
      <c r="F55" s="1144"/>
      <c r="G55" s="1144"/>
      <c r="H55" s="1144"/>
      <c r="I55" s="1144"/>
      <c r="J55" s="1144"/>
      <c r="K55" s="1147"/>
      <c r="L55" s="1148"/>
      <c r="M55" s="1144"/>
      <c r="N55" s="1144"/>
      <c r="O55" s="1144"/>
      <c r="P55" s="2623"/>
    </row>
    <row r="56" spans="1:29">
      <c r="A56" s="1143"/>
      <c r="B56" s="1145"/>
      <c r="C56" s="1149"/>
      <c r="D56" s="1143"/>
      <c r="E56" s="1143"/>
      <c r="F56" s="1143"/>
      <c r="G56" s="1143"/>
      <c r="H56" s="1143"/>
      <c r="I56" s="1143"/>
      <c r="J56" s="1143"/>
      <c r="K56" s="1104"/>
      <c r="L56" s="1105"/>
      <c r="M56" s="1143"/>
      <c r="N56" s="1143"/>
      <c r="O56" s="1143"/>
    </row>
    <row r="57" spans="1:29" ht="21.75" thickBot="1">
      <c r="A57" s="762" t="s">
        <v>2577</v>
      </c>
      <c r="B57" s="758"/>
      <c r="C57" s="763"/>
      <c r="D57" s="763"/>
      <c r="E57" s="763"/>
      <c r="F57" s="764"/>
      <c r="G57" s="764"/>
      <c r="H57" s="763"/>
      <c r="I57" s="763"/>
      <c r="J57" s="763"/>
      <c r="K57" s="1159"/>
      <c r="L57" s="1160"/>
      <c r="M57" s="1158"/>
      <c r="N57" s="1158"/>
      <c r="O57" s="1158"/>
      <c r="P57" s="2624"/>
      <c r="Q57" s="503"/>
    </row>
    <row r="58" spans="1:29" s="507" customFormat="1" ht="15">
      <c r="A58" s="504" t="s">
        <v>2578</v>
      </c>
      <c r="B58" s="505"/>
      <c r="C58" s="1575" t="str">
        <f>YEAR(C7)&amp;"-"&amp;MONTH(C7)</f>
        <v>2019-8</v>
      </c>
      <c r="D58" s="1574">
        <f>EDATE(C58,-1)</f>
        <v>43647</v>
      </c>
      <c r="E58" s="1574">
        <f>EDATE(D58,-1)</f>
        <v>43617</v>
      </c>
      <c r="F58" s="1574">
        <f t="shared" ref="F58:O58" si="19">EDATE(E58,-1)</f>
        <v>43586</v>
      </c>
      <c r="G58" s="1574">
        <f t="shared" si="19"/>
        <v>43556</v>
      </c>
      <c r="H58" s="1574">
        <f t="shared" si="19"/>
        <v>43525</v>
      </c>
      <c r="I58" s="1574">
        <f t="shared" si="19"/>
        <v>43497</v>
      </c>
      <c r="J58" s="1574">
        <f t="shared" si="19"/>
        <v>43466</v>
      </c>
      <c r="K58" s="1574">
        <f t="shared" si="19"/>
        <v>43435</v>
      </c>
      <c r="L58" s="1574">
        <f t="shared" si="19"/>
        <v>43405</v>
      </c>
      <c r="M58" s="1574">
        <f t="shared" si="19"/>
        <v>43374</v>
      </c>
      <c r="N58" s="1574">
        <f t="shared" si="19"/>
        <v>43344</v>
      </c>
      <c r="O58" s="1574">
        <f t="shared" si="19"/>
        <v>43313</v>
      </c>
      <c r="P58" s="1569"/>
    </row>
    <row r="59" spans="1:29" s="117" customFormat="1" ht="15">
      <c r="A59" s="508"/>
      <c r="B59" s="2625"/>
      <c r="C59" s="1572">
        <v>100</v>
      </c>
      <c r="D59" s="510"/>
      <c r="E59" s="511"/>
      <c r="F59" s="511"/>
      <c r="G59" s="511"/>
      <c r="H59" s="511"/>
      <c r="I59" s="511"/>
      <c r="J59" s="511"/>
      <c r="K59" s="511"/>
      <c r="L59" s="511"/>
      <c r="M59" s="512"/>
      <c r="N59" s="511"/>
      <c r="O59" s="512"/>
      <c r="P59" s="2626"/>
    </row>
    <row r="60" spans="1:29" s="117" customFormat="1" ht="15.75" thickBot="1">
      <c r="A60" s="514" t="s">
        <v>2579</v>
      </c>
      <c r="B60" s="515"/>
      <c r="C60" s="516"/>
      <c r="D60" s="517"/>
      <c r="E60" s="517"/>
      <c r="F60" s="517"/>
      <c r="G60" s="517"/>
      <c r="H60" s="517"/>
      <c r="I60" s="517"/>
      <c r="J60" s="517"/>
      <c r="K60" s="517"/>
      <c r="L60" s="517"/>
      <c r="M60" s="518"/>
      <c r="N60" s="517"/>
      <c r="O60" s="518"/>
      <c r="P60" s="2626"/>
      <c r="Q60" s="503"/>
    </row>
    <row r="61" spans="1:29" s="117" customFormat="1" ht="15">
      <c r="A61" s="520" t="s">
        <v>2580</v>
      </c>
      <c r="B61" s="509"/>
      <c r="C61" s="521" t="s">
        <v>2581</v>
      </c>
      <c r="D61" s="522"/>
      <c r="E61" s="522"/>
      <c r="F61" s="522"/>
      <c r="G61" s="522"/>
      <c r="H61" s="522"/>
      <c r="I61" s="522"/>
      <c r="J61" s="522"/>
      <c r="K61" s="522"/>
      <c r="L61" s="523"/>
      <c r="M61" s="524"/>
      <c r="N61" s="1150"/>
      <c r="O61" s="1150"/>
      <c r="P61" s="2627"/>
      <c r="Q61" s="503"/>
    </row>
    <row r="62" spans="1:29" s="117" customFormat="1" ht="15.75" thickBot="1">
      <c r="A62" s="520"/>
      <c r="B62" s="509"/>
      <c r="C62" s="510">
        <v>100</v>
      </c>
      <c r="D62" s="511"/>
      <c r="E62" s="511"/>
      <c r="F62" s="511"/>
      <c r="G62" s="511"/>
      <c r="H62" s="511"/>
      <c r="I62" s="511"/>
      <c r="J62" s="511"/>
      <c r="K62" s="511"/>
      <c r="L62" s="511"/>
      <c r="M62" s="513"/>
      <c r="N62" s="1150"/>
      <c r="O62" s="1150"/>
      <c r="P62" s="2626"/>
      <c r="Q62" s="503"/>
    </row>
    <row r="63" spans="1:29">
      <c r="A63" s="526" t="s">
        <v>2582</v>
      </c>
      <c r="B63" s="527" t="s">
        <v>2548</v>
      </c>
      <c r="C63" s="528">
        <f>C9</f>
        <v>0</v>
      </c>
      <c r="D63" s="529"/>
      <c r="E63" s="529"/>
      <c r="F63" s="529"/>
      <c r="G63" s="529"/>
      <c r="H63" s="529"/>
      <c r="I63" s="529"/>
      <c r="J63" s="529"/>
      <c r="K63" s="530"/>
      <c r="L63" s="531"/>
      <c r="M63" s="532"/>
      <c r="N63" s="1151"/>
      <c r="O63" s="1151"/>
      <c r="P63" s="2628"/>
      <c r="Q63" s="503"/>
    </row>
    <row r="64" spans="1:29" ht="15.75" thickBot="1">
      <c r="A64" s="533"/>
      <c r="B64" s="534"/>
      <c r="C64" s="535">
        <v>100</v>
      </c>
      <c r="D64" s="535"/>
      <c r="E64" s="535"/>
      <c r="F64" s="535"/>
      <c r="G64" s="535"/>
      <c r="H64" s="535"/>
      <c r="I64" s="535"/>
      <c r="J64" s="535"/>
      <c r="K64" s="535"/>
      <c r="L64" s="535"/>
      <c r="M64" s="536"/>
      <c r="N64" s="1152"/>
      <c r="O64" s="1152"/>
      <c r="P64" s="2628"/>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1"/>
      <c r="O65" s="1151"/>
      <c r="P65" s="2628"/>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8"/>
      <c r="Q66" s="503"/>
    </row>
    <row r="67" spans="1:17" ht="15.75" thickTop="1">
      <c r="A67" s="533"/>
      <c r="B67" s="545" t="s">
        <v>2552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8"/>
      <c r="Q67" s="503"/>
    </row>
    <row r="68" spans="1:17" ht="15">
      <c r="A68" s="533"/>
      <c r="B68" s="547"/>
      <c r="C68" s="548"/>
      <c r="D68" s="548"/>
      <c r="E68" s="548"/>
      <c r="F68" s="548"/>
      <c r="G68" s="548"/>
      <c r="H68" s="548"/>
      <c r="I68" s="548"/>
      <c r="J68" s="548"/>
      <c r="K68" s="549"/>
      <c r="L68" s="550"/>
      <c r="M68" s="551"/>
      <c r="N68" s="1151"/>
      <c r="O68" s="1151"/>
      <c r="P68" s="2628"/>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8"/>
      <c r="Q69" s="503"/>
    </row>
    <row r="70" spans="1:17" s="470" customFormat="1" ht="15.75" thickTop="1">
      <c r="A70" s="552"/>
      <c r="B70" s="537">
        <f>B12</f>
        <v>111</v>
      </c>
      <c r="C70" s="553"/>
      <c r="D70" s="553"/>
      <c r="E70" s="553"/>
      <c r="F70" s="553"/>
      <c r="G70" s="553"/>
      <c r="H70" s="554"/>
      <c r="I70" s="554"/>
      <c r="J70" s="554"/>
      <c r="K70" s="554"/>
      <c r="L70" s="555"/>
      <c r="M70" s="556"/>
      <c r="N70" s="1153"/>
      <c r="O70" s="1153"/>
      <c r="P70" s="2629"/>
      <c r="Q70" s="558"/>
    </row>
    <row r="71" spans="1:17" s="470" customFormat="1" ht="15.75" thickBot="1">
      <c r="A71" s="552"/>
      <c r="B71" s="542"/>
      <c r="C71" s="559"/>
      <c r="D71" s="535"/>
      <c r="E71" s="535"/>
      <c r="F71" s="535"/>
      <c r="G71" s="535"/>
      <c r="H71" s="535"/>
      <c r="I71" s="535"/>
      <c r="J71" s="535"/>
      <c r="K71" s="535"/>
      <c r="L71" s="535"/>
      <c r="M71" s="536"/>
      <c r="N71" s="1152"/>
      <c r="O71" s="1152"/>
      <c r="P71" s="2629"/>
      <c r="Q71" s="558"/>
    </row>
    <row r="72" spans="1:17" s="470" customFormat="1" ht="15.75" thickTop="1">
      <c r="A72" s="552"/>
      <c r="B72" s="537">
        <f>B13</f>
        <v>111</v>
      </c>
      <c r="C72" s="553"/>
      <c r="D72" s="553"/>
      <c r="E72" s="553"/>
      <c r="F72" s="553"/>
      <c r="G72" s="553"/>
      <c r="H72" s="554"/>
      <c r="I72" s="554"/>
      <c r="J72" s="554"/>
      <c r="K72" s="554"/>
      <c r="L72" s="555"/>
      <c r="M72" s="556"/>
      <c r="N72" s="1153"/>
      <c r="O72" s="1153"/>
      <c r="P72" s="2630"/>
      <c r="Q72" s="560"/>
    </row>
    <row r="73" spans="1:17" s="470" customFormat="1" ht="15.75" thickBot="1">
      <c r="A73" s="552"/>
      <c r="B73" s="542"/>
      <c r="C73" s="559"/>
      <c r="D73" s="559"/>
      <c r="E73" s="559"/>
      <c r="F73" s="559"/>
      <c r="G73" s="559"/>
      <c r="H73" s="561"/>
      <c r="I73" s="561"/>
      <c r="J73" s="561"/>
      <c r="K73" s="561"/>
      <c r="L73" s="561"/>
      <c r="M73" s="562"/>
      <c r="N73" s="1153"/>
      <c r="O73" s="1153"/>
      <c r="P73" s="2629"/>
      <c r="Q73" s="558"/>
    </row>
    <row r="74" spans="1:17" s="470" customFormat="1" ht="15.75" thickTop="1">
      <c r="A74" s="552"/>
      <c r="B74" s="545">
        <f>B14</f>
        <v>111</v>
      </c>
      <c r="C74" s="553"/>
      <c r="D74" s="553"/>
      <c r="E74" s="553"/>
      <c r="F74" s="553"/>
      <c r="G74" s="522"/>
      <c r="H74" s="563"/>
      <c r="I74" s="563"/>
      <c r="J74" s="563"/>
      <c r="K74" s="563"/>
      <c r="L74" s="564"/>
      <c r="M74" s="565"/>
      <c r="N74" s="1153"/>
      <c r="O74" s="1153"/>
      <c r="P74" s="2631"/>
      <c r="Q74" s="558"/>
    </row>
    <row r="75" spans="1:17" s="470" customFormat="1" ht="15.75" thickBot="1">
      <c r="A75" s="567"/>
      <c r="B75" s="568"/>
      <c r="C75" s="569"/>
      <c r="D75" s="569"/>
      <c r="E75" s="569"/>
      <c r="F75" s="569"/>
      <c r="G75" s="569"/>
      <c r="H75" s="570"/>
      <c r="I75" s="570"/>
      <c r="J75" s="570"/>
      <c r="K75" s="570"/>
      <c r="L75" s="570"/>
      <c r="M75" s="571"/>
      <c r="N75" s="1153"/>
      <c r="O75" s="1153"/>
      <c r="P75" s="2629"/>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1"/>
      <c r="O76" s="1151"/>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8"/>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1"/>
      <c r="O78" s="1151"/>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8"/>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1"/>
      <c r="O80" s="1151"/>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8"/>
      <c r="Q81" s="503"/>
    </row>
    <row r="82" spans="1:17" ht="15.75" thickTop="1">
      <c r="A82" s="533"/>
      <c r="B82" s="545" t="s">
        <v>2096</v>
      </c>
      <c r="C82" s="538" t="s">
        <v>2598</v>
      </c>
      <c r="D82" s="538" t="s">
        <v>2599</v>
      </c>
      <c r="E82" s="538" t="s">
        <v>2600</v>
      </c>
      <c r="F82" s="538" t="s">
        <v>2601</v>
      </c>
      <c r="G82" s="538" t="s">
        <v>2602</v>
      </c>
      <c r="H82" s="538"/>
      <c r="I82" s="538"/>
      <c r="J82" s="538"/>
      <c r="K82" s="538"/>
      <c r="L82" s="538"/>
      <c r="M82" s="1381"/>
      <c r="N82" s="1152"/>
      <c r="O82" s="1152"/>
      <c r="P82" s="2628"/>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28"/>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1"/>
      <c r="O84" s="1151"/>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8"/>
      <c r="Q85" s="503"/>
    </row>
    <row r="86" spans="1:17" s="117" customFormat="1" ht="15.75" thickTop="1">
      <c r="A86" s="578"/>
      <c r="B86" s="537" t="s">
        <v>2604</v>
      </c>
      <c r="C86" s="553"/>
      <c r="D86" s="553"/>
      <c r="E86" s="553"/>
      <c r="F86" s="553"/>
      <c r="G86" s="553"/>
      <c r="H86" s="553"/>
      <c r="I86" s="553"/>
      <c r="J86" s="553"/>
      <c r="K86" s="553"/>
      <c r="L86" s="579"/>
      <c r="M86" s="580"/>
      <c r="N86" s="1150"/>
      <c r="O86" s="1150"/>
      <c r="P86" s="2628"/>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8"/>
      <c r="Q87" s="503"/>
    </row>
    <row r="88" spans="1:17" s="117" customFormat="1" ht="15.75" thickTop="1">
      <c r="A88" s="578"/>
      <c r="B88" s="537" t="s">
        <v>2605</v>
      </c>
      <c r="C88" s="553"/>
      <c r="D88" s="553"/>
      <c r="E88" s="553"/>
      <c r="F88" s="2633"/>
      <c r="G88" s="553"/>
      <c r="H88" s="553"/>
      <c r="I88" s="553"/>
      <c r="J88" s="553"/>
      <c r="K88" s="553"/>
      <c r="L88" s="553"/>
      <c r="M88" s="580"/>
      <c r="N88" s="1150"/>
      <c r="O88" s="1150"/>
      <c r="P88" s="2628"/>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8"/>
      <c r="Q89" s="503"/>
    </row>
    <row r="90" spans="1:17" s="470" customFormat="1" ht="15.75" thickTop="1">
      <c r="A90" s="552"/>
      <c r="B90" s="537">
        <f>B27</f>
        <v>111</v>
      </c>
      <c r="C90" s="553"/>
      <c r="D90" s="553"/>
      <c r="E90" s="553"/>
      <c r="F90" s="553"/>
      <c r="G90" s="553"/>
      <c r="H90" s="554"/>
      <c r="I90" s="554"/>
      <c r="J90" s="554"/>
      <c r="K90" s="554"/>
      <c r="L90" s="555"/>
      <c r="M90" s="556"/>
      <c r="N90" s="1153"/>
      <c r="O90" s="1153"/>
      <c r="P90" s="2629"/>
      <c r="Q90" s="558"/>
    </row>
    <row r="91" spans="1:17" s="470" customFormat="1" ht="15.75" thickBot="1">
      <c r="A91" s="552"/>
      <c r="B91" s="542"/>
      <c r="C91" s="559"/>
      <c r="D91" s="559"/>
      <c r="E91" s="559"/>
      <c r="F91" s="559"/>
      <c r="G91" s="559"/>
      <c r="H91" s="561"/>
      <c r="I91" s="561"/>
      <c r="J91" s="561"/>
      <c r="K91" s="561"/>
      <c r="L91" s="561"/>
      <c r="M91" s="562"/>
      <c r="N91" s="1153"/>
      <c r="O91" s="1153"/>
      <c r="P91" s="2629"/>
      <c r="Q91" s="558"/>
    </row>
    <row r="92" spans="1:17" ht="15.75" thickTop="1">
      <c r="A92" s="533"/>
      <c r="B92" s="537">
        <f>B28</f>
        <v>111</v>
      </c>
      <c r="C92" s="553"/>
      <c r="D92" s="553"/>
      <c r="E92" s="553"/>
      <c r="F92" s="553"/>
      <c r="G92" s="582"/>
      <c r="H92" s="582"/>
      <c r="I92" s="582"/>
      <c r="J92" s="582"/>
      <c r="K92" s="583"/>
      <c r="L92" s="584"/>
      <c r="M92" s="585"/>
      <c r="N92" s="1151"/>
      <c r="O92" s="1151"/>
      <c r="P92" s="2628"/>
      <c r="Q92" s="503"/>
    </row>
    <row r="93" spans="1:17" ht="15.75" thickBot="1">
      <c r="A93" s="533"/>
      <c r="B93" s="542"/>
      <c r="C93" s="559"/>
      <c r="D93" s="535"/>
      <c r="E93" s="535"/>
      <c r="F93" s="535"/>
      <c r="G93" s="535"/>
      <c r="H93" s="535"/>
      <c r="I93" s="535"/>
      <c r="J93" s="535"/>
      <c r="K93" s="535"/>
      <c r="L93" s="535"/>
      <c r="M93" s="536"/>
      <c r="N93" s="1152"/>
      <c r="O93" s="1152"/>
      <c r="P93" s="2628"/>
      <c r="Q93" s="503"/>
    </row>
    <row r="94" spans="1:17" ht="15.75" thickTop="1">
      <c r="A94" s="533"/>
      <c r="B94" s="537">
        <f>B29</f>
        <v>111</v>
      </c>
      <c r="C94" s="553"/>
      <c r="D94" s="553"/>
      <c r="E94" s="553"/>
      <c r="F94" s="553"/>
      <c r="G94" s="582"/>
      <c r="H94" s="582"/>
      <c r="I94" s="582"/>
      <c r="J94" s="582"/>
      <c r="K94" s="583"/>
      <c r="L94" s="584"/>
      <c r="M94" s="585"/>
      <c r="N94" s="1151"/>
      <c r="O94" s="1151"/>
      <c r="P94" s="2628"/>
      <c r="Q94" s="503"/>
    </row>
    <row r="95" spans="1:17" ht="15.75" thickBot="1">
      <c r="A95" s="533"/>
      <c r="B95" s="542"/>
      <c r="C95" s="559"/>
      <c r="D95" s="559"/>
      <c r="E95" s="559"/>
      <c r="F95" s="559"/>
      <c r="G95" s="535"/>
      <c r="H95" s="535"/>
      <c r="I95" s="535"/>
      <c r="J95" s="535"/>
      <c r="K95" s="535"/>
      <c r="L95" s="535"/>
      <c r="M95" s="536"/>
      <c r="N95" s="1152"/>
      <c r="O95" s="1152"/>
      <c r="P95" s="2628"/>
      <c r="Q95" s="503"/>
    </row>
    <row r="96" spans="1:17" ht="15.75" thickTop="1">
      <c r="A96" s="533"/>
      <c r="B96" s="537">
        <f>B30</f>
        <v>111</v>
      </c>
      <c r="C96" s="553"/>
      <c r="D96" s="553"/>
      <c r="E96" s="553"/>
      <c r="F96" s="553"/>
      <c r="G96" s="582"/>
      <c r="H96" s="582"/>
      <c r="I96" s="582"/>
      <c r="J96" s="582"/>
      <c r="K96" s="583"/>
      <c r="L96" s="584"/>
      <c r="M96" s="585"/>
      <c r="N96" s="1151"/>
      <c r="O96" s="1151"/>
      <c r="P96" s="2628"/>
      <c r="Q96" s="503"/>
    </row>
    <row r="97" spans="1:17" ht="15.75" thickBot="1">
      <c r="A97" s="533"/>
      <c r="B97" s="542"/>
      <c r="C97" s="569"/>
      <c r="D97" s="569"/>
      <c r="E97" s="569"/>
      <c r="F97" s="569"/>
      <c r="G97" s="535"/>
      <c r="H97" s="535"/>
      <c r="I97" s="535"/>
      <c r="J97" s="535"/>
      <c r="K97" s="535"/>
      <c r="L97" s="535"/>
      <c r="M97" s="536"/>
      <c r="N97" s="1152"/>
      <c r="O97" s="1152"/>
      <c r="P97" s="2628"/>
      <c r="Q97" s="503"/>
    </row>
    <row r="98" spans="1:17" ht="15.75" thickTop="1">
      <c r="A98" s="533"/>
      <c r="B98" s="545">
        <f>B31</f>
        <v>111</v>
      </c>
      <c r="C98" s="586"/>
      <c r="D98" s="586"/>
      <c r="E98" s="586"/>
      <c r="F98" s="586"/>
      <c r="G98" s="586"/>
      <c r="H98" s="586"/>
      <c r="I98" s="586"/>
      <c r="J98" s="586"/>
      <c r="K98" s="587"/>
      <c r="L98" s="588"/>
      <c r="M98" s="589"/>
      <c r="N98" s="1151"/>
      <c r="O98" s="1151"/>
      <c r="P98" s="2628"/>
      <c r="Q98" s="503"/>
    </row>
    <row r="99" spans="1:17" ht="15.75" thickBot="1">
      <c r="A99" s="2634"/>
      <c r="B99" s="568"/>
      <c r="C99" s="590"/>
      <c r="D99" s="590"/>
      <c r="E99" s="590"/>
      <c r="F99" s="590"/>
      <c r="G99" s="590"/>
      <c r="H99" s="590"/>
      <c r="I99" s="590"/>
      <c r="J99" s="590"/>
      <c r="K99" s="590"/>
      <c r="L99" s="590"/>
      <c r="M99" s="591"/>
      <c r="N99" s="1152"/>
      <c r="O99" s="1152"/>
      <c r="P99" s="2628"/>
      <c r="Q99" s="503"/>
    </row>
    <row r="100" spans="1:17">
      <c r="A100" s="526" t="s">
        <v>2557</v>
      </c>
      <c r="B100" s="527" t="s">
        <v>2606</v>
      </c>
      <c r="C100" s="529"/>
      <c r="D100" s="529"/>
      <c r="E100" s="529"/>
      <c r="F100" s="529"/>
      <c r="G100" s="529"/>
      <c r="H100" s="529"/>
      <c r="I100" s="529"/>
      <c r="J100" s="529"/>
      <c r="K100" s="530"/>
      <c r="L100" s="531"/>
      <c r="M100" s="532"/>
      <c r="N100" s="1151"/>
      <c r="O100" s="1151"/>
      <c r="P100" s="2628"/>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8"/>
      <c r="Q101" s="503"/>
    </row>
    <row r="102" spans="1:17" ht="15.75" thickTop="1">
      <c r="A102" s="533"/>
      <c r="B102" s="537" t="s">
        <v>2607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8"/>
      <c r="Q102" s="503"/>
    </row>
    <row r="103" spans="1:17" s="470" customFormat="1">
      <c r="A103" s="592"/>
      <c r="B103" s="593"/>
      <c r="C103" s="594"/>
      <c r="D103" s="594"/>
      <c r="E103" s="594"/>
      <c r="F103" s="594"/>
      <c r="G103" s="594"/>
      <c r="H103" s="594"/>
      <c r="I103" s="594"/>
      <c r="J103" s="595"/>
      <c r="K103" s="595"/>
      <c r="L103" s="596"/>
      <c r="M103" s="597"/>
      <c r="N103" s="1153"/>
      <c r="O103" s="1153"/>
      <c r="P103" s="2629"/>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29"/>
      <c r="Q104" s="558"/>
    </row>
    <row r="105" spans="1:17" ht="15" thickTop="1">
      <c r="A105" s="598"/>
      <c r="B105" s="537" t="s">
        <v>2608</v>
      </c>
      <c r="C105" s="553"/>
      <c r="D105" s="553"/>
      <c r="E105" s="582"/>
      <c r="F105" s="582"/>
      <c r="G105" s="582"/>
      <c r="H105" s="582"/>
      <c r="I105" s="582"/>
      <c r="J105" s="582"/>
      <c r="K105" s="583"/>
      <c r="L105" s="584"/>
      <c r="M105" s="585"/>
      <c r="N105" s="1151"/>
      <c r="O105" s="1151"/>
      <c r="P105" s="2628"/>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8"/>
      <c r="Q106" s="503"/>
    </row>
    <row r="107" spans="1:17" ht="15" thickTop="1">
      <c r="A107" s="598"/>
      <c r="B107" s="537" t="s">
        <v>2609</v>
      </c>
      <c r="C107" s="582"/>
      <c r="D107" s="582"/>
      <c r="E107" s="582"/>
      <c r="F107" s="582"/>
      <c r="G107" s="582"/>
      <c r="H107" s="582"/>
      <c r="I107" s="582"/>
      <c r="J107" s="582"/>
      <c r="K107" s="583"/>
      <c r="L107" s="584"/>
      <c r="M107" s="585"/>
      <c r="N107" s="1151"/>
      <c r="O107" s="1151"/>
      <c r="P107" s="2628"/>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8"/>
      <c r="Q108" s="503"/>
    </row>
    <row r="109" spans="1:17" ht="15" thickTop="1">
      <c r="A109" s="598"/>
      <c r="B109" s="537" t="s">
        <v>2610</v>
      </c>
      <c r="C109" s="553"/>
      <c r="D109" s="553"/>
      <c r="E109" s="553"/>
      <c r="F109" s="582"/>
      <c r="G109" s="582"/>
      <c r="H109" s="582"/>
      <c r="I109" s="582"/>
      <c r="J109" s="582"/>
      <c r="K109" s="583"/>
      <c r="L109" s="584"/>
      <c r="M109" s="585"/>
      <c r="N109" s="1151"/>
      <c r="O109" s="1151"/>
      <c r="P109" s="2628"/>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8"/>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9"/>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29"/>
      <c r="Q113" s="558"/>
    </row>
    <row r="114" spans="1:17" ht="15" thickTop="1">
      <c r="A114" s="598"/>
      <c r="B114" s="537" t="s">
        <v>2611</v>
      </c>
      <c r="C114" s="553"/>
      <c r="D114" s="553"/>
      <c r="E114" s="582"/>
      <c r="F114" s="582"/>
      <c r="G114" s="582"/>
      <c r="H114" s="582"/>
      <c r="I114" s="582"/>
      <c r="J114" s="582"/>
      <c r="K114" s="583"/>
      <c r="L114" s="584"/>
      <c r="M114" s="585"/>
      <c r="N114" s="1151"/>
      <c r="O114" s="1151"/>
      <c r="P114" s="2628"/>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8"/>
      <c r="Q115" s="503"/>
    </row>
    <row r="116" spans="1:17" ht="15" thickTop="1">
      <c r="A116" s="598"/>
      <c r="B116" s="537" t="s">
        <v>2612</v>
      </c>
      <c r="C116" s="553"/>
      <c r="D116" s="553"/>
      <c r="E116" s="553"/>
      <c r="F116" s="553"/>
      <c r="G116" s="553"/>
      <c r="H116" s="582"/>
      <c r="I116" s="582"/>
      <c r="J116" s="582"/>
      <c r="K116" s="583"/>
      <c r="L116" s="584"/>
      <c r="M116" s="585"/>
      <c r="N116" s="1151"/>
      <c r="O116" s="1151"/>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8"/>
      <c r="Q117" s="503"/>
    </row>
    <row r="118" spans="1:17" ht="15" thickTop="1">
      <c r="A118" s="598"/>
      <c r="B118" s="537" t="s">
        <v>2613</v>
      </c>
      <c r="C118" s="582"/>
      <c r="D118" s="582"/>
      <c r="E118" s="582"/>
      <c r="F118" s="582"/>
      <c r="G118" s="582"/>
      <c r="H118" s="582"/>
      <c r="I118" s="582"/>
      <c r="J118" s="582"/>
      <c r="K118" s="583"/>
      <c r="L118" s="584"/>
      <c r="M118" s="585"/>
      <c r="N118" s="1151"/>
      <c r="O118" s="1151"/>
      <c r="P118" s="2628"/>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8"/>
      <c r="Q119" s="503"/>
    </row>
    <row r="120" spans="1:17" s="470" customFormat="1" ht="28.5" thickTop="1">
      <c r="A120" s="592"/>
      <c r="B120" s="537" t="s">
        <v>2568</v>
      </c>
      <c r="C120" s="553"/>
      <c r="D120" s="553"/>
      <c r="E120" s="553"/>
      <c r="F120" s="553"/>
      <c r="G120" s="553"/>
      <c r="H120" s="553"/>
      <c r="I120" s="553"/>
      <c r="J120" s="553"/>
      <c r="K120" s="553"/>
      <c r="L120" s="579"/>
      <c r="M120" s="580"/>
      <c r="N120" s="1153"/>
      <c r="O120" s="1153"/>
      <c r="P120" s="2629"/>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29"/>
      <c r="Q121" s="558"/>
    </row>
    <row r="122" spans="1:17" ht="15" thickTop="1">
      <c r="A122" s="598"/>
      <c r="B122" s="537" t="s">
        <v>2614</v>
      </c>
      <c r="C122" s="553"/>
      <c r="D122" s="553"/>
      <c r="E122" s="553"/>
      <c r="F122" s="582"/>
      <c r="G122" s="582"/>
      <c r="H122" s="582"/>
      <c r="I122" s="582"/>
      <c r="J122" s="582"/>
      <c r="K122" s="583"/>
      <c r="L122" s="584"/>
      <c r="M122" s="585"/>
      <c r="N122" s="1151"/>
      <c r="O122" s="1151"/>
      <c r="P122" s="2628"/>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8"/>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1"/>
      <c r="O124" s="1151"/>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8"/>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9"/>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9"/>
      <c r="Q127" s="558"/>
    </row>
    <row r="128" spans="1:17" ht="15" thickTop="1">
      <c r="A128" s="598"/>
      <c r="B128" s="537">
        <f>B45</f>
        <v>111</v>
      </c>
      <c r="C128" s="553"/>
      <c r="D128" s="553"/>
      <c r="E128" s="553"/>
      <c r="F128" s="553"/>
      <c r="G128" s="582"/>
      <c r="H128" s="582"/>
      <c r="I128" s="582"/>
      <c r="J128" s="582"/>
      <c r="K128" s="583"/>
      <c r="L128" s="584"/>
      <c r="M128" s="585"/>
      <c r="N128" s="1151"/>
      <c r="O128" s="1151"/>
      <c r="P128" s="2628"/>
      <c r="Q128" s="503"/>
    </row>
    <row r="129" spans="1:17" ht="15.75" thickBot="1">
      <c r="A129" s="533"/>
      <c r="B129" s="542"/>
      <c r="C129" s="559"/>
      <c r="D129" s="559"/>
      <c r="E129" s="559"/>
      <c r="F129" s="559"/>
      <c r="G129" s="535"/>
      <c r="H129" s="535"/>
      <c r="I129" s="535"/>
      <c r="J129" s="535"/>
      <c r="K129" s="535"/>
      <c r="L129" s="535"/>
      <c r="M129" s="536"/>
      <c r="N129" s="1152"/>
      <c r="O129" s="1152"/>
      <c r="P129" s="2628"/>
      <c r="Q129" s="503"/>
    </row>
    <row r="130" spans="1:17" ht="15" thickTop="1">
      <c r="A130" s="598"/>
      <c r="B130" s="545">
        <f>B46</f>
        <v>111</v>
      </c>
      <c r="C130" s="553"/>
      <c r="D130" s="553"/>
      <c r="E130" s="553"/>
      <c r="F130" s="553"/>
      <c r="G130" s="586"/>
      <c r="H130" s="586"/>
      <c r="I130" s="586"/>
      <c r="J130" s="586"/>
      <c r="K130" s="522"/>
      <c r="L130" s="523"/>
      <c r="M130" s="589"/>
      <c r="N130" s="1151"/>
      <c r="O130" s="1151"/>
      <c r="P130" s="2628"/>
      <c r="Q130" s="503"/>
    </row>
    <row r="131" spans="1:17" ht="15.75" thickBot="1">
      <c r="A131" s="2634"/>
      <c r="B131" s="568"/>
      <c r="C131" s="569"/>
      <c r="D131" s="569"/>
      <c r="E131" s="569"/>
      <c r="F131" s="569"/>
      <c r="G131" s="590"/>
      <c r="H131" s="590"/>
      <c r="I131" s="590"/>
      <c r="J131" s="590"/>
      <c r="K131" s="590"/>
      <c r="L131" s="590"/>
      <c r="M131" s="591"/>
      <c r="N131" s="1152"/>
      <c r="O131" s="1152"/>
      <c r="P131" s="2628"/>
      <c r="Q131" s="503"/>
    </row>
    <row r="136" spans="1:17" ht="15" thickBot="1">
      <c r="B136" s="2635" t="s">
        <v>2616</v>
      </c>
    </row>
    <row r="137" spans="1:17" ht="15">
      <c r="B137" s="2636" t="s">
        <v>2617</v>
      </c>
      <c r="C137" s="2637"/>
      <c r="D137" s="2637"/>
      <c r="E137" s="2637"/>
      <c r="F137" s="2637"/>
      <c r="G137" s="2638"/>
      <c r="H137" s="2639"/>
      <c r="I137" s="2640" t="s">
        <v>2618</v>
      </c>
      <c r="J137" s="2637"/>
      <c r="K137" s="2641"/>
    </row>
    <row r="138" spans="1:17" ht="15">
      <c r="B138" s="2642"/>
      <c r="C138" s="145" t="s">
        <v>2619</v>
      </c>
      <c r="D138" s="145" t="s">
        <v>2620</v>
      </c>
      <c r="E138" s="2643" t="s">
        <v>2621</v>
      </c>
      <c r="F138" s="2644" t="s">
        <v>2622</v>
      </c>
      <c r="G138" s="145" t="s">
        <v>2620</v>
      </c>
      <c r="H138" s="146" t="s">
        <v>2621</v>
      </c>
      <c r="I138" s="2645"/>
      <c r="J138" s="145" t="s">
        <v>2623</v>
      </c>
      <c r="K138" s="146" t="s">
        <v>2624</v>
      </c>
    </row>
    <row r="139" spans="1:17" ht="15">
      <c r="B139" s="1083">
        <v>6</v>
      </c>
      <c r="C139" s="1084">
        <v>96</v>
      </c>
      <c r="D139" s="2646" t="s">
        <v>2625</v>
      </c>
      <c r="E139" s="1085">
        <v>100</v>
      </c>
      <c r="F139" s="1086">
        <v>102.5</v>
      </c>
      <c r="G139" s="2646" t="s">
        <v>2625</v>
      </c>
      <c r="H139" s="1087">
        <v>105</v>
      </c>
      <c r="I139" s="2647" t="s">
        <v>2626</v>
      </c>
      <c r="J139" s="1084">
        <v>20</v>
      </c>
      <c r="K139" s="1088">
        <f>C145/(J139-2)</f>
        <v>4.0555555555555553E-3</v>
      </c>
    </row>
    <row r="140" spans="1:17" ht="15">
      <c r="B140" s="1089">
        <v>5</v>
      </c>
      <c r="C140" s="1090">
        <v>100</v>
      </c>
      <c r="D140" s="1090"/>
      <c r="E140" s="1091"/>
      <c r="F140" s="1092">
        <v>102</v>
      </c>
      <c r="G140" s="1090"/>
      <c r="H140" s="1093"/>
      <c r="I140" s="2648" t="s">
        <v>2627</v>
      </c>
      <c r="J140" s="314">
        <f>ROUNDUP((J139-1)/2,0)</f>
        <v>10</v>
      </c>
      <c r="K140" s="1094">
        <v>100</v>
      </c>
    </row>
    <row r="141" spans="1:17" ht="15">
      <c r="B141" s="1089">
        <v>4</v>
      </c>
      <c r="C141" s="1090">
        <v>102</v>
      </c>
      <c r="D141" s="1090"/>
      <c r="E141" s="1091"/>
      <c r="F141" s="1092">
        <v>101.5</v>
      </c>
      <c r="G141" s="1090"/>
      <c r="H141" s="1093"/>
      <c r="I141" s="2648" t="s">
        <v>2628</v>
      </c>
      <c r="J141" s="314">
        <v>1</v>
      </c>
      <c r="K141" s="1095">
        <f>ROUND(100+(J141-J140)*K139*100,1)</f>
        <v>96.4</v>
      </c>
    </row>
    <row r="142" spans="1:17" ht="15">
      <c r="B142" s="1089">
        <v>3</v>
      </c>
      <c r="C142" s="1090">
        <v>103</v>
      </c>
      <c r="D142" s="1090"/>
      <c r="E142" s="1091"/>
      <c r="F142" s="1092">
        <v>101</v>
      </c>
      <c r="G142" s="1090"/>
      <c r="H142" s="1093"/>
      <c r="I142" s="2648" t="s">
        <v>2629</v>
      </c>
      <c r="J142" s="314">
        <f>J139</f>
        <v>20</v>
      </c>
      <c r="K142" s="1096">
        <v>95</v>
      </c>
    </row>
    <row r="143" spans="1:17" ht="15">
      <c r="B143" s="1089">
        <v>2</v>
      </c>
      <c r="C143" s="1090">
        <v>100</v>
      </c>
      <c r="D143" s="1090"/>
      <c r="E143" s="1091"/>
      <c r="F143" s="1092">
        <v>100.5</v>
      </c>
      <c r="G143" s="1090"/>
      <c r="H143" s="1093"/>
      <c r="I143" s="2648" t="s">
        <v>2630</v>
      </c>
      <c r="J143" s="1090">
        <v>15</v>
      </c>
      <c r="K143" s="1095">
        <f>ROUND(100+(J143-J140)*K139*100,1)</f>
        <v>102</v>
      </c>
    </row>
    <row r="144" spans="1:17" ht="15">
      <c r="B144" s="1089">
        <v>1</v>
      </c>
      <c r="C144" s="1090">
        <v>98</v>
      </c>
      <c r="D144" s="2649" t="s">
        <v>2631</v>
      </c>
      <c r="E144" s="1091">
        <v>102</v>
      </c>
      <c r="F144" s="1097">
        <v>100</v>
      </c>
      <c r="G144" s="2649" t="s">
        <v>2631</v>
      </c>
      <c r="H144" s="1093">
        <v>105</v>
      </c>
      <c r="I144" s="2648" t="s">
        <v>2630</v>
      </c>
      <c r="J144" s="1090">
        <v>18</v>
      </c>
      <c r="K144" s="1095">
        <f>ROUND(100+(J144-J140)*K139*100,1)</f>
        <v>103.2</v>
      </c>
    </row>
    <row r="145" spans="2:11" ht="15.75" thickBot="1">
      <c r="B145" s="2650" t="s">
        <v>2632</v>
      </c>
      <c r="C145" s="1098">
        <f>ROUND(MAX(C139:C144)/MIN(C139:C144)-1,3)</f>
        <v>7.2999999999999995E-2</v>
      </c>
      <c r="D145" s="1099"/>
      <c r="E145" s="1099"/>
      <c r="F145" s="2651" t="s">
        <v>2633</v>
      </c>
      <c r="G145" s="2652"/>
      <c r="H145" s="2653"/>
      <c r="I145" s="2654" t="s">
        <v>2630</v>
      </c>
      <c r="J145" s="1100">
        <v>8</v>
      </c>
      <c r="K145" s="1101">
        <f>ROUND(100+(J145-J140)*K139*100,1)</f>
        <v>99.2</v>
      </c>
    </row>
    <row r="147" spans="2:11">
      <c r="B147" s="2635" t="s">
        <v>2634</v>
      </c>
    </row>
    <row r="148" spans="2:11">
      <c r="B148" s="2635"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7"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2522</v>
      </c>
      <c r="B1" s="2580" t="s">
        <v>2636</v>
      </c>
      <c r="C1" s="1633" t="s">
        <v>2524</v>
      </c>
      <c r="D1" s="1620"/>
      <c r="E1" s="2655"/>
      <c r="F1" s="2582"/>
      <c r="G1" s="1630" t="s">
        <v>2637</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7" customFormat="1" ht="28.5" customHeight="1" thickTop="1">
      <c r="A2" s="1616" t="s">
        <v>2321</v>
      </c>
      <c r="B2" s="1417" t="e">
        <f ca="1">IF(C2="——",ROUND(C49*D3/10000,0),ROUND(C49*D3/10000,0)-D2)</f>
        <v>#DIV/0!</v>
      </c>
      <c r="C2" s="2584"/>
      <c r="D2" s="1364" t="e">
        <f ca="1">SUMIF(INDIRECT("'"&amp;F2&amp;"'"&amp;"!A:A"),"承租人权益价值",INDIRECT("'"&amp;F2&amp;"'"&amp;"!c:c"))</f>
        <v>#REF!</v>
      </c>
      <c r="E2" s="2585" t="s">
        <v>2322</v>
      </c>
      <c r="F2" s="2586"/>
      <c r="G2" s="1124"/>
      <c r="H2" s="1124"/>
      <c r="I2" s="1124"/>
      <c r="J2" s="1124"/>
      <c r="K2" s="1124"/>
      <c r="L2" s="1127"/>
      <c r="M2" s="1128"/>
      <c r="N2" s="1128"/>
      <c r="O2" s="1128"/>
      <c r="P2" s="2659"/>
      <c r="Q2" s="1128"/>
      <c r="R2" s="1128"/>
      <c r="S2" s="1128"/>
      <c r="T2" s="1128"/>
      <c r="U2" s="1128"/>
      <c r="V2" s="1128"/>
      <c r="W2" s="1128"/>
      <c r="X2" s="1128"/>
      <c r="Y2" s="1128"/>
      <c r="Z2" s="1128"/>
      <c r="AA2" s="1128"/>
      <c r="AB2" s="1128"/>
      <c r="AC2" s="2660"/>
    </row>
    <row r="3" spans="1:29" s="397" customFormat="1" ht="28.5" customHeight="1" thickBot="1">
      <c r="A3" s="246" t="s">
        <v>2323</v>
      </c>
      <c r="B3" s="608" t="e">
        <f ca="1">IF(C2="——",C49,ROUND(B2*10000/D3,0))</f>
        <v>#DIV/0!</v>
      </c>
      <c r="C3" s="399" t="s">
        <v>2638</v>
      </c>
      <c r="D3" s="398">
        <f>IF(D1="",'数据-汇总表'!E3,SUMIF('数据-汇总表'!$C19:$C33,D1,'数据-汇总表'!$E19:$E33))</f>
        <v>83329.149999999994</v>
      </c>
      <c r="E3" s="2661"/>
      <c r="F3" s="1125"/>
      <c r="G3" s="1124"/>
      <c r="H3" s="1124"/>
      <c r="I3" s="1124"/>
      <c r="J3" s="1124"/>
      <c r="K3" s="1126"/>
      <c r="L3" s="1127"/>
      <c r="M3" s="1128"/>
      <c r="N3" s="1128"/>
      <c r="O3" s="1128"/>
      <c r="P3" s="2659"/>
      <c r="Q3" s="1128"/>
      <c r="R3" s="1128"/>
      <c r="S3" s="1128"/>
      <c r="T3" s="1128"/>
      <c r="U3" s="1128"/>
      <c r="V3" s="1128"/>
      <c r="W3" s="1128"/>
      <c r="X3" s="1128"/>
      <c r="Y3" s="1128"/>
      <c r="Z3" s="1128"/>
      <c r="AA3" s="1128"/>
      <c r="AB3" s="1128"/>
      <c r="AC3" s="2661"/>
    </row>
    <row r="4" spans="1:29" ht="15">
      <c r="A4" s="400" t="s">
        <v>2639</v>
      </c>
      <c r="B4" s="401"/>
      <c r="C4" s="3294" t="s">
        <v>2640</v>
      </c>
      <c r="D4" s="3295"/>
      <c r="E4" s="3296" t="s">
        <v>2641</v>
      </c>
      <c r="F4" s="3297"/>
      <c r="G4" s="3294" t="s">
        <v>2642</v>
      </c>
      <c r="H4" s="3295"/>
      <c r="I4" s="3294" t="s">
        <v>2643</v>
      </c>
      <c r="J4" s="3295"/>
      <c r="K4" s="609" t="s">
        <v>2644</v>
      </c>
      <c r="L4" s="1129"/>
      <c r="M4" s="1130"/>
      <c r="N4" s="1130"/>
      <c r="O4" s="1130"/>
      <c r="P4" s="3298" t="s">
        <v>2645</v>
      </c>
      <c r="Q4" s="3299"/>
      <c r="R4" s="3304" t="s">
        <v>2641</v>
      </c>
      <c r="S4" s="3305"/>
      <c r="T4" s="3304" t="s">
        <v>2642</v>
      </c>
      <c r="U4" s="3305"/>
      <c r="V4" s="3310" t="s">
        <v>2643</v>
      </c>
      <c r="W4" s="3310"/>
      <c r="X4" s="1812"/>
      <c r="Y4" s="3304" t="s">
        <v>2645</v>
      </c>
      <c r="Z4" s="3305"/>
      <c r="AA4" s="3291" t="s">
        <v>2641</v>
      </c>
      <c r="AB4" s="3310" t="s">
        <v>2642</v>
      </c>
      <c r="AC4" s="3291" t="s">
        <v>2643</v>
      </c>
    </row>
    <row r="5" spans="1:29" ht="15">
      <c r="A5" s="403"/>
      <c r="B5" s="404"/>
      <c r="C5" s="3313" t="s">
        <v>2536</v>
      </c>
      <c r="D5" s="3314"/>
      <c r="E5" s="3320" t="s">
        <v>2537</v>
      </c>
      <c r="F5" s="3321"/>
      <c r="G5" s="3313" t="s">
        <v>2538</v>
      </c>
      <c r="H5" s="3314"/>
      <c r="I5" s="3313" t="s">
        <v>2539</v>
      </c>
      <c r="J5" s="3314"/>
      <c r="K5" s="609"/>
      <c r="L5" s="1129"/>
      <c r="M5" s="1130"/>
      <c r="N5" s="1130"/>
      <c r="O5" s="1130"/>
      <c r="P5" s="3300"/>
      <c r="Q5" s="3301"/>
      <c r="R5" s="3306"/>
      <c r="S5" s="3307"/>
      <c r="T5" s="3306"/>
      <c r="U5" s="3307"/>
      <c r="V5" s="3310"/>
      <c r="W5" s="3310"/>
      <c r="X5" s="1812"/>
      <c r="Y5" s="3306"/>
      <c r="Z5" s="3307"/>
      <c r="AA5" s="3292"/>
      <c r="AB5" s="3310"/>
      <c r="AC5" s="3292"/>
    </row>
    <row r="6" spans="1:29" ht="15.75" thickBot="1">
      <c r="A6" s="405"/>
      <c r="B6" s="406"/>
      <c r="C6" s="3311" t="s">
        <v>2540</v>
      </c>
      <c r="D6" s="3312"/>
      <c r="E6" s="3318" t="s">
        <v>2540</v>
      </c>
      <c r="F6" s="3319"/>
      <c r="G6" s="3311" t="s">
        <v>2540</v>
      </c>
      <c r="H6" s="3312"/>
      <c r="I6" s="3311" t="s">
        <v>2540</v>
      </c>
      <c r="J6" s="3312"/>
      <c r="K6" s="609" t="s">
        <v>2541</v>
      </c>
      <c r="L6" s="1129"/>
      <c r="M6" s="1130"/>
      <c r="N6" s="1130"/>
      <c r="O6" s="1130"/>
      <c r="P6" s="3302"/>
      <c r="Q6" s="3303"/>
      <c r="R6" s="3306"/>
      <c r="S6" s="3307"/>
      <c r="T6" s="3308"/>
      <c r="U6" s="3309"/>
      <c r="V6" s="3310"/>
      <c r="W6" s="3310"/>
      <c r="X6" s="1812"/>
      <c r="Y6" s="3308"/>
      <c r="Z6" s="3309"/>
      <c r="AA6" s="3293"/>
      <c r="AB6" s="3310"/>
      <c r="AC6" s="3293"/>
    </row>
    <row r="7" spans="1:29" s="117" customFormat="1" ht="15.75" thickBot="1">
      <c r="A7" s="407" t="s">
        <v>2542</v>
      </c>
      <c r="B7" s="408"/>
      <c r="C7" s="409">
        <f>'数据-取费表'!B2</f>
        <v>43691</v>
      </c>
      <c r="D7" s="410">
        <v>100</v>
      </c>
      <c r="E7" s="411"/>
      <c r="F7" s="412">
        <f>SUMIF(58:58,YEAR(E7)&amp;"-"&amp;MONTH(E7),59:59)</f>
        <v>0</v>
      </c>
      <c r="G7" s="411"/>
      <c r="H7" s="410">
        <f>SUMIF(58:58,YEAR(G7)&amp;"-"&amp;MONTH(G7),59:59)</f>
        <v>0</v>
      </c>
      <c r="I7" s="411"/>
      <c r="J7" s="410">
        <f>SUMIF(58:58,YEAR(I7)&amp;"-"&amp;MONTH(I7),59:59)</f>
        <v>0</v>
      </c>
      <c r="K7" s="610"/>
      <c r="L7" s="1131"/>
      <c r="M7" s="1132"/>
      <c r="N7" s="1132"/>
      <c r="O7" s="1132"/>
      <c r="P7" s="3315" t="s">
        <v>2543</v>
      </c>
      <c r="Q7" s="3317"/>
      <c r="R7" s="769" t="s">
        <v>17</v>
      </c>
      <c r="S7" s="770">
        <f t="shared" ref="S7:S15" si="0">F7</f>
        <v>0</v>
      </c>
      <c r="T7" s="769" t="s">
        <v>17</v>
      </c>
      <c r="U7" s="770">
        <f t="shared" ref="U7:U15" si="1">H7</f>
        <v>0</v>
      </c>
      <c r="V7" s="769" t="s">
        <v>17</v>
      </c>
      <c r="W7" s="770">
        <f t="shared" ref="W7:W15" si="2">J7</f>
        <v>0</v>
      </c>
      <c r="X7" s="771"/>
      <c r="Y7" s="3315" t="s">
        <v>2543</v>
      </c>
      <c r="Z7" s="3316"/>
      <c r="AA7" s="772" t="e">
        <f>D7/F7</f>
        <v>#DIV/0!</v>
      </c>
      <c r="AB7" s="772" t="e">
        <f>D7/H7</f>
        <v>#DIV/0!</v>
      </c>
      <c r="AC7" s="772" t="e">
        <f>D7/J7</f>
        <v>#DIV/0!</v>
      </c>
    </row>
    <row r="8" spans="1:29" s="117" customFormat="1" ht="15.75" thickBot="1">
      <c r="A8" s="407" t="s">
        <v>2544</v>
      </c>
      <c r="B8" s="408"/>
      <c r="C8" s="413" t="s">
        <v>2646</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315" t="s">
        <v>2546</v>
      </c>
      <c r="Q8" s="3316"/>
      <c r="R8" s="769" t="s">
        <v>17</v>
      </c>
      <c r="S8" s="770">
        <f t="shared" si="0"/>
        <v>0</v>
      </c>
      <c r="T8" s="769" t="s">
        <v>17</v>
      </c>
      <c r="U8" s="770">
        <f t="shared" si="1"/>
        <v>0</v>
      </c>
      <c r="V8" s="769" t="s">
        <v>17</v>
      </c>
      <c r="W8" s="770">
        <f t="shared" si="2"/>
        <v>0</v>
      </c>
      <c r="X8" s="771"/>
      <c r="Y8" s="3315" t="s">
        <v>2546</v>
      </c>
      <c r="Z8" s="3316"/>
      <c r="AA8" s="772" t="e">
        <f t="shared" ref="AA8:AA46" si="3">D8/F8</f>
        <v>#DIV/0!</v>
      </c>
      <c r="AB8" s="772" t="e">
        <f t="shared" ref="AB8:AB46" si="4">D8/H8</f>
        <v>#DIV/0!</v>
      </c>
      <c r="AC8" s="772" t="e">
        <f t="shared" ref="AC8:AC46" si="5">D8/J8</f>
        <v>#DIV/0!</v>
      </c>
    </row>
    <row r="9" spans="1:29" s="117" customFormat="1">
      <c r="A9" s="414" t="s">
        <v>2547</v>
      </c>
      <c r="B9" s="71" t="s">
        <v>2548</v>
      </c>
      <c r="C9" s="415"/>
      <c r="D9" s="134">
        <v>100</v>
      </c>
      <c r="E9" s="416"/>
      <c r="F9" s="417">
        <f>SUMIF(63:63,E9,64:64)-SUMIF(63:63,C9,64:64)+100</f>
        <v>100</v>
      </c>
      <c r="G9" s="416"/>
      <c r="H9" s="134">
        <f>SUMIF(63:63,G9,64:64)-SUMIF(63:63,C9,64:64)+100</f>
        <v>100</v>
      </c>
      <c r="I9" s="416"/>
      <c r="J9" s="134">
        <f>SUMIF(63:63,I9,64:64)-SUMIF(63:63,C9,64:64)+100</f>
        <v>100</v>
      </c>
      <c r="K9" s="610"/>
      <c r="L9" s="1131"/>
      <c r="M9" s="1132"/>
      <c r="N9" s="1132"/>
      <c r="O9" s="1132"/>
      <c r="P9" s="3290" t="s">
        <v>2549</v>
      </c>
      <c r="Q9" s="1794" t="str">
        <f t="shared" ref="Q9:Q15" si="6">B9</f>
        <v>用途</v>
      </c>
      <c r="R9" s="769" t="s">
        <v>17</v>
      </c>
      <c r="S9" s="770">
        <f t="shared" si="0"/>
        <v>100</v>
      </c>
      <c r="T9" s="769" t="s">
        <v>17</v>
      </c>
      <c r="U9" s="770">
        <f t="shared" si="1"/>
        <v>100</v>
      </c>
      <c r="V9" s="769" t="s">
        <v>17</v>
      </c>
      <c r="W9" s="770">
        <f t="shared" si="2"/>
        <v>100</v>
      </c>
      <c r="X9" s="771"/>
      <c r="Y9" s="3077" t="s">
        <v>2550</v>
      </c>
      <c r="Z9" s="55" t="str">
        <f t="shared" ref="Z9:Z15" si="7">Q9</f>
        <v>用途</v>
      </c>
      <c r="AA9" s="772">
        <f t="shared" si="3"/>
        <v>1</v>
      </c>
      <c r="AB9" s="772">
        <f t="shared" si="4"/>
        <v>1</v>
      </c>
      <c r="AC9" s="772">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611"/>
      <c r="L10" s="1134"/>
      <c r="M10" s="1135"/>
      <c r="N10" s="1135"/>
      <c r="O10" s="1135"/>
      <c r="P10" s="3290"/>
      <c r="Q10" s="1794" t="str">
        <f t="shared" si="6"/>
        <v>土地使用年限（年）</v>
      </c>
      <c r="R10" s="769" t="s">
        <v>17</v>
      </c>
      <c r="S10" s="770">
        <f t="shared" si="0"/>
        <v>100</v>
      </c>
      <c r="T10" s="769" t="s">
        <v>17</v>
      </c>
      <c r="U10" s="770">
        <f t="shared" si="1"/>
        <v>100</v>
      </c>
      <c r="V10" s="769" t="s">
        <v>17</v>
      </c>
      <c r="W10" s="770">
        <f t="shared" si="2"/>
        <v>100</v>
      </c>
      <c r="X10" s="771"/>
      <c r="Y10" s="3077"/>
      <c r="Z10" s="55" t="str">
        <f t="shared" si="7"/>
        <v>土地使用年限（年）</v>
      </c>
      <c r="AA10" s="772">
        <f t="shared" si="3"/>
        <v>1</v>
      </c>
      <c r="AB10" s="772">
        <f t="shared" si="4"/>
        <v>1</v>
      </c>
      <c r="AC10" s="772">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7"/>
      <c r="M11" s="1130"/>
      <c r="N11" s="1130"/>
      <c r="O11" s="1130"/>
      <c r="P11" s="3290"/>
      <c r="Q11" s="1794" t="str">
        <f t="shared" si="6"/>
        <v>容积率</v>
      </c>
      <c r="R11" s="769" t="s">
        <v>17</v>
      </c>
      <c r="S11" s="770" t="e">
        <f t="shared" si="0"/>
        <v>#N/A</v>
      </c>
      <c r="T11" s="769" t="s">
        <v>17</v>
      </c>
      <c r="U11" s="770" t="e">
        <f t="shared" si="1"/>
        <v>#N/A</v>
      </c>
      <c r="V11" s="769" t="s">
        <v>17</v>
      </c>
      <c r="W11" s="770" t="e">
        <f t="shared" si="2"/>
        <v>#N/A</v>
      </c>
      <c r="X11" s="771"/>
      <c r="Y11" s="3077"/>
      <c r="Z11" s="55" t="str">
        <f t="shared" si="7"/>
        <v>容积率</v>
      </c>
      <c r="AA11" s="772" t="e">
        <f t="shared" si="3"/>
        <v>#N/A</v>
      </c>
      <c r="AB11" s="772" t="e">
        <f t="shared" si="4"/>
        <v>#N/A</v>
      </c>
      <c r="AC11" s="772" t="e">
        <f t="shared" si="5"/>
        <v>#N/A</v>
      </c>
    </row>
    <row r="12" spans="1:29" s="117" customFormat="1" ht="15">
      <c r="A12" s="430"/>
      <c r="B12" s="2598">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90"/>
      <c r="Q12" s="1794">
        <f t="shared" si="6"/>
        <v>111</v>
      </c>
      <c r="R12" s="769" t="s">
        <v>17</v>
      </c>
      <c r="S12" s="770">
        <f t="shared" si="0"/>
        <v>100</v>
      </c>
      <c r="T12" s="769" t="s">
        <v>17</v>
      </c>
      <c r="U12" s="770">
        <f t="shared" si="1"/>
        <v>100</v>
      </c>
      <c r="V12" s="769" t="s">
        <v>17</v>
      </c>
      <c r="W12" s="770">
        <f t="shared" si="2"/>
        <v>100</v>
      </c>
      <c r="X12" s="771"/>
      <c r="Y12" s="3077"/>
      <c r="Z12" s="55">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90"/>
      <c r="Q13" s="1794">
        <f t="shared" si="6"/>
        <v>111</v>
      </c>
      <c r="R13" s="769" t="s">
        <v>17</v>
      </c>
      <c r="S13" s="770">
        <f t="shared" si="0"/>
        <v>100</v>
      </c>
      <c r="T13" s="769" t="s">
        <v>17</v>
      </c>
      <c r="U13" s="770">
        <f t="shared" si="1"/>
        <v>100</v>
      </c>
      <c r="V13" s="769" t="s">
        <v>17</v>
      </c>
      <c r="W13" s="770">
        <f t="shared" si="2"/>
        <v>100</v>
      </c>
      <c r="X13" s="771"/>
      <c r="Y13" s="3077"/>
      <c r="Z13" s="55">
        <f t="shared" si="7"/>
        <v>111</v>
      </c>
      <c r="AA13" s="772">
        <f t="shared" si="3"/>
        <v>1</v>
      </c>
      <c r="AB13" s="772">
        <f t="shared" si="4"/>
        <v>1</v>
      </c>
      <c r="AC13" s="772">
        <f t="shared" si="5"/>
        <v>1</v>
      </c>
    </row>
    <row r="14" spans="1:29" ht="15.75" thickBot="1">
      <c r="A14" s="435"/>
      <c r="B14" s="2600">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90"/>
      <c r="Q14" s="1794">
        <f t="shared" si="6"/>
        <v>111</v>
      </c>
      <c r="R14" s="769" t="s">
        <v>17</v>
      </c>
      <c r="S14" s="770">
        <f t="shared" si="0"/>
        <v>100</v>
      </c>
      <c r="T14" s="769" t="s">
        <v>17</v>
      </c>
      <c r="U14" s="770">
        <f t="shared" si="1"/>
        <v>100</v>
      </c>
      <c r="V14" s="769" t="s">
        <v>17</v>
      </c>
      <c r="W14" s="770">
        <f t="shared" si="2"/>
        <v>100</v>
      </c>
      <c r="X14" s="771"/>
      <c r="Y14" s="3077"/>
      <c r="Z14" s="55">
        <f t="shared" si="7"/>
        <v>111</v>
      </c>
      <c r="AA14" s="772">
        <f t="shared" si="3"/>
        <v>1</v>
      </c>
      <c r="AB14" s="772">
        <f t="shared" si="4"/>
        <v>1</v>
      </c>
      <c r="AC14" s="772">
        <f t="shared" si="5"/>
        <v>1</v>
      </c>
    </row>
    <row r="15" spans="1:29" ht="71.25">
      <c r="A15" s="439" t="s">
        <v>2553</v>
      </c>
      <c r="B15" s="69" t="s">
        <v>2647</v>
      </c>
      <c r="C15" s="2601"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88" t="s">
        <v>2554</v>
      </c>
      <c r="Q15" s="1809" t="str">
        <f t="shared" si="6"/>
        <v>商业繁华度</v>
      </c>
      <c r="R15" s="773" t="s">
        <v>17</v>
      </c>
      <c r="S15" s="774">
        <f t="shared" si="0"/>
        <v>100</v>
      </c>
      <c r="T15" s="773" t="s">
        <v>17</v>
      </c>
      <c r="U15" s="774">
        <f t="shared" si="1"/>
        <v>100</v>
      </c>
      <c r="V15" s="773" t="s">
        <v>17</v>
      </c>
      <c r="W15" s="774">
        <f t="shared" si="2"/>
        <v>100</v>
      </c>
      <c r="X15" s="1812"/>
      <c r="Y15" s="3281" t="s">
        <v>2554</v>
      </c>
      <c r="Z15" s="1813" t="str">
        <f t="shared" si="7"/>
        <v>商业繁华度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0"/>
      <c r="P16" s="3289"/>
      <c r="Q16" s="1809"/>
      <c r="R16" s="773"/>
      <c r="S16" s="774"/>
      <c r="T16" s="773"/>
      <c r="U16" s="774"/>
      <c r="V16" s="773"/>
      <c r="W16" s="774"/>
      <c r="X16" s="1812"/>
      <c r="Y16" s="3282"/>
      <c r="Z16" s="1813"/>
      <c r="AA16" s="1810">
        <v>1</v>
      </c>
      <c r="AB16" s="1810">
        <v>1</v>
      </c>
      <c r="AC16" s="1810">
        <v>1</v>
      </c>
    </row>
    <row r="17" spans="1:29" ht="85.5">
      <c r="A17" s="427"/>
      <c r="B17" s="450" t="s">
        <v>2095</v>
      </c>
      <c r="C17" s="2605"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89"/>
      <c r="Q17" s="1809" t="str">
        <f>B17</f>
        <v>交通便捷度</v>
      </c>
      <c r="R17" s="773" t="s">
        <v>17</v>
      </c>
      <c r="S17" s="774">
        <f>F17</f>
        <v>100</v>
      </c>
      <c r="T17" s="773" t="s">
        <v>17</v>
      </c>
      <c r="U17" s="774">
        <f>H17</f>
        <v>100</v>
      </c>
      <c r="V17" s="773" t="s">
        <v>17</v>
      </c>
      <c r="W17" s="774">
        <f>J17</f>
        <v>100</v>
      </c>
      <c r="X17" s="1812"/>
      <c r="Y17" s="3282"/>
      <c r="Z17" s="1813" t="str">
        <f>Q17</f>
        <v>交通便捷度</v>
      </c>
      <c r="AA17" s="1810">
        <f t="shared" si="3"/>
        <v>1</v>
      </c>
      <c r="AB17" s="1810">
        <f t="shared" si="4"/>
        <v>1</v>
      </c>
      <c r="AC17" s="1810">
        <f t="shared" si="5"/>
        <v>1</v>
      </c>
    </row>
    <row r="18" spans="1:29" ht="15">
      <c r="A18" s="427"/>
      <c r="B18" s="455"/>
      <c r="C18" s="2606"/>
      <c r="D18" s="449"/>
      <c r="E18" s="2608"/>
      <c r="F18" s="452"/>
      <c r="G18" s="2607"/>
      <c r="H18" s="447"/>
      <c r="I18" s="2608"/>
      <c r="J18" s="447"/>
      <c r="K18" s="614"/>
      <c r="L18" s="1139"/>
      <c r="M18" s="1130"/>
      <c r="N18" s="1130"/>
      <c r="O18" s="1130"/>
      <c r="P18" s="3289"/>
      <c r="Q18" s="1809"/>
      <c r="R18" s="773"/>
      <c r="S18" s="774"/>
      <c r="T18" s="773"/>
      <c r="U18" s="774"/>
      <c r="V18" s="773"/>
      <c r="W18" s="774"/>
      <c r="X18" s="1812"/>
      <c r="Y18" s="3282"/>
      <c r="Z18" s="1813"/>
      <c r="AA18" s="1810">
        <v>1</v>
      </c>
      <c r="AB18" s="1810">
        <v>1</v>
      </c>
      <c r="AC18" s="1810">
        <v>1</v>
      </c>
    </row>
    <row r="19" spans="1:29" ht="42.75">
      <c r="A19" s="427"/>
      <c r="B19" s="450" t="s">
        <v>2648</v>
      </c>
      <c r="C19" s="2605"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89"/>
      <c r="Q19" s="1809" t="str">
        <f>B19</f>
        <v>公共配套设施</v>
      </c>
      <c r="R19" s="773" t="s">
        <v>17</v>
      </c>
      <c r="S19" s="774">
        <f>F19</f>
        <v>100</v>
      </c>
      <c r="T19" s="773" t="s">
        <v>17</v>
      </c>
      <c r="U19" s="774">
        <f>H19</f>
        <v>100</v>
      </c>
      <c r="V19" s="773" t="s">
        <v>17</v>
      </c>
      <c r="W19" s="774">
        <f>J19</f>
        <v>100</v>
      </c>
      <c r="X19" s="1812"/>
      <c r="Y19" s="3282"/>
      <c r="Z19" s="1813" t="str">
        <f>Q19</f>
        <v>公共配套设施</v>
      </c>
      <c r="AA19" s="1810">
        <f t="shared" si="3"/>
        <v>1</v>
      </c>
      <c r="AB19" s="1810">
        <f t="shared" si="4"/>
        <v>1</v>
      </c>
      <c r="AC19" s="1810">
        <f t="shared" si="5"/>
        <v>1</v>
      </c>
    </row>
    <row r="20" spans="1:29" ht="15">
      <c r="A20" s="427"/>
      <c r="B20" s="455"/>
      <c r="C20" s="446"/>
      <c r="D20" s="447"/>
      <c r="E20" s="2603"/>
      <c r="F20" s="448"/>
      <c r="G20" s="2602"/>
      <c r="H20" s="447"/>
      <c r="I20" s="2603"/>
      <c r="J20" s="447"/>
      <c r="K20" s="614"/>
      <c r="L20" s="1139"/>
      <c r="M20" s="1130"/>
      <c r="N20" s="1130"/>
      <c r="O20" s="1130"/>
      <c r="P20" s="3289"/>
      <c r="Q20" s="1809"/>
      <c r="R20" s="773"/>
      <c r="S20" s="774"/>
      <c r="T20" s="773"/>
      <c r="U20" s="774"/>
      <c r="V20" s="773"/>
      <c r="W20" s="774"/>
      <c r="X20" s="1812"/>
      <c r="Y20" s="3282"/>
      <c r="Z20" s="1813"/>
      <c r="AA20" s="1810">
        <v>1</v>
      </c>
      <c r="AB20" s="1810">
        <v>1</v>
      </c>
      <c r="AC20" s="1810">
        <v>1</v>
      </c>
    </row>
    <row r="21" spans="1:29" ht="28.5">
      <c r="A21" s="427"/>
      <c r="B21" s="1383" t="s">
        <v>2649</v>
      </c>
      <c r="C21" s="2605"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89"/>
      <c r="Q21" s="1809" t="str">
        <f>B21</f>
        <v>基础设施水平</v>
      </c>
      <c r="R21" s="773" t="s">
        <v>17</v>
      </c>
      <c r="S21" s="774">
        <f>F21</f>
        <v>100</v>
      </c>
      <c r="T21" s="773" t="s">
        <v>17</v>
      </c>
      <c r="U21" s="774">
        <f>H21</f>
        <v>100</v>
      </c>
      <c r="V21" s="773" t="s">
        <v>17</v>
      </c>
      <c r="W21" s="774">
        <f>J21</f>
        <v>100</v>
      </c>
      <c r="X21" s="1812"/>
      <c r="Y21" s="3282"/>
      <c r="Z21" s="1813" t="str">
        <f>Q21</f>
        <v>基础设施水平</v>
      </c>
      <c r="AA21" s="1810">
        <f t="shared" ref="AA21" si="8">D21/F21</f>
        <v>1</v>
      </c>
      <c r="AB21" s="1810">
        <f t="shared" ref="AB21" si="9">D21/H21</f>
        <v>1</v>
      </c>
      <c r="AC21" s="1810">
        <f t="shared" ref="AC21" si="10">D21/J21</f>
        <v>1</v>
      </c>
    </row>
    <row r="22" spans="1:29" ht="15">
      <c r="A22" s="427"/>
      <c r="B22" s="1383"/>
      <c r="C22" s="2606"/>
      <c r="D22" s="447"/>
      <c r="E22" s="446"/>
      <c r="F22" s="448"/>
      <c r="G22" s="446"/>
      <c r="H22" s="447"/>
      <c r="I22" s="446"/>
      <c r="J22" s="447"/>
      <c r="K22" s="1382"/>
      <c r="L22" s="1139"/>
      <c r="M22" s="1130"/>
      <c r="N22" s="1130"/>
      <c r="O22" s="1130"/>
      <c r="P22" s="3289"/>
      <c r="Q22" s="1809"/>
      <c r="R22" s="773"/>
      <c r="S22" s="774"/>
      <c r="T22" s="773"/>
      <c r="U22" s="774"/>
      <c r="V22" s="773"/>
      <c r="W22" s="774"/>
      <c r="X22" s="1812"/>
      <c r="Y22" s="3282"/>
      <c r="Z22" s="1813"/>
      <c r="AA22" s="1810">
        <v>1</v>
      </c>
      <c r="AB22" s="1810">
        <v>1</v>
      </c>
      <c r="AC22" s="1810">
        <v>1</v>
      </c>
    </row>
    <row r="23" spans="1:29" ht="57">
      <c r="A23" s="427"/>
      <c r="B23" s="450" t="s">
        <v>2100</v>
      </c>
      <c r="C23" s="2662"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89"/>
      <c r="Q23" s="1809" t="str">
        <f>B23</f>
        <v>自然及人文环境</v>
      </c>
      <c r="R23" s="773" t="s">
        <v>17</v>
      </c>
      <c r="S23" s="774">
        <f>F23</f>
        <v>100</v>
      </c>
      <c r="T23" s="773" t="s">
        <v>17</v>
      </c>
      <c r="U23" s="774">
        <f>H23</f>
        <v>100</v>
      </c>
      <c r="V23" s="773" t="s">
        <v>17</v>
      </c>
      <c r="W23" s="774">
        <f>J23</f>
        <v>100</v>
      </c>
      <c r="X23" s="1812"/>
      <c r="Y23" s="3282"/>
      <c r="Z23" s="1813" t="str">
        <f>Q23</f>
        <v>自然及人文环境</v>
      </c>
      <c r="AA23" s="1810">
        <f t="shared" si="3"/>
        <v>1</v>
      </c>
      <c r="AB23" s="1810">
        <f t="shared" si="4"/>
        <v>1</v>
      </c>
      <c r="AC23" s="1810">
        <f t="shared" si="5"/>
        <v>1</v>
      </c>
    </row>
    <row r="24" spans="1:29" ht="15">
      <c r="A24" s="427"/>
      <c r="B24" s="455"/>
      <c r="C24" s="446"/>
      <c r="D24" s="447"/>
      <c r="E24" s="2603"/>
      <c r="F24" s="448"/>
      <c r="G24" s="2602"/>
      <c r="H24" s="447"/>
      <c r="I24" s="2603"/>
      <c r="J24" s="447"/>
      <c r="K24" s="614"/>
      <c r="L24" s="1139"/>
      <c r="M24" s="1130"/>
      <c r="N24" s="1130"/>
      <c r="O24" s="1130"/>
      <c r="P24" s="3289"/>
      <c r="Q24" s="1809"/>
      <c r="R24" s="773"/>
      <c r="S24" s="774"/>
      <c r="T24" s="773"/>
      <c r="U24" s="774"/>
      <c r="V24" s="773"/>
      <c r="W24" s="774"/>
      <c r="X24" s="1812"/>
      <c r="Y24" s="3282"/>
      <c r="Z24" s="1813"/>
      <c r="AA24" s="1810">
        <v>1</v>
      </c>
      <c r="AB24" s="1810">
        <v>1</v>
      </c>
      <c r="AC24" s="1810">
        <v>1</v>
      </c>
    </row>
    <row r="25" spans="1:29" ht="15">
      <c r="A25" s="427"/>
      <c r="B25" s="421" t="s">
        <v>2650</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89"/>
      <c r="Q25" s="1809" t="str">
        <f t="shared" ref="Q25:Q46" si="11">B25</f>
        <v>临街状况</v>
      </c>
      <c r="R25" s="773" t="s">
        <v>17</v>
      </c>
      <c r="S25" s="774">
        <f>F25</f>
        <v>100</v>
      </c>
      <c r="T25" s="773" t="s">
        <v>17</v>
      </c>
      <c r="U25" s="774">
        <f>H25</f>
        <v>100</v>
      </c>
      <c r="V25" s="773" t="s">
        <v>17</v>
      </c>
      <c r="W25" s="774">
        <f>J25</f>
        <v>100</v>
      </c>
      <c r="X25" s="1812"/>
      <c r="Y25" s="3282"/>
      <c r="Z25" s="1813" t="str">
        <f>Q25</f>
        <v>临街状况</v>
      </c>
      <c r="AA25" s="1810">
        <f t="shared" si="3"/>
        <v>1</v>
      </c>
      <c r="AB25" s="1810">
        <f t="shared" si="4"/>
        <v>1</v>
      </c>
      <c r="AC25" s="1810">
        <f t="shared" si="5"/>
        <v>1</v>
      </c>
    </row>
    <row r="26" spans="1:29" ht="15">
      <c r="A26" s="427"/>
      <c r="B26" s="1385" t="s">
        <v>2651</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89"/>
      <c r="Q26" s="1809" t="str">
        <f t="shared" si="11"/>
        <v>平面位置/可视性</v>
      </c>
      <c r="R26" s="773" t="s">
        <v>17</v>
      </c>
      <c r="S26" s="774">
        <f>F26</f>
        <v>100</v>
      </c>
      <c r="T26" s="773" t="s">
        <v>17</v>
      </c>
      <c r="U26" s="774">
        <f>H26</f>
        <v>100</v>
      </c>
      <c r="V26" s="773" t="s">
        <v>17</v>
      </c>
      <c r="W26" s="774">
        <f>J26</f>
        <v>100</v>
      </c>
      <c r="X26" s="1812"/>
      <c r="Y26" s="3282"/>
      <c r="Z26" s="1813" t="str">
        <f>Q26</f>
        <v>平面位置/可视性</v>
      </c>
      <c r="AA26" s="1810">
        <f t="shared" si="3"/>
        <v>1</v>
      </c>
      <c r="AB26" s="1810">
        <f t="shared" si="4"/>
        <v>1</v>
      </c>
      <c r="AC26" s="1810">
        <f t="shared" si="5"/>
        <v>1</v>
      </c>
    </row>
    <row r="27" spans="1:29" s="117" customFormat="1" ht="15">
      <c r="A27" s="430"/>
      <c r="B27" s="450" t="s">
        <v>2652</v>
      </c>
      <c r="C27" s="2663"/>
      <c r="D27" s="461">
        <v>100</v>
      </c>
      <c r="E27" s="2663"/>
      <c r="F27" s="463">
        <f>SUMIF(90:90,E27,91:91)-SUMIF(90:90,C27,91:91)+100</f>
        <v>100</v>
      </c>
      <c r="G27" s="2663"/>
      <c r="H27" s="461">
        <f>SUMIF(90:90,G27,91:91)-SUMIF(90:90,C27,91:91)+100</f>
        <v>100</v>
      </c>
      <c r="I27" s="2663"/>
      <c r="J27" s="461">
        <f>SUMIF(90:90,I27,91:91)-SUMIF(90:90,C27,91:91)+100</f>
        <v>100</v>
      </c>
      <c r="K27" s="611"/>
      <c r="L27" s="1131"/>
      <c r="M27" s="1132"/>
      <c r="N27" s="1132"/>
      <c r="O27" s="1132"/>
      <c r="P27" s="3289"/>
      <c r="Q27" s="1794" t="str">
        <f t="shared" si="11"/>
        <v>人流量</v>
      </c>
      <c r="R27" s="769" t="s">
        <v>17</v>
      </c>
      <c r="S27" s="770">
        <f>F27</f>
        <v>100</v>
      </c>
      <c r="T27" s="769" t="s">
        <v>17</v>
      </c>
      <c r="U27" s="770">
        <f>H27</f>
        <v>100</v>
      </c>
      <c r="V27" s="769" t="s">
        <v>17</v>
      </c>
      <c r="W27" s="770">
        <f>J27</f>
        <v>100</v>
      </c>
      <c r="X27" s="771"/>
      <c r="Y27" s="3282"/>
      <c r="Z27" s="55" t="str">
        <f>Q27</f>
        <v>人流量</v>
      </c>
      <c r="AA27" s="1810">
        <f>D27/F27</f>
        <v>1</v>
      </c>
      <c r="AB27" s="1810">
        <f>D27/H27</f>
        <v>1</v>
      </c>
      <c r="AC27" s="1810">
        <f>D27/J27</f>
        <v>1</v>
      </c>
    </row>
    <row r="28" spans="1:29" ht="15">
      <c r="A28" s="427"/>
      <c r="B28" s="421" t="s">
        <v>2653</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89"/>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282"/>
      <c r="Z28" s="1813" t="str">
        <f t="shared" ref="Z28:Z46" si="15">Q28</f>
        <v>楼层</v>
      </c>
      <c r="AA28" s="1810">
        <f t="shared" si="3"/>
        <v>1</v>
      </c>
      <c r="AB28" s="1810">
        <f t="shared" si="4"/>
        <v>1</v>
      </c>
      <c r="AC28" s="1810">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89"/>
      <c r="Q29" s="1809">
        <f t="shared" si="11"/>
        <v>111</v>
      </c>
      <c r="R29" s="773" t="s">
        <v>17</v>
      </c>
      <c r="S29" s="774">
        <f t="shared" si="12"/>
        <v>100</v>
      </c>
      <c r="T29" s="773" t="s">
        <v>17</v>
      </c>
      <c r="U29" s="774">
        <f t="shared" si="13"/>
        <v>100</v>
      </c>
      <c r="V29" s="773" t="s">
        <v>17</v>
      </c>
      <c r="W29" s="774">
        <f t="shared" si="14"/>
        <v>100</v>
      </c>
      <c r="X29" s="1812"/>
      <c r="Y29" s="3282"/>
      <c r="Z29" s="1813">
        <f t="shared" si="15"/>
        <v>111</v>
      </c>
      <c r="AA29" s="1810">
        <f t="shared" si="3"/>
        <v>1</v>
      </c>
      <c r="AB29" s="1810">
        <f t="shared" si="4"/>
        <v>1</v>
      </c>
      <c r="AC29" s="1810">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89"/>
      <c r="Q30" s="1809">
        <f t="shared" si="11"/>
        <v>111</v>
      </c>
      <c r="R30" s="773" t="s">
        <v>17</v>
      </c>
      <c r="S30" s="774">
        <f t="shared" si="12"/>
        <v>100</v>
      </c>
      <c r="T30" s="773" t="s">
        <v>17</v>
      </c>
      <c r="U30" s="774">
        <f t="shared" si="13"/>
        <v>100</v>
      </c>
      <c r="V30" s="773" t="s">
        <v>17</v>
      </c>
      <c r="W30" s="774">
        <f t="shared" si="14"/>
        <v>100</v>
      </c>
      <c r="X30" s="1812"/>
      <c r="Y30" s="3282"/>
      <c r="Z30" s="1813">
        <f t="shared" si="15"/>
        <v>111</v>
      </c>
      <c r="AA30" s="1810">
        <f t="shared" si="3"/>
        <v>1</v>
      </c>
      <c r="AB30" s="1810">
        <f t="shared" si="4"/>
        <v>1</v>
      </c>
      <c r="AC30" s="1810">
        <f t="shared" si="5"/>
        <v>1</v>
      </c>
    </row>
    <row r="31" spans="1:29" ht="15.75"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89"/>
      <c r="Q31" s="1809">
        <f t="shared" si="11"/>
        <v>111</v>
      </c>
      <c r="R31" s="773" t="s">
        <v>17</v>
      </c>
      <c r="S31" s="774">
        <f t="shared" si="12"/>
        <v>100</v>
      </c>
      <c r="T31" s="773" t="s">
        <v>17</v>
      </c>
      <c r="U31" s="774">
        <f t="shared" si="13"/>
        <v>100</v>
      </c>
      <c r="V31" s="773" t="s">
        <v>17</v>
      </c>
      <c r="W31" s="774">
        <f t="shared" si="14"/>
        <v>100</v>
      </c>
      <c r="X31" s="1812"/>
      <c r="Y31" s="3282"/>
      <c r="Z31" s="1813">
        <f t="shared" si="15"/>
        <v>111</v>
      </c>
      <c r="AA31" s="1810">
        <f t="shared" si="3"/>
        <v>1</v>
      </c>
      <c r="AB31" s="1810">
        <f t="shared" si="4"/>
        <v>1</v>
      </c>
      <c r="AC31" s="1810">
        <f t="shared" si="5"/>
        <v>1</v>
      </c>
    </row>
    <row r="32" spans="1:29" ht="15">
      <c r="A32" s="439" t="s">
        <v>2557</v>
      </c>
      <c r="B32" s="71" t="s">
        <v>2654</v>
      </c>
      <c r="C32" s="2615"/>
      <c r="D32" s="466">
        <v>100</v>
      </c>
      <c r="E32" s="2615"/>
      <c r="F32" s="460">
        <f>SUMIF(100:100,E32,101:101)-SUMIF(100:100,C32,101:101)+100</f>
        <v>100</v>
      </c>
      <c r="G32" s="2615"/>
      <c r="H32" s="434">
        <f>SUMIF(100:100,G32,101:101)-SUMIF(100:100,C32,101:101)+100</f>
        <v>100</v>
      </c>
      <c r="I32" s="2615"/>
      <c r="J32" s="466">
        <f>SUMIF(100:100,I32,101:101)-SUMIF(100:100,C32,101:101)+100</f>
        <v>100</v>
      </c>
      <c r="K32" s="611"/>
      <c r="L32" s="1139"/>
      <c r="M32" s="1130"/>
      <c r="N32" s="1130"/>
      <c r="O32" s="1130"/>
      <c r="P32" s="3283" t="s">
        <v>2559</v>
      </c>
      <c r="Q32" s="1809" t="str">
        <f t="shared" si="11"/>
        <v>商业类型</v>
      </c>
      <c r="R32" s="773" t="s">
        <v>17</v>
      </c>
      <c r="S32" s="774">
        <f t="shared" si="12"/>
        <v>100</v>
      </c>
      <c r="T32" s="773" t="s">
        <v>17</v>
      </c>
      <c r="U32" s="774">
        <f t="shared" si="13"/>
        <v>100</v>
      </c>
      <c r="V32" s="773" t="s">
        <v>17</v>
      </c>
      <c r="W32" s="774">
        <f t="shared" si="14"/>
        <v>100</v>
      </c>
      <c r="X32" s="1812"/>
      <c r="Y32" s="3286" t="s">
        <v>2559</v>
      </c>
      <c r="Z32" s="1813" t="str">
        <f t="shared" si="15"/>
        <v>商业类型</v>
      </c>
      <c r="AA32" s="1810">
        <f t="shared" si="3"/>
        <v>1</v>
      </c>
      <c r="AB32" s="1810">
        <f t="shared" si="4"/>
        <v>1</v>
      </c>
      <c r="AC32" s="1810">
        <f t="shared" si="5"/>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7"/>
      <c r="M33" s="1140"/>
      <c r="N33" s="1140"/>
      <c r="O33" s="1140"/>
      <c r="P33" s="3284"/>
      <c r="Q33" s="775" t="str">
        <f t="shared" si="11"/>
        <v>项目建筑规模</v>
      </c>
      <c r="R33" s="776" t="s">
        <v>17</v>
      </c>
      <c r="S33" s="777" t="e">
        <f t="shared" si="12"/>
        <v>#N/A</v>
      </c>
      <c r="T33" s="776" t="s">
        <v>17</v>
      </c>
      <c r="U33" s="777" t="e">
        <f t="shared" si="13"/>
        <v>#N/A</v>
      </c>
      <c r="V33" s="776" t="s">
        <v>17</v>
      </c>
      <c r="W33" s="777" t="e">
        <f t="shared" si="14"/>
        <v>#N/A</v>
      </c>
      <c r="X33" s="778"/>
      <c r="Y33" s="3286"/>
      <c r="Z33" s="779" t="str">
        <f t="shared" si="15"/>
        <v>项目建筑规模</v>
      </c>
      <c r="AA33" s="1810" t="e">
        <f t="shared" si="3"/>
        <v>#N/A</v>
      </c>
      <c r="AB33" s="1810" t="e">
        <f t="shared" si="4"/>
        <v>#N/A</v>
      </c>
      <c r="AC33" s="1810" t="e">
        <f t="shared" si="5"/>
        <v>#N/A</v>
      </c>
    </row>
    <row r="34" spans="1:29" ht="15">
      <c r="A34" s="471"/>
      <c r="B34" s="421" t="s">
        <v>2561</v>
      </c>
      <c r="C34" s="2617"/>
      <c r="D34" s="434">
        <v>100</v>
      </c>
      <c r="E34" s="2617"/>
      <c r="F34" s="460">
        <f>SUMIF(105:105,E34,106:106)-SUMIF(105:105,C34,106:106)+100</f>
        <v>100</v>
      </c>
      <c r="G34" s="2617"/>
      <c r="H34" s="434">
        <f>SUMIF(105:105,G34,106:106)-SUMIF(105:105,C34,106:106)+100</f>
        <v>100</v>
      </c>
      <c r="I34" s="2617"/>
      <c r="J34" s="434">
        <f>SUMIF(105:105,I34,106:106)-SUMIF(105:105,C34,106:106)+100</f>
        <v>100</v>
      </c>
      <c r="K34" s="611"/>
      <c r="L34" s="1139"/>
      <c r="M34" s="1130"/>
      <c r="N34" s="1130"/>
      <c r="O34" s="1130"/>
      <c r="P34" s="3284"/>
      <c r="Q34" s="1809" t="str">
        <f t="shared" si="11"/>
        <v>建筑结构</v>
      </c>
      <c r="R34" s="773" t="s">
        <v>17</v>
      </c>
      <c r="S34" s="774">
        <f t="shared" si="12"/>
        <v>100</v>
      </c>
      <c r="T34" s="773" t="s">
        <v>17</v>
      </c>
      <c r="U34" s="774">
        <f t="shared" si="13"/>
        <v>100</v>
      </c>
      <c r="V34" s="773" t="s">
        <v>17</v>
      </c>
      <c r="W34" s="774">
        <f t="shared" si="14"/>
        <v>100</v>
      </c>
      <c r="X34" s="1812"/>
      <c r="Y34" s="3286"/>
      <c r="Z34" s="1813" t="str">
        <f t="shared" si="15"/>
        <v>建筑结构</v>
      </c>
      <c r="AA34" s="1810">
        <f t="shared" si="3"/>
        <v>1</v>
      </c>
      <c r="AB34" s="1810">
        <f t="shared" si="4"/>
        <v>1</v>
      </c>
      <c r="AC34" s="1810">
        <f t="shared" si="5"/>
        <v>1</v>
      </c>
    </row>
    <row r="35" spans="1:29" ht="15">
      <c r="A35" s="471"/>
      <c r="B35" s="421" t="s">
        <v>2655</v>
      </c>
      <c r="C35" s="2611"/>
      <c r="D35" s="434">
        <v>100</v>
      </c>
      <c r="E35" s="2611"/>
      <c r="F35" s="460">
        <f>SUMIF(107:107,E35,108:108)-SUMIF(107:107,C35,108:108)+100</f>
        <v>100</v>
      </c>
      <c r="G35" s="2611"/>
      <c r="H35" s="434">
        <f>SUMIF(107:107,G35,108:108)-SUMIF(107:107,C35,108:108)+100</f>
        <v>100</v>
      </c>
      <c r="I35" s="2611"/>
      <c r="J35" s="434">
        <f>SUMIF(107:107,I35,108:108)-SUMIF(107:107,C35,108:108)+100</f>
        <v>100</v>
      </c>
      <c r="K35" s="611"/>
      <c r="L35" s="1139"/>
      <c r="M35" s="1130"/>
      <c r="N35" s="1130"/>
      <c r="O35" s="1130"/>
      <c r="P35" s="3284"/>
      <c r="Q35" s="1809" t="str">
        <f t="shared" si="11"/>
        <v>公共部分装修</v>
      </c>
      <c r="R35" s="773" t="s">
        <v>17</v>
      </c>
      <c r="S35" s="774">
        <f t="shared" si="12"/>
        <v>100</v>
      </c>
      <c r="T35" s="773" t="s">
        <v>17</v>
      </c>
      <c r="U35" s="774">
        <f t="shared" si="13"/>
        <v>100</v>
      </c>
      <c r="V35" s="773" t="s">
        <v>17</v>
      </c>
      <c r="W35" s="774">
        <f t="shared" si="14"/>
        <v>100</v>
      </c>
      <c r="X35" s="1812"/>
      <c r="Y35" s="3286"/>
      <c r="Z35" s="1813" t="str">
        <f t="shared" si="15"/>
        <v>公共部分装修</v>
      </c>
      <c r="AA35" s="1810">
        <f t="shared" si="3"/>
        <v>1</v>
      </c>
      <c r="AB35" s="1810">
        <f t="shared" si="4"/>
        <v>1</v>
      </c>
      <c r="AC35" s="1810">
        <f t="shared" si="5"/>
        <v>1</v>
      </c>
    </row>
    <row r="36" spans="1:29" ht="15">
      <c r="A36" s="471"/>
      <c r="B36" s="421" t="s">
        <v>2656</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284"/>
      <c r="Q36" s="1809" t="str">
        <f t="shared" si="11"/>
        <v>成新度</v>
      </c>
      <c r="R36" s="773" t="s">
        <v>17</v>
      </c>
      <c r="S36" s="774" t="e">
        <f t="shared" si="12"/>
        <v>#N/A</v>
      </c>
      <c r="T36" s="773" t="s">
        <v>17</v>
      </c>
      <c r="U36" s="774" t="e">
        <f t="shared" si="13"/>
        <v>#N/A</v>
      </c>
      <c r="V36" s="773" t="s">
        <v>17</v>
      </c>
      <c r="W36" s="774" t="e">
        <f t="shared" si="14"/>
        <v>#N/A</v>
      </c>
      <c r="X36" s="1812"/>
      <c r="Y36" s="3286"/>
      <c r="Z36" s="1813" t="str">
        <f t="shared" si="15"/>
        <v>成新度</v>
      </c>
      <c r="AA36" s="1810" t="e">
        <f t="shared" si="3"/>
        <v>#N/A</v>
      </c>
      <c r="AB36" s="1810" t="e">
        <f t="shared" si="4"/>
        <v>#N/A</v>
      </c>
      <c r="AC36" s="1810" t="e">
        <f t="shared" si="5"/>
        <v>#N/A</v>
      </c>
    </row>
    <row r="37" spans="1:29" s="117" customFormat="1" ht="15">
      <c r="A37" s="472"/>
      <c r="B37" s="421" t="s">
        <v>2657</v>
      </c>
      <c r="C37" s="2611"/>
      <c r="D37" s="135">
        <v>100</v>
      </c>
      <c r="E37" s="2611"/>
      <c r="F37" s="460">
        <f>SUMIF(112:112,E37,113:113)-SUMIF(112:112,C37,113:113)+100</f>
        <v>100</v>
      </c>
      <c r="G37" s="2611"/>
      <c r="H37" s="434">
        <f>SUMIF(112:112,G37,113:113)-SUMIF(112:112,C37,113:113)+100</f>
        <v>100</v>
      </c>
      <c r="I37" s="2611"/>
      <c r="J37" s="434">
        <f>SUMIF(112:112,I37,113:113)-SUMIF(112:112,C37,113:113)+100</f>
        <v>100</v>
      </c>
      <c r="K37" s="611"/>
      <c r="L37" s="1131"/>
      <c r="M37" s="1132"/>
      <c r="N37" s="1132"/>
      <c r="O37" s="1132"/>
      <c r="P37" s="3284"/>
      <c r="Q37" s="1794" t="str">
        <f t="shared" si="11"/>
        <v>市政基础设施</v>
      </c>
      <c r="R37" s="769" t="s">
        <v>17</v>
      </c>
      <c r="S37" s="770">
        <f t="shared" si="12"/>
        <v>100</v>
      </c>
      <c r="T37" s="769" t="s">
        <v>17</v>
      </c>
      <c r="U37" s="770">
        <f t="shared" si="13"/>
        <v>100</v>
      </c>
      <c r="V37" s="769" t="s">
        <v>17</v>
      </c>
      <c r="W37" s="770">
        <f t="shared" si="14"/>
        <v>100</v>
      </c>
      <c r="X37" s="771"/>
      <c r="Y37" s="3286"/>
      <c r="Z37" s="55" t="str">
        <f t="shared" si="15"/>
        <v>市政基础设施</v>
      </c>
      <c r="AA37" s="772">
        <f t="shared" si="3"/>
        <v>1</v>
      </c>
      <c r="AB37" s="772">
        <f t="shared" si="4"/>
        <v>1</v>
      </c>
      <c r="AC37" s="772">
        <f t="shared" si="5"/>
        <v>1</v>
      </c>
    </row>
    <row r="38" spans="1:29" ht="15">
      <c r="A38" s="471"/>
      <c r="B38" s="421" t="s">
        <v>2658</v>
      </c>
      <c r="C38" s="2611"/>
      <c r="D38" s="434">
        <v>100</v>
      </c>
      <c r="E38" s="2611"/>
      <c r="F38" s="460">
        <f>SUMIF(114:114,E38,115:115)-SUMIF(114:114,C38,115:115)+100</f>
        <v>100</v>
      </c>
      <c r="G38" s="2611"/>
      <c r="H38" s="434">
        <f>SUMIF(114:114,G38,115:115)-SUMIF(114:114,C38,115:115)+100</f>
        <v>100</v>
      </c>
      <c r="I38" s="2611"/>
      <c r="J38" s="434">
        <f>SUMIF(114:114,I38,115:115)-SUMIF(114:114,C38,115:115)+100</f>
        <v>100</v>
      </c>
      <c r="K38" s="611"/>
      <c r="L38" s="1139"/>
      <c r="M38" s="1130"/>
      <c r="N38" s="1130"/>
      <c r="O38" s="1130"/>
      <c r="P38" s="3284" t="s">
        <v>2559</v>
      </c>
      <c r="Q38" s="1809" t="str">
        <f t="shared" si="11"/>
        <v>业态</v>
      </c>
      <c r="R38" s="773" t="s">
        <v>17</v>
      </c>
      <c r="S38" s="774">
        <f t="shared" si="12"/>
        <v>100</v>
      </c>
      <c r="T38" s="773" t="s">
        <v>17</v>
      </c>
      <c r="U38" s="774">
        <f t="shared" si="13"/>
        <v>100</v>
      </c>
      <c r="V38" s="773" t="s">
        <v>17</v>
      </c>
      <c r="W38" s="774">
        <f t="shared" si="14"/>
        <v>100</v>
      </c>
      <c r="X38" s="1812"/>
      <c r="Y38" s="3286" t="s">
        <v>2559</v>
      </c>
      <c r="Z38" s="1813" t="str">
        <f t="shared" si="15"/>
        <v>业态</v>
      </c>
      <c r="AA38" s="1810">
        <f t="shared" si="3"/>
        <v>1</v>
      </c>
      <c r="AB38" s="1810">
        <f t="shared" si="4"/>
        <v>1</v>
      </c>
      <c r="AC38" s="1810">
        <f t="shared" si="5"/>
        <v>1</v>
      </c>
    </row>
    <row r="39" spans="1:29" ht="15">
      <c r="A39" s="471"/>
      <c r="B39" s="421" t="s">
        <v>2659</v>
      </c>
      <c r="C39" s="2611"/>
      <c r="D39" s="434">
        <v>100</v>
      </c>
      <c r="E39" s="2611"/>
      <c r="F39" s="460">
        <f>SUMIF(116:116,E39,117:117)-SUMIF(116:116,C39,117:117)+100</f>
        <v>100</v>
      </c>
      <c r="G39" s="2611"/>
      <c r="H39" s="434">
        <f>SUMIF(116:116,G39,117:117)-SUMIF(116:116,C39,117:117)+100</f>
        <v>100</v>
      </c>
      <c r="I39" s="2611"/>
      <c r="J39" s="434">
        <f>SUMIF(116:116,I39,117:117)-SUMIF(116:116,C39,117:117)+100</f>
        <v>100</v>
      </c>
      <c r="K39" s="611"/>
      <c r="L39" s="1139"/>
      <c r="M39" s="1130"/>
      <c r="N39" s="1130"/>
      <c r="O39" s="1130"/>
      <c r="P39" s="3284"/>
      <c r="Q39" s="1809" t="str">
        <f t="shared" si="11"/>
        <v>层高</v>
      </c>
      <c r="R39" s="773" t="s">
        <v>17</v>
      </c>
      <c r="S39" s="774">
        <f t="shared" si="12"/>
        <v>100</v>
      </c>
      <c r="T39" s="773" t="s">
        <v>17</v>
      </c>
      <c r="U39" s="774">
        <f t="shared" si="13"/>
        <v>100</v>
      </c>
      <c r="V39" s="773" t="s">
        <v>17</v>
      </c>
      <c r="W39" s="774">
        <f t="shared" si="14"/>
        <v>100</v>
      </c>
      <c r="X39" s="1812"/>
      <c r="Y39" s="3286"/>
      <c r="Z39" s="1813" t="str">
        <f t="shared" si="15"/>
        <v>层高</v>
      </c>
      <c r="AA39" s="1810">
        <f t="shared" si="3"/>
        <v>1</v>
      </c>
      <c r="AB39" s="1810">
        <f t="shared" si="4"/>
        <v>1</v>
      </c>
      <c r="AC39" s="1810">
        <f t="shared" si="5"/>
        <v>1</v>
      </c>
    </row>
    <row r="40" spans="1:29" ht="15">
      <c r="A40" s="471"/>
      <c r="B40" s="421" t="s">
        <v>2660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84"/>
      <c r="Q40" s="1809" t="str">
        <f t="shared" si="11"/>
        <v>单套建筑面积</v>
      </c>
      <c r="R40" s="773" t="s">
        <v>17</v>
      </c>
      <c r="S40" s="774">
        <f t="shared" si="12"/>
        <v>100</v>
      </c>
      <c r="T40" s="773" t="s">
        <v>17</v>
      </c>
      <c r="U40" s="774">
        <f t="shared" si="13"/>
        <v>100</v>
      </c>
      <c r="V40" s="773" t="s">
        <v>17</v>
      </c>
      <c r="W40" s="774">
        <f t="shared" si="14"/>
        <v>100</v>
      </c>
      <c r="X40" s="1812"/>
      <c r="Y40" s="3286"/>
      <c r="Z40" s="1813" t="str">
        <f t="shared" si="15"/>
        <v>单套建筑面积</v>
      </c>
      <c r="AA40" s="1810">
        <f t="shared" si="3"/>
        <v>1</v>
      </c>
      <c r="AB40" s="1810">
        <f t="shared" si="4"/>
        <v>1</v>
      </c>
      <c r="AC40" s="1810">
        <f t="shared" si="5"/>
        <v>1</v>
      </c>
    </row>
    <row r="41" spans="1:29" s="470" customFormat="1" ht="15">
      <c r="A41" s="467"/>
      <c r="B41" s="1811" t="s">
        <v>2661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84"/>
      <c r="Q41" s="775" t="str">
        <f t="shared" si="11"/>
        <v>进深比</v>
      </c>
      <c r="R41" s="776" t="s">
        <v>17</v>
      </c>
      <c r="S41" s="777">
        <f t="shared" si="12"/>
        <v>100</v>
      </c>
      <c r="T41" s="776" t="s">
        <v>17</v>
      </c>
      <c r="U41" s="777">
        <f t="shared" si="13"/>
        <v>100</v>
      </c>
      <c r="V41" s="776" t="s">
        <v>17</v>
      </c>
      <c r="W41" s="777">
        <f t="shared" si="14"/>
        <v>100</v>
      </c>
      <c r="X41" s="778"/>
      <c r="Y41" s="3286"/>
      <c r="Z41" s="779" t="str">
        <f t="shared" si="15"/>
        <v>进深比</v>
      </c>
      <c r="AA41" s="1810">
        <f t="shared" si="3"/>
        <v>1</v>
      </c>
      <c r="AB41" s="1810">
        <f t="shared" si="4"/>
        <v>1</v>
      </c>
      <c r="AC41" s="1810">
        <f t="shared" si="5"/>
        <v>1</v>
      </c>
    </row>
    <row r="42" spans="1:29" ht="15">
      <c r="A42" s="471"/>
      <c r="B42" s="421" t="s">
        <v>2662</v>
      </c>
      <c r="C42" s="2611"/>
      <c r="D42" s="434">
        <v>100</v>
      </c>
      <c r="E42" s="2611"/>
      <c r="F42" s="460">
        <f>SUMIF(122:122,E42,123:123)-SUMIF(122:122,C42,123:123)+100</f>
        <v>100</v>
      </c>
      <c r="G42" s="2611"/>
      <c r="H42" s="434">
        <f>SUMIF(122:122,G42,123:123)-SUMIF(122:122,C42,123:123)+100</f>
        <v>100</v>
      </c>
      <c r="I42" s="2611"/>
      <c r="J42" s="434">
        <f>SUMIF(122:122,I42,123:123)-SUMIF(122:122,C42,123:123)+100</f>
        <v>100</v>
      </c>
      <c r="K42" s="611"/>
      <c r="L42" s="1139"/>
      <c r="M42" s="1130"/>
      <c r="N42" s="1130"/>
      <c r="O42" s="1130"/>
      <c r="P42" s="3284"/>
      <c r="Q42" s="1809" t="str">
        <f t="shared" si="11"/>
        <v>内部装修</v>
      </c>
      <c r="R42" s="773" t="s">
        <v>17</v>
      </c>
      <c r="S42" s="774">
        <f t="shared" si="12"/>
        <v>100</v>
      </c>
      <c r="T42" s="773" t="s">
        <v>17</v>
      </c>
      <c r="U42" s="774">
        <f t="shared" si="13"/>
        <v>100</v>
      </c>
      <c r="V42" s="773" t="s">
        <v>17</v>
      </c>
      <c r="W42" s="774">
        <f t="shared" si="14"/>
        <v>100</v>
      </c>
      <c r="X42" s="1812"/>
      <c r="Y42" s="3286"/>
      <c r="Z42" s="1813" t="str">
        <f t="shared" si="15"/>
        <v>内部装修</v>
      </c>
      <c r="AA42" s="1810">
        <f t="shared" si="3"/>
        <v>1</v>
      </c>
      <c r="AB42" s="1810">
        <f t="shared" si="4"/>
        <v>1</v>
      </c>
      <c r="AC42" s="1810">
        <f t="shared" si="5"/>
        <v>1</v>
      </c>
    </row>
    <row r="43" spans="1:29" ht="15">
      <c r="A43" s="471"/>
      <c r="B43" s="421" t="s">
        <v>2570</v>
      </c>
      <c r="C43" s="2611"/>
      <c r="D43" s="434">
        <v>100</v>
      </c>
      <c r="E43" s="2611"/>
      <c r="F43" s="460">
        <f>SUMIF(124:124,E43,125:125)-SUMIF(124:124,C43,125:125)+100</f>
        <v>100</v>
      </c>
      <c r="G43" s="2611"/>
      <c r="H43" s="434">
        <f>SUMIF(124:124,G43,125:125)-SUMIF(124:124,C43,125:125)+100</f>
        <v>100</v>
      </c>
      <c r="I43" s="2611"/>
      <c r="J43" s="434">
        <f>SUMIF(124:124,I43,125:125)-SUMIF(124:124,C43,125:125)+100</f>
        <v>100</v>
      </c>
      <c r="K43" s="611"/>
      <c r="L43" s="1139"/>
      <c r="M43" s="1130"/>
      <c r="N43" s="1130"/>
      <c r="O43" s="1130"/>
      <c r="P43" s="3284"/>
      <c r="Q43" s="1809" t="str">
        <f t="shared" si="11"/>
        <v>内部装修维护情况</v>
      </c>
      <c r="R43" s="773" t="s">
        <v>17</v>
      </c>
      <c r="S43" s="774">
        <f t="shared" si="12"/>
        <v>100</v>
      </c>
      <c r="T43" s="773" t="s">
        <v>17</v>
      </c>
      <c r="U43" s="774">
        <f t="shared" si="13"/>
        <v>100</v>
      </c>
      <c r="V43" s="773" t="s">
        <v>17</v>
      </c>
      <c r="W43" s="774">
        <f t="shared" si="14"/>
        <v>100</v>
      </c>
      <c r="X43" s="1812"/>
      <c r="Y43" s="3286"/>
      <c r="Z43" s="1813" t="str">
        <f t="shared" si="15"/>
        <v>内部装修维护情况</v>
      </c>
      <c r="AA43" s="1810">
        <f t="shared" si="3"/>
        <v>1</v>
      </c>
      <c r="AB43" s="1810">
        <f t="shared" si="4"/>
        <v>1</v>
      </c>
      <c r="AC43" s="1810">
        <f t="shared" si="5"/>
        <v>1</v>
      </c>
    </row>
    <row r="44" spans="1:29" s="117"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84"/>
      <c r="Q44" s="1794">
        <f t="shared" si="11"/>
        <v>111</v>
      </c>
      <c r="R44" s="769" t="s">
        <v>17</v>
      </c>
      <c r="S44" s="770">
        <f t="shared" si="12"/>
        <v>100</v>
      </c>
      <c r="T44" s="769" t="s">
        <v>17</v>
      </c>
      <c r="U44" s="770">
        <f t="shared" si="13"/>
        <v>100</v>
      </c>
      <c r="V44" s="769" t="s">
        <v>17</v>
      </c>
      <c r="W44" s="770">
        <f t="shared" si="14"/>
        <v>100</v>
      </c>
      <c r="X44" s="771"/>
      <c r="Y44" s="3286"/>
      <c r="Z44" s="55">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84"/>
      <c r="Q45" s="1809">
        <f t="shared" si="11"/>
        <v>111</v>
      </c>
      <c r="R45" s="773" t="s">
        <v>17</v>
      </c>
      <c r="S45" s="774">
        <f t="shared" si="12"/>
        <v>100</v>
      </c>
      <c r="T45" s="773" t="s">
        <v>17</v>
      </c>
      <c r="U45" s="774">
        <f t="shared" si="13"/>
        <v>100</v>
      </c>
      <c r="V45" s="773" t="s">
        <v>17</v>
      </c>
      <c r="W45" s="774">
        <f t="shared" si="14"/>
        <v>100</v>
      </c>
      <c r="X45" s="1812"/>
      <c r="Y45" s="3286"/>
      <c r="Z45" s="1813">
        <f t="shared" si="15"/>
        <v>111</v>
      </c>
      <c r="AA45" s="1810">
        <f t="shared" si="3"/>
        <v>1</v>
      </c>
      <c r="AB45" s="1810">
        <f t="shared" si="4"/>
        <v>1</v>
      </c>
      <c r="AC45" s="1810">
        <f t="shared" si="5"/>
        <v>1</v>
      </c>
    </row>
    <row r="46" spans="1:29" ht="15.75" thickBot="1">
      <c r="A46" s="477"/>
      <c r="B46" s="2600">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85"/>
      <c r="Q46" s="1809">
        <f t="shared" si="11"/>
        <v>111</v>
      </c>
      <c r="R46" s="773" t="s">
        <v>17</v>
      </c>
      <c r="S46" s="774">
        <f t="shared" si="12"/>
        <v>100</v>
      </c>
      <c r="T46" s="773" t="s">
        <v>17</v>
      </c>
      <c r="U46" s="774">
        <f t="shared" si="13"/>
        <v>100</v>
      </c>
      <c r="V46" s="773" t="s">
        <v>17</v>
      </c>
      <c r="W46" s="774">
        <f t="shared" si="14"/>
        <v>100</v>
      </c>
      <c r="X46" s="1812"/>
      <c r="Y46" s="3287"/>
      <c r="Z46" s="1813">
        <f t="shared" si="15"/>
        <v>111</v>
      </c>
      <c r="AA46" s="1810">
        <f t="shared" si="3"/>
        <v>1</v>
      </c>
      <c r="AB46" s="1810">
        <f t="shared" si="4"/>
        <v>1</v>
      </c>
      <c r="AC46" s="1810">
        <f t="shared" si="5"/>
        <v>1</v>
      </c>
    </row>
    <row r="47" spans="1:29" ht="15">
      <c r="A47" s="478" t="s">
        <v>2571</v>
      </c>
      <c r="B47" s="479"/>
      <c r="C47" s="1406" t="s">
        <v>1</v>
      </c>
      <c r="D47" s="1407"/>
      <c r="E47" s="1408"/>
      <c r="F47" s="1409"/>
      <c r="G47" s="1410"/>
      <c r="H47" s="1411"/>
      <c r="I47" s="1408"/>
      <c r="J47" s="1411"/>
      <c r="K47" s="782"/>
      <c r="L47" s="1142"/>
      <c r="M47" s="1143"/>
      <c r="N47" s="1130"/>
      <c r="O47" s="1143"/>
      <c r="P47" s="3279" t="str">
        <f>A47</f>
        <v>成交单价（元/平方米）</v>
      </c>
      <c r="Q47" s="3279"/>
      <c r="R47" s="3310">
        <f>E47</f>
        <v>0</v>
      </c>
      <c r="S47" s="3310"/>
      <c r="T47" s="3310">
        <f>G47</f>
        <v>0</v>
      </c>
      <c r="U47" s="3310"/>
      <c r="V47" s="3310">
        <f>I47</f>
        <v>0</v>
      </c>
      <c r="W47" s="3310"/>
      <c r="X47" s="758"/>
      <c r="Y47" s="780"/>
      <c r="Z47" s="758"/>
      <c r="AA47" s="758"/>
      <c r="AB47" s="758"/>
      <c r="AC47" s="758"/>
    </row>
    <row r="48" spans="1:29" ht="15.75" thickBot="1">
      <c r="A48" s="485" t="s">
        <v>2663</v>
      </c>
      <c r="B48" s="486"/>
      <c r="C48" s="1412" t="e">
        <f>R49</f>
        <v>#DIV/0!</v>
      </c>
      <c r="D48" s="1413"/>
      <c r="E48" s="1414" t="e">
        <f>R48</f>
        <v>#DIV/0!</v>
      </c>
      <c r="F48" s="1414"/>
      <c r="G48" s="1412" t="e">
        <f>T48</f>
        <v>#DIV/0!</v>
      </c>
      <c r="H48" s="1413"/>
      <c r="I48" s="1414" t="e">
        <f>V48</f>
        <v>#DIV/0!</v>
      </c>
      <c r="J48" s="1413"/>
      <c r="K48" s="783"/>
      <c r="L48" s="1142"/>
      <c r="M48" s="1143"/>
      <c r="N48" s="1130"/>
      <c r="O48" s="1143"/>
      <c r="P48" s="3279" t="str">
        <f>A48</f>
        <v>比较价值（元/平方米）</v>
      </c>
      <c r="Q48" s="3279"/>
      <c r="R48" s="3280" t="e">
        <f>IF(F1="售价",ROUND(PRODUCT(R47,AA7:AA46),0),ROUND(PRODUCT(R47,AA7:AA46),1))</f>
        <v>#DIV/0!</v>
      </c>
      <c r="S48" s="3280"/>
      <c r="T48" s="3280" t="e">
        <f>IF(F1="售价",ROUND(PRODUCT(T47,AB7:AB46),0),ROUND(PRODUCT(T47,AB7:AB46),1))</f>
        <v>#DIV/0!</v>
      </c>
      <c r="U48" s="3280"/>
      <c r="V48" s="3280" t="e">
        <f>IF(F1="售价",ROUND(PRODUCT(V47,AC7:AC46),0),ROUND(PRODUCT(V47,AC7:AC46),1))</f>
        <v>#DIV/0!</v>
      </c>
      <c r="W48" s="3280"/>
      <c r="X48" s="758"/>
      <c r="Y48" s="758"/>
      <c r="Z48" s="758"/>
      <c r="AA48" s="758"/>
      <c r="AB48" s="758"/>
      <c r="AC48" s="758"/>
    </row>
    <row r="49" spans="1:29" ht="15.75" thickBot="1">
      <c r="A49" s="491" t="s">
        <v>2664</v>
      </c>
      <c r="B49" s="492"/>
      <c r="C49" s="1416" t="e">
        <f>R49</f>
        <v>#DIV/0!</v>
      </c>
      <c r="D49" s="1416"/>
      <c r="E49" s="1416"/>
      <c r="F49" s="1416"/>
      <c r="G49" s="1416"/>
      <c r="H49" s="1416"/>
      <c r="I49" s="1416"/>
      <c r="J49" s="1416"/>
      <c r="K49" s="784"/>
      <c r="L49" s="1142"/>
      <c r="M49" s="1143"/>
      <c r="N49" s="1130"/>
      <c r="O49" s="1143"/>
      <c r="P49" s="3276" t="str">
        <f>A49</f>
        <v>估价对象XX用房的比较价值（楼面单价，元/平方米）</v>
      </c>
      <c r="Q49" s="3277"/>
      <c r="R49" s="3278" t="e">
        <f>IF(F1="售价",ROUND(AVERAGE(R48:V48),0),ROUND(AVERAGE(R48:V48),1))</f>
        <v>#DIV/0!</v>
      </c>
      <c r="S49" s="3278"/>
      <c r="T49" s="3278"/>
      <c r="U49" s="3278"/>
      <c r="V49" s="3278"/>
      <c r="W49" s="3278"/>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2665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2666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2667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64"/>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4"/>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2668</v>
      </c>
      <c r="B57" s="758"/>
      <c r="C57" s="763"/>
      <c r="D57" s="763"/>
      <c r="E57" s="763"/>
      <c r="F57" s="764"/>
      <c r="G57" s="764"/>
      <c r="H57" s="763"/>
      <c r="I57" s="763"/>
      <c r="J57" s="763"/>
      <c r="K57" s="765"/>
      <c r="L57" s="1160"/>
      <c r="M57" s="1158"/>
      <c r="N57" s="1158"/>
      <c r="O57" s="1158"/>
      <c r="P57" s="2665"/>
      <c r="Q57" s="2666"/>
      <c r="R57" s="758"/>
      <c r="S57" s="758"/>
      <c r="T57" s="758"/>
      <c r="U57" s="758"/>
      <c r="V57" s="758"/>
      <c r="W57" s="758"/>
      <c r="X57" s="758"/>
      <c r="Y57" s="758"/>
      <c r="Z57" s="758"/>
      <c r="AA57" s="758"/>
      <c r="AB57" s="758"/>
      <c r="AC57" s="758"/>
    </row>
    <row r="58" spans="1:29" s="507" customFormat="1" ht="15">
      <c r="A58" s="504" t="s">
        <v>2542</v>
      </c>
      <c r="B58" s="505"/>
      <c r="C58" s="1573" t="str">
        <f>YEAR(C7)&amp;"-"&amp;MONTH(C7)</f>
        <v>2019-8</v>
      </c>
      <c r="D58" s="1574">
        <f>EDATE(C58,-1)</f>
        <v>43647</v>
      </c>
      <c r="E58" s="1574">
        <f t="shared" ref="E58:N58" si="16">EDATE(D58,-1)</f>
        <v>43617</v>
      </c>
      <c r="F58" s="1574">
        <f t="shared" si="16"/>
        <v>43586</v>
      </c>
      <c r="G58" s="1574">
        <f t="shared" si="16"/>
        <v>43556</v>
      </c>
      <c r="H58" s="1574">
        <f t="shared" si="16"/>
        <v>43525</v>
      </c>
      <c r="I58" s="1574">
        <f t="shared" si="16"/>
        <v>43497</v>
      </c>
      <c r="J58" s="1574">
        <f t="shared" si="16"/>
        <v>43466</v>
      </c>
      <c r="K58" s="1574">
        <f t="shared" si="16"/>
        <v>43435</v>
      </c>
      <c r="L58" s="1574">
        <f t="shared" si="16"/>
        <v>43405</v>
      </c>
      <c r="M58" s="1574">
        <f t="shared" si="16"/>
        <v>43374</v>
      </c>
      <c r="N58" s="1574">
        <f t="shared" si="16"/>
        <v>43344</v>
      </c>
      <c r="O58" s="1574">
        <f>EDATE(N58,-1)</f>
        <v>43313</v>
      </c>
      <c r="P58" s="1569"/>
    </row>
    <row r="59" spans="1:29" s="117" customFormat="1" ht="15">
      <c r="A59" s="508"/>
      <c r="B59" s="509"/>
      <c r="C59" s="1572">
        <v>100</v>
      </c>
      <c r="D59" s="511"/>
      <c r="E59" s="511"/>
      <c r="F59" s="511"/>
      <c r="G59" s="511"/>
      <c r="H59" s="511"/>
      <c r="I59" s="511"/>
      <c r="J59" s="511"/>
      <c r="K59" s="511"/>
      <c r="L59" s="511"/>
      <c r="M59" s="512"/>
      <c r="N59" s="511"/>
      <c r="O59" s="512"/>
      <c r="P59" s="2626"/>
    </row>
    <row r="60" spans="1:29" s="117" customFormat="1" ht="15.75" thickBot="1">
      <c r="A60" s="514" t="s">
        <v>2579</v>
      </c>
      <c r="B60" s="515"/>
      <c r="C60" s="516"/>
      <c r="D60" s="517"/>
      <c r="E60" s="517"/>
      <c r="F60" s="517"/>
      <c r="G60" s="517"/>
      <c r="H60" s="517"/>
      <c r="I60" s="517"/>
      <c r="J60" s="517"/>
      <c r="K60" s="517"/>
      <c r="L60" s="517"/>
      <c r="M60" s="518"/>
      <c r="N60" s="517"/>
      <c r="O60" s="518"/>
      <c r="P60" s="2626"/>
      <c r="Q60" s="503"/>
    </row>
    <row r="61" spans="1:29" s="117" customFormat="1" ht="15">
      <c r="A61" s="520" t="s">
        <v>2544</v>
      </c>
      <c r="B61" s="509"/>
      <c r="C61" s="521" t="s">
        <v>2646</v>
      </c>
      <c r="D61" s="522"/>
      <c r="E61" s="522"/>
      <c r="F61" s="522"/>
      <c r="G61" s="522"/>
      <c r="H61" s="522"/>
      <c r="I61" s="522"/>
      <c r="J61" s="522"/>
      <c r="K61" s="522"/>
      <c r="L61" s="523"/>
      <c r="M61" s="524"/>
      <c r="N61" s="1150"/>
      <c r="O61" s="1150"/>
      <c r="P61" s="2627"/>
      <c r="Q61" s="503"/>
    </row>
    <row r="62" spans="1:29" s="117" customFormat="1" ht="15.75" thickBot="1">
      <c r="A62" s="520"/>
      <c r="B62" s="509"/>
      <c r="C62" s="510">
        <v>100</v>
      </c>
      <c r="D62" s="511"/>
      <c r="E62" s="511"/>
      <c r="F62" s="511"/>
      <c r="G62" s="511"/>
      <c r="H62" s="511"/>
      <c r="I62" s="511"/>
      <c r="J62" s="511"/>
      <c r="K62" s="511"/>
      <c r="L62" s="511"/>
      <c r="M62" s="513"/>
      <c r="N62" s="1150"/>
      <c r="O62" s="1150"/>
      <c r="P62" s="2626"/>
      <c r="Q62" s="503"/>
    </row>
    <row r="63" spans="1:29">
      <c r="A63" s="526" t="s">
        <v>2582</v>
      </c>
      <c r="B63" s="527" t="s">
        <v>2548</v>
      </c>
      <c r="C63" s="528">
        <f>C9</f>
        <v>0</v>
      </c>
      <c r="D63" s="529"/>
      <c r="E63" s="529"/>
      <c r="F63" s="529"/>
      <c r="G63" s="529"/>
      <c r="H63" s="529"/>
      <c r="I63" s="529"/>
      <c r="J63" s="529"/>
      <c r="K63" s="530"/>
      <c r="L63" s="531"/>
      <c r="M63" s="532"/>
      <c r="N63" s="1151"/>
      <c r="O63" s="1151"/>
      <c r="P63" s="2628"/>
      <c r="Q63" s="503"/>
    </row>
    <row r="64" spans="1:29" ht="15.75" thickBot="1">
      <c r="A64" s="533"/>
      <c r="B64" s="534"/>
      <c r="C64" s="535">
        <v>100</v>
      </c>
      <c r="D64" s="535"/>
      <c r="E64" s="535"/>
      <c r="F64" s="535"/>
      <c r="G64" s="535"/>
      <c r="H64" s="535"/>
      <c r="I64" s="535"/>
      <c r="J64" s="535"/>
      <c r="K64" s="535"/>
      <c r="L64" s="535"/>
      <c r="M64" s="536"/>
      <c r="N64" s="1152"/>
      <c r="O64" s="1152"/>
      <c r="P64" s="2628"/>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1"/>
      <c r="O65" s="1151"/>
      <c r="P65" s="2628"/>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8"/>
      <c r="Q66" s="503"/>
    </row>
    <row r="67" spans="1:17" ht="15.75" thickTop="1">
      <c r="A67" s="533"/>
      <c r="B67" s="545" t="s">
        <v>2552</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8"/>
      <c r="Q67" s="503"/>
    </row>
    <row r="68" spans="1:17" ht="15">
      <c r="A68" s="533"/>
      <c r="B68" s="547"/>
      <c r="C68" s="548"/>
      <c r="D68" s="548"/>
      <c r="E68" s="548"/>
      <c r="F68" s="548"/>
      <c r="G68" s="548"/>
      <c r="H68" s="548"/>
      <c r="I68" s="548"/>
      <c r="J68" s="548"/>
      <c r="K68" s="549"/>
      <c r="L68" s="550"/>
      <c r="M68" s="551"/>
      <c r="N68" s="1151"/>
      <c r="O68" s="1151"/>
      <c r="P68" s="2628"/>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8"/>
      <c r="Q69" s="503"/>
    </row>
    <row r="70" spans="1:17" s="470" customFormat="1" ht="15.75" thickTop="1">
      <c r="A70" s="552"/>
      <c r="B70" s="537">
        <f>B12</f>
        <v>111</v>
      </c>
      <c r="C70" s="553"/>
      <c r="D70" s="553"/>
      <c r="E70" s="553"/>
      <c r="F70" s="553"/>
      <c r="G70" s="553"/>
      <c r="H70" s="554"/>
      <c r="I70" s="554"/>
      <c r="J70" s="554"/>
      <c r="K70" s="554"/>
      <c r="L70" s="555"/>
      <c r="M70" s="556"/>
      <c r="N70" s="1153"/>
      <c r="O70" s="1153"/>
      <c r="P70" s="2629"/>
      <c r="Q70" s="558"/>
    </row>
    <row r="71" spans="1:17" s="470" customFormat="1" ht="15.75" thickBot="1">
      <c r="A71" s="552"/>
      <c r="B71" s="542"/>
      <c r="C71" s="559"/>
      <c r="D71" s="535"/>
      <c r="E71" s="535"/>
      <c r="F71" s="535"/>
      <c r="G71" s="535"/>
      <c r="H71" s="535"/>
      <c r="I71" s="535"/>
      <c r="J71" s="535"/>
      <c r="K71" s="535"/>
      <c r="L71" s="535"/>
      <c r="M71" s="536"/>
      <c r="N71" s="1152"/>
      <c r="O71" s="1152"/>
      <c r="P71" s="2629"/>
      <c r="Q71" s="558"/>
    </row>
    <row r="72" spans="1:17" s="470" customFormat="1" ht="15.75" thickTop="1">
      <c r="A72" s="552"/>
      <c r="B72" s="537">
        <f>B13</f>
        <v>111</v>
      </c>
      <c r="C72" s="553"/>
      <c r="D72" s="553"/>
      <c r="E72" s="553"/>
      <c r="F72" s="553"/>
      <c r="G72" s="553"/>
      <c r="H72" s="554"/>
      <c r="I72" s="554"/>
      <c r="J72" s="554"/>
      <c r="K72" s="554"/>
      <c r="L72" s="555"/>
      <c r="M72" s="556"/>
      <c r="N72" s="1153"/>
      <c r="O72" s="1153"/>
      <c r="P72" s="2630"/>
      <c r="Q72" s="560"/>
    </row>
    <row r="73" spans="1:17" s="470" customFormat="1" ht="15.75" thickBot="1">
      <c r="A73" s="552"/>
      <c r="B73" s="542"/>
      <c r="C73" s="559"/>
      <c r="D73" s="535"/>
      <c r="E73" s="535"/>
      <c r="F73" s="535"/>
      <c r="G73" s="559"/>
      <c r="H73" s="561"/>
      <c r="I73" s="561"/>
      <c r="J73" s="561"/>
      <c r="K73" s="561"/>
      <c r="L73" s="561"/>
      <c r="M73" s="562"/>
      <c r="N73" s="1153"/>
      <c r="O73" s="1153"/>
      <c r="P73" s="2629"/>
      <c r="Q73" s="558"/>
    </row>
    <row r="74" spans="1:17" s="470" customFormat="1" ht="15.75" thickTop="1">
      <c r="A74" s="552"/>
      <c r="B74" s="545">
        <f>B14</f>
        <v>111</v>
      </c>
      <c r="C74" s="553"/>
      <c r="D74" s="553"/>
      <c r="E74" s="553"/>
      <c r="F74" s="553"/>
      <c r="G74" s="522"/>
      <c r="H74" s="563"/>
      <c r="I74" s="563"/>
      <c r="J74" s="563"/>
      <c r="K74" s="563"/>
      <c r="L74" s="564"/>
      <c r="M74" s="565"/>
      <c r="N74" s="1153"/>
      <c r="O74" s="1153"/>
      <c r="P74" s="2631"/>
      <c r="Q74" s="558"/>
    </row>
    <row r="75" spans="1:17" s="470" customFormat="1" ht="15.75" thickBot="1">
      <c r="A75" s="567"/>
      <c r="B75" s="568"/>
      <c r="C75" s="569"/>
      <c r="D75" s="569"/>
      <c r="E75" s="569"/>
      <c r="F75" s="569"/>
      <c r="G75" s="569"/>
      <c r="H75" s="570"/>
      <c r="I75" s="570"/>
      <c r="J75" s="570"/>
      <c r="K75" s="570"/>
      <c r="L75" s="570"/>
      <c r="M75" s="571"/>
      <c r="N75" s="1153"/>
      <c r="O75" s="1153"/>
      <c r="P75" s="2629"/>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1"/>
      <c r="O76" s="1151"/>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8"/>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1"/>
      <c r="O78" s="1151"/>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8"/>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1"/>
      <c r="O80" s="1151"/>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8"/>
      <c r="Q81" s="503"/>
    </row>
    <row r="82" spans="1:17" ht="15.75" thickTop="1">
      <c r="A82" s="533"/>
      <c r="B82" s="545" t="s">
        <v>2649</v>
      </c>
      <c r="C82" s="659" t="s">
        <v>2669</v>
      </c>
      <c r="D82" s="659" t="s">
        <v>2670</v>
      </c>
      <c r="E82" s="659" t="s">
        <v>2671</v>
      </c>
      <c r="F82" s="659" t="s">
        <v>2672</v>
      </c>
      <c r="G82" s="659" t="s">
        <v>2673</v>
      </c>
      <c r="H82" s="538"/>
      <c r="I82" s="538"/>
      <c r="J82" s="538"/>
      <c r="K82" s="538"/>
      <c r="L82" s="538"/>
      <c r="M82" s="1381"/>
      <c r="N82" s="1152"/>
      <c r="O82" s="1152"/>
      <c r="P82" s="2628"/>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8"/>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1"/>
      <c r="O84" s="1151"/>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8"/>
      <c r="Q85" s="503"/>
    </row>
    <row r="86" spans="1:17" s="117" customFormat="1" ht="15.75" thickTop="1">
      <c r="A86" s="578"/>
      <c r="B86" s="537" t="s">
        <v>2674</v>
      </c>
      <c r="C86" s="553"/>
      <c r="D86" s="553"/>
      <c r="E86" s="553"/>
      <c r="F86" s="553"/>
      <c r="G86" s="553"/>
      <c r="H86" s="553"/>
      <c r="I86" s="553"/>
      <c r="J86" s="553"/>
      <c r="K86" s="553"/>
      <c r="L86" s="579"/>
      <c r="M86" s="580"/>
      <c r="N86" s="1150"/>
      <c r="O86" s="1150"/>
      <c r="P86" s="2628"/>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28"/>
      <c r="Q87" s="503"/>
    </row>
    <row r="88" spans="1:17" s="117" customFormat="1" ht="15.75" thickTop="1">
      <c r="A88" s="578"/>
      <c r="B88" s="537" t="str">
        <f>B26</f>
        <v>平面位置/可视性</v>
      </c>
      <c r="C88" s="553"/>
      <c r="D88" s="553"/>
      <c r="E88" s="553"/>
      <c r="F88" s="2633"/>
      <c r="G88" s="553"/>
      <c r="H88" s="553"/>
      <c r="I88" s="553"/>
      <c r="J88" s="553"/>
      <c r="K88" s="553"/>
      <c r="L88" s="553"/>
      <c r="M88" s="580"/>
      <c r="N88" s="1150"/>
      <c r="O88" s="1150"/>
      <c r="P88" s="2628"/>
      <c r="Q88" s="503"/>
    </row>
    <row r="89" spans="1:17" s="117" customFormat="1" ht="15.75" thickBot="1">
      <c r="A89" s="578"/>
      <c r="B89" s="542"/>
      <c r="C89" s="559"/>
      <c r="D89" s="535"/>
      <c r="E89" s="535"/>
      <c r="F89" s="535"/>
      <c r="G89" s="535"/>
      <c r="H89" s="535"/>
      <c r="I89" s="535"/>
      <c r="J89" s="535"/>
      <c r="K89" s="535"/>
      <c r="L89" s="535"/>
      <c r="M89" s="535"/>
      <c r="N89" s="1152"/>
      <c r="O89" s="1152"/>
      <c r="P89" s="2628"/>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29"/>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29"/>
      <c r="Q91" s="558"/>
    </row>
    <row r="92" spans="1:17" ht="15.75" thickTop="1">
      <c r="A92" s="533"/>
      <c r="B92" s="537" t="str">
        <f>B28</f>
        <v>楼层</v>
      </c>
      <c r="C92" s="553"/>
      <c r="D92" s="553"/>
      <c r="E92" s="553"/>
      <c r="F92" s="553"/>
      <c r="G92" s="553"/>
      <c r="H92" s="553"/>
      <c r="I92" s="553"/>
      <c r="J92" s="553"/>
      <c r="K92" s="553"/>
      <c r="L92" s="579"/>
      <c r="M92" s="580"/>
      <c r="N92" s="1151"/>
      <c r="O92" s="1151"/>
      <c r="P92" s="2628"/>
      <c r="Q92" s="503"/>
    </row>
    <row r="93" spans="1:17" ht="15.75" thickBot="1">
      <c r="A93" s="533"/>
      <c r="B93" s="542"/>
      <c r="C93" s="535"/>
      <c r="D93" s="535"/>
      <c r="E93" s="535"/>
      <c r="F93" s="535"/>
      <c r="G93" s="535"/>
      <c r="H93" s="535"/>
      <c r="I93" s="535"/>
      <c r="J93" s="535"/>
      <c r="K93" s="535"/>
      <c r="L93" s="535"/>
      <c r="M93" s="536"/>
      <c r="N93" s="1152"/>
      <c r="O93" s="1152"/>
      <c r="P93" s="2628"/>
      <c r="Q93" s="503"/>
    </row>
    <row r="94" spans="1:17" ht="15.75" thickTop="1">
      <c r="A94" s="533"/>
      <c r="B94" s="537">
        <f>B29</f>
        <v>111</v>
      </c>
      <c r="C94" s="553"/>
      <c r="D94" s="553"/>
      <c r="E94" s="553"/>
      <c r="F94" s="553"/>
      <c r="G94" s="582"/>
      <c r="H94" s="582"/>
      <c r="I94" s="582"/>
      <c r="J94" s="582"/>
      <c r="K94" s="583"/>
      <c r="L94" s="584"/>
      <c r="M94" s="585"/>
      <c r="N94" s="1151"/>
      <c r="O94" s="1151"/>
      <c r="P94" s="2628"/>
      <c r="Q94" s="503"/>
    </row>
    <row r="95" spans="1:17" ht="15.75" thickBot="1">
      <c r="A95" s="533"/>
      <c r="B95" s="542"/>
      <c r="C95" s="559"/>
      <c r="D95" s="535"/>
      <c r="E95" s="535"/>
      <c r="F95" s="535"/>
      <c r="G95" s="535"/>
      <c r="H95" s="535"/>
      <c r="I95" s="535"/>
      <c r="J95" s="535"/>
      <c r="K95" s="535"/>
      <c r="L95" s="535"/>
      <c r="M95" s="536"/>
      <c r="N95" s="1152"/>
      <c r="O95" s="1152"/>
      <c r="P95" s="2628"/>
      <c r="Q95" s="503"/>
    </row>
    <row r="96" spans="1:17" ht="15.75" thickTop="1">
      <c r="A96" s="533"/>
      <c r="B96" s="537">
        <f>B30</f>
        <v>111</v>
      </c>
      <c r="C96" s="553"/>
      <c r="D96" s="553"/>
      <c r="E96" s="553"/>
      <c r="F96" s="553"/>
      <c r="G96" s="582"/>
      <c r="H96" s="582"/>
      <c r="I96" s="582"/>
      <c r="J96" s="582"/>
      <c r="K96" s="583"/>
      <c r="L96" s="584"/>
      <c r="M96" s="585"/>
      <c r="N96" s="1151"/>
      <c r="O96" s="1151"/>
      <c r="P96" s="2628"/>
      <c r="Q96" s="503"/>
    </row>
    <row r="97" spans="1:17" ht="15.75" thickBot="1">
      <c r="A97" s="533"/>
      <c r="B97" s="542"/>
      <c r="C97" s="559"/>
      <c r="D97" s="535"/>
      <c r="E97" s="535"/>
      <c r="F97" s="535"/>
      <c r="G97" s="535"/>
      <c r="H97" s="535"/>
      <c r="I97" s="535"/>
      <c r="J97" s="535"/>
      <c r="K97" s="535"/>
      <c r="L97" s="535"/>
      <c r="M97" s="536"/>
      <c r="N97" s="1152"/>
      <c r="O97" s="1152"/>
      <c r="P97" s="2628"/>
      <c r="Q97" s="503"/>
    </row>
    <row r="98" spans="1:17" ht="15.75" thickTop="1">
      <c r="A98" s="533"/>
      <c r="B98" s="545">
        <f>B31</f>
        <v>111</v>
      </c>
      <c r="C98" s="553"/>
      <c r="D98" s="553"/>
      <c r="E98" s="553"/>
      <c r="F98" s="553"/>
      <c r="G98" s="586"/>
      <c r="H98" s="586"/>
      <c r="I98" s="586"/>
      <c r="J98" s="586"/>
      <c r="K98" s="587"/>
      <c r="L98" s="588"/>
      <c r="M98" s="589"/>
      <c r="N98" s="1151"/>
      <c r="O98" s="1151"/>
      <c r="P98" s="2628"/>
      <c r="Q98" s="503"/>
    </row>
    <row r="99" spans="1:17" ht="15.75" thickBot="1">
      <c r="A99" s="2634"/>
      <c r="B99" s="568"/>
      <c r="C99" s="569"/>
      <c r="D99" s="569"/>
      <c r="E99" s="569"/>
      <c r="F99" s="569"/>
      <c r="G99" s="590"/>
      <c r="H99" s="590"/>
      <c r="I99" s="590"/>
      <c r="J99" s="590"/>
      <c r="K99" s="590"/>
      <c r="L99" s="590"/>
      <c r="M99" s="591"/>
      <c r="N99" s="1152"/>
      <c r="O99" s="1152"/>
      <c r="P99" s="2628"/>
      <c r="Q99" s="503"/>
    </row>
    <row r="100" spans="1:17">
      <c r="A100" s="526" t="s">
        <v>2557</v>
      </c>
      <c r="B100" s="527" t="s">
        <v>2675</v>
      </c>
      <c r="C100" s="529"/>
      <c r="D100" s="529"/>
      <c r="E100" s="529"/>
      <c r="F100" s="529"/>
      <c r="G100" s="529"/>
      <c r="H100" s="529"/>
      <c r="I100" s="529"/>
      <c r="J100" s="529"/>
      <c r="K100" s="530"/>
      <c r="L100" s="531"/>
      <c r="M100" s="532"/>
      <c r="N100" s="1151"/>
      <c r="O100" s="1151"/>
      <c r="P100" s="2628"/>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28"/>
      <c r="Q101" s="503"/>
    </row>
    <row r="102" spans="1:17" ht="15.75" thickTop="1">
      <c r="A102" s="533"/>
      <c r="B102" s="537" t="s">
        <v>2607</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28"/>
      <c r="Q102" s="503"/>
    </row>
    <row r="103" spans="1:17" s="470" customFormat="1">
      <c r="A103" s="592"/>
      <c r="B103" s="593"/>
      <c r="C103" s="594"/>
      <c r="D103" s="594"/>
      <c r="E103" s="594"/>
      <c r="F103" s="594"/>
      <c r="G103" s="594"/>
      <c r="H103" s="594"/>
      <c r="I103" s="594"/>
      <c r="J103" s="595"/>
      <c r="K103" s="595"/>
      <c r="L103" s="596"/>
      <c r="M103" s="597"/>
      <c r="N103" s="1153"/>
      <c r="O103" s="1153"/>
      <c r="P103" s="2629"/>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29"/>
      <c r="Q104" s="558"/>
    </row>
    <row r="105" spans="1:17" ht="15" thickTop="1">
      <c r="A105" s="598"/>
      <c r="B105" s="537" t="s">
        <v>2608</v>
      </c>
      <c r="C105" s="553"/>
      <c r="D105" s="553"/>
      <c r="E105" s="582"/>
      <c r="F105" s="582"/>
      <c r="G105" s="582"/>
      <c r="H105" s="582"/>
      <c r="I105" s="582"/>
      <c r="J105" s="582"/>
      <c r="K105" s="583"/>
      <c r="L105" s="584"/>
      <c r="M105" s="585"/>
      <c r="N105" s="1151"/>
      <c r="O105" s="1151"/>
      <c r="P105" s="2628"/>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28"/>
      <c r="Q106" s="503"/>
    </row>
    <row r="107" spans="1:17" ht="15" thickTop="1">
      <c r="A107" s="598"/>
      <c r="B107" s="537" t="s">
        <v>2610</v>
      </c>
      <c r="C107" s="553"/>
      <c r="D107" s="553"/>
      <c r="E107" s="553"/>
      <c r="F107" s="582"/>
      <c r="G107" s="582"/>
      <c r="H107" s="582"/>
      <c r="I107" s="582"/>
      <c r="J107" s="582"/>
      <c r="K107" s="583"/>
      <c r="L107" s="584"/>
      <c r="M107" s="585"/>
      <c r="N107" s="1151"/>
      <c r="O107" s="1151"/>
      <c r="P107" s="2628"/>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28"/>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8"/>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8"/>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28"/>
      <c r="Q111" s="503"/>
    </row>
    <row r="112" spans="1:17" s="470" customFormat="1" ht="15" thickTop="1">
      <c r="A112" s="592"/>
      <c r="B112" s="537" t="s">
        <v>2612</v>
      </c>
      <c r="C112" s="553"/>
      <c r="D112" s="553"/>
      <c r="E112" s="553"/>
      <c r="F112" s="553"/>
      <c r="G112" s="553"/>
      <c r="H112" s="582"/>
      <c r="I112" s="582"/>
      <c r="J112" s="582"/>
      <c r="K112" s="583"/>
      <c r="L112" s="584"/>
      <c r="M112" s="585"/>
      <c r="N112" s="1153"/>
      <c r="O112" s="1153"/>
      <c r="P112" s="2629"/>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29"/>
      <c r="Q113" s="558"/>
    </row>
    <row r="114" spans="1:17" ht="15" thickTop="1">
      <c r="A114" s="598"/>
      <c r="B114" s="537" t="s">
        <v>2676</v>
      </c>
      <c r="C114" s="553"/>
      <c r="D114" s="553"/>
      <c r="E114" s="582"/>
      <c r="F114" s="582"/>
      <c r="G114" s="582"/>
      <c r="H114" s="582"/>
      <c r="I114" s="582"/>
      <c r="J114" s="582"/>
      <c r="K114" s="583"/>
      <c r="L114" s="584"/>
      <c r="M114" s="585"/>
      <c r="N114" s="1151"/>
      <c r="O114" s="1151"/>
      <c r="P114" s="2628"/>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28"/>
      <c r="Q115" s="503"/>
    </row>
    <row r="116" spans="1:17" ht="15" thickTop="1">
      <c r="A116" s="598"/>
      <c r="B116" s="537" t="s">
        <v>2677</v>
      </c>
      <c r="C116" s="553"/>
      <c r="D116" s="553"/>
      <c r="E116" s="553"/>
      <c r="F116" s="553"/>
      <c r="G116" s="553"/>
      <c r="H116" s="582"/>
      <c r="I116" s="582"/>
      <c r="J116" s="582"/>
      <c r="K116" s="583"/>
      <c r="L116" s="584"/>
      <c r="M116" s="585"/>
      <c r="N116" s="1151"/>
      <c r="O116" s="1151"/>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8"/>
      <c r="Q117" s="503"/>
    </row>
    <row r="118" spans="1:17" ht="15" thickTop="1">
      <c r="A118" s="598"/>
      <c r="B118" s="537" t="s">
        <v>2678</v>
      </c>
      <c r="C118" s="626"/>
      <c r="D118" s="626"/>
      <c r="E118" s="626"/>
      <c r="F118" s="626"/>
      <c r="G118" s="626"/>
      <c r="H118" s="554"/>
      <c r="I118" s="554"/>
      <c r="J118" s="554"/>
      <c r="K118" s="554"/>
      <c r="L118" s="555"/>
      <c r="M118" s="556"/>
      <c r="N118" s="1151"/>
      <c r="O118" s="1151"/>
      <c r="P118" s="2628"/>
      <c r="Q118" s="503"/>
    </row>
    <row r="119" spans="1:17" ht="15.75" thickBot="1">
      <c r="A119" s="533"/>
      <c r="B119" s="542"/>
      <c r="C119" s="559"/>
      <c r="D119" s="535"/>
      <c r="E119" s="535"/>
      <c r="F119" s="535"/>
      <c r="G119" s="535"/>
      <c r="H119" s="535"/>
      <c r="I119" s="535"/>
      <c r="J119" s="535"/>
      <c r="K119" s="535"/>
      <c r="L119" s="535"/>
      <c r="M119" s="536"/>
      <c r="N119" s="1152"/>
      <c r="O119" s="1152"/>
      <c r="P119" s="2628"/>
      <c r="Q119" s="503"/>
    </row>
    <row r="120" spans="1:17" s="470" customFormat="1" ht="15" thickTop="1">
      <c r="A120" s="592"/>
      <c r="B120" s="537" t="s">
        <v>2679</v>
      </c>
      <c r="C120" s="582"/>
      <c r="D120" s="582"/>
      <c r="E120" s="582"/>
      <c r="F120" s="582"/>
      <c r="G120" s="554"/>
      <c r="H120" s="554"/>
      <c r="I120" s="554"/>
      <c r="J120" s="554"/>
      <c r="K120" s="554"/>
      <c r="L120" s="555"/>
      <c r="M120" s="556"/>
      <c r="N120" s="1153"/>
      <c r="O120" s="1153"/>
      <c r="P120" s="2629"/>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29"/>
      <c r="Q121" s="558"/>
    </row>
    <row r="122" spans="1:17" ht="15" thickTop="1">
      <c r="A122" s="598"/>
      <c r="B122" s="537" t="s">
        <v>2614</v>
      </c>
      <c r="C122" s="553"/>
      <c r="D122" s="553"/>
      <c r="E122" s="553"/>
      <c r="F122" s="582"/>
      <c r="G122" s="582"/>
      <c r="H122" s="582"/>
      <c r="I122" s="582"/>
      <c r="J122" s="582"/>
      <c r="K122" s="583"/>
      <c r="L122" s="584"/>
      <c r="M122" s="585"/>
      <c r="N122" s="1151"/>
      <c r="O122" s="1151"/>
      <c r="P122" s="2628"/>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28"/>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1"/>
      <c r="O124" s="1151"/>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8"/>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9"/>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9"/>
      <c r="Q127" s="558"/>
    </row>
    <row r="128" spans="1:17" ht="15" thickTop="1">
      <c r="A128" s="598"/>
      <c r="B128" s="537">
        <f>B45</f>
        <v>111</v>
      </c>
      <c r="C128" s="553"/>
      <c r="D128" s="553"/>
      <c r="E128" s="553"/>
      <c r="F128" s="553"/>
      <c r="G128" s="582"/>
      <c r="H128" s="582"/>
      <c r="I128" s="582"/>
      <c r="J128" s="582"/>
      <c r="K128" s="583"/>
      <c r="L128" s="584"/>
      <c r="M128" s="585"/>
      <c r="N128" s="1151"/>
      <c r="O128" s="1151"/>
      <c r="P128" s="2628"/>
      <c r="Q128" s="503"/>
    </row>
    <row r="129" spans="1:17" ht="15.75" thickBot="1">
      <c r="A129" s="533"/>
      <c r="B129" s="542"/>
      <c r="C129" s="559"/>
      <c r="D129" s="535"/>
      <c r="E129" s="535"/>
      <c r="F129" s="535"/>
      <c r="G129" s="535"/>
      <c r="H129" s="535"/>
      <c r="I129" s="535"/>
      <c r="J129" s="535"/>
      <c r="K129" s="535"/>
      <c r="L129" s="535"/>
      <c r="M129" s="536"/>
      <c r="N129" s="1152"/>
      <c r="O129" s="1152"/>
      <c r="P129" s="2628"/>
      <c r="Q129" s="503"/>
    </row>
    <row r="130" spans="1:17" ht="15" thickTop="1">
      <c r="A130" s="598"/>
      <c r="B130" s="545">
        <f>B46</f>
        <v>111</v>
      </c>
      <c r="C130" s="553"/>
      <c r="D130" s="553"/>
      <c r="E130" s="553"/>
      <c r="F130" s="553"/>
      <c r="G130" s="586"/>
      <c r="H130" s="586"/>
      <c r="I130" s="586"/>
      <c r="J130" s="586"/>
      <c r="K130" s="522"/>
      <c r="L130" s="523"/>
      <c r="M130" s="589"/>
      <c r="N130" s="1151"/>
      <c r="O130" s="1151"/>
      <c r="P130" s="2628"/>
      <c r="Q130" s="503"/>
    </row>
    <row r="131" spans="1:17" ht="15.75" thickBot="1">
      <c r="A131" s="2634"/>
      <c r="B131" s="568"/>
      <c r="C131" s="569"/>
      <c r="D131" s="569"/>
      <c r="E131" s="569"/>
      <c r="F131" s="569"/>
      <c r="G131" s="590"/>
      <c r="H131" s="590"/>
      <c r="I131" s="590"/>
      <c r="J131" s="590"/>
      <c r="K131" s="590"/>
      <c r="L131" s="590"/>
      <c r="M131" s="591"/>
      <c r="N131" s="1152"/>
      <c r="O131" s="1152"/>
      <c r="P131" s="2628"/>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3"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1605</v>
      </c>
    </row>
    <row r="2" spans="1:1">
      <c r="A2" s="1944"/>
    </row>
    <row r="3" spans="1:1" ht="18">
      <c r="A3" s="1945" t="str">
        <f>项目基本情况!B5&amp;"："</f>
        <v>北京林海滩商贸有限公司：</v>
      </c>
    </row>
    <row r="4" spans="1:1" ht="36">
      <c r="A4" s="1946" t="str">
        <f>"受贵公司委托，我公司对"&amp;项目基本情况!S1&amp;"进行了预评估。"</f>
        <v>受贵公司委托，我公司对北京市通州区永乐南一街9号院1号楼等7幢楼房地产抵押价值进行了预评估。</v>
      </c>
    </row>
    <row r="5" spans="1:1" ht="18.75">
      <c r="A5" s="1947" t="s">
        <v>1606</v>
      </c>
    </row>
    <row r="6" spans="1:1" ht="18.75">
      <c r="A6" s="1948" t="s">
        <v>1607</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永乐南一街9号院1号楼等7幢楼房地产，为北京林海滩商贸有限公司所有。根据《国有土地使用证》[]，估价对象（分摊）出让国有建设用地使用权面积为86905.92平方米，建筑面积为83329.15平方米。</v>
      </c>
    </row>
    <row r="8" spans="1:1" ht="57.75">
      <c r="A8" s="1949" t="s">
        <v>1608</v>
      </c>
    </row>
    <row r="9" spans="1:1" ht="18.75">
      <c r="A9" s="1948" t="s">
        <v>1609</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永乐南一街9号院1号楼等7幢楼房地产,属北京林海滩商贸有限公司开发建设的，该项目尚在开发建设中。根据《国有土地使用证》[]，估价对象（分摊）出让国有建设用地使用权面积为86905.92平方米，规划建筑面积为83329.15平方米。</v>
      </c>
    </row>
    <row r="11" spans="1:1" ht="76.5">
      <c r="A11" s="1949" t="s">
        <v>1610</v>
      </c>
    </row>
    <row r="12" spans="1:1" ht="18.75">
      <c r="A12" s="1947" t="s">
        <v>1611</v>
      </c>
    </row>
    <row r="13" spans="1:1" ht="38.25" customHeight="1">
      <c r="A13" s="1950" t="str">
        <f>IF(项目基本情况!B8="抵押",IF(项目基本情况!B5=项目基本情况!B6,定义!C51,定义!B51),定义!D51)</f>
        <v>为估价委托人在向招商银行办理贷款手续过程中，确定房地产抵押贷款额度提供参考依据而评估房地产抵押价值。</v>
      </c>
    </row>
    <row r="14" spans="1:1" ht="18.75">
      <c r="A14" s="1951" t="s">
        <v>1612</v>
      </c>
    </row>
    <row r="15" spans="1:1" ht="18">
      <c r="A15" s="1952" t="str">
        <f>TEXT(项目基本情况!D3,"yyyy年m月d日;;")&amp;IF(项目基本情况!D3=项目基本情况!B3,"（评估专业人员实地查勘之日）","")</f>
        <v>2019年8月14日（评估专业人员实地查勘之日）</v>
      </c>
    </row>
    <row r="16" spans="1:1" ht="18.75">
      <c r="A16" s="1951" t="s">
        <v>1613</v>
      </c>
    </row>
    <row r="17" spans="1:1" ht="75">
      <c r="A17" s="1946" t="s">
        <v>1614</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14日，估价对象规划用途为工业厂房，土地取得方式为出让，出让国有建设用地使用权剩余土地使用年限为工业28.36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厂房，实际开发程度为宗地红线外“七通”（即、、、、、、）、红线内场地平整条件下，剩余土地使用年限为工业28.36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1603</v>
      </c>
    </row>
    <row r="24" spans="1:1" ht="18">
      <c r="A24" s="1953" t="str">
        <f>"本次评估采用的主估价方法为"&amp;结果表!K4&amp;"和"&amp;结果表!L4&amp;"。"</f>
        <v>本次评估采用的主估价方法为成本法和收益法。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9"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2522</v>
      </c>
      <c r="B1" s="2667" t="s">
        <v>2680</v>
      </c>
      <c r="C1" s="1619" t="s">
        <v>2524</v>
      </c>
      <c r="D1" s="1620"/>
      <c r="E1" s="1629"/>
      <c r="F1" s="2582"/>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2321</v>
      </c>
      <c r="B2" s="1417" t="e">
        <f ca="1">IF(C2="——",ROUND(C50*D3/10000,0),ROUND(C50*D3/10000,0)-D2)</f>
        <v>#DIV/0!</v>
      </c>
      <c r="C2" s="2584"/>
      <c r="D2" s="1364" t="e">
        <f ca="1">SUMIF(INDIRECT("'"&amp;F2&amp;"'"&amp;"!A:A"),"承租人权益价值",INDIRECT("'"&amp;F2&amp;"'"&amp;"!c:c"))</f>
        <v>#REF!</v>
      </c>
      <c r="E2" s="2585" t="s">
        <v>2322</v>
      </c>
      <c r="F2" s="2586"/>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2323</v>
      </c>
      <c r="B3" s="608" t="e">
        <f ca="1">IF(C2="——",C50,ROUND(B2*10000/D3,0))</f>
        <v>#DIV/0!</v>
      </c>
      <c r="C3" s="399" t="s">
        <v>2638</v>
      </c>
      <c r="D3" s="398">
        <f>IF(D1="",'数据-汇总表'!E3,SUMIF('数据-汇总表'!$C19:$C33,D1,'数据-汇总表'!$E19:$E33))</f>
        <v>83329.149999999994</v>
      </c>
      <c r="E3" s="2661"/>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2639</v>
      </c>
      <c r="B4" s="401"/>
      <c r="C4" s="3294" t="s">
        <v>2640</v>
      </c>
      <c r="D4" s="3295"/>
      <c r="E4" s="3296" t="s">
        <v>2641</v>
      </c>
      <c r="F4" s="3297"/>
      <c r="G4" s="3294" t="s">
        <v>2642</v>
      </c>
      <c r="H4" s="3295"/>
      <c r="I4" s="3294" t="s">
        <v>2643</v>
      </c>
      <c r="J4" s="3295"/>
      <c r="K4" s="609" t="s">
        <v>2644</v>
      </c>
      <c r="L4" s="1129"/>
      <c r="M4" s="1130"/>
      <c r="N4" s="1130"/>
      <c r="O4" s="1130"/>
      <c r="P4" s="3328" t="s">
        <v>2645</v>
      </c>
      <c r="Q4" s="3329"/>
      <c r="R4" s="3332" t="s">
        <v>2641</v>
      </c>
      <c r="S4" s="3333"/>
      <c r="T4" s="3332" t="s">
        <v>2642</v>
      </c>
      <c r="U4" s="3333"/>
      <c r="V4" s="3334" t="s">
        <v>2643</v>
      </c>
      <c r="W4" s="3334"/>
      <c r="X4" s="2668"/>
      <c r="Y4" s="3332" t="s">
        <v>2645</v>
      </c>
      <c r="Z4" s="3333"/>
      <c r="AA4" s="3336" t="s">
        <v>2641</v>
      </c>
      <c r="AB4" s="3336" t="s">
        <v>2642</v>
      </c>
      <c r="AC4" s="3325" t="s">
        <v>2643</v>
      </c>
    </row>
    <row r="5" spans="1:29" ht="15">
      <c r="A5" s="403"/>
      <c r="B5" s="404"/>
      <c r="C5" s="3313" t="s">
        <v>2536</v>
      </c>
      <c r="D5" s="3314"/>
      <c r="E5" s="3320" t="s">
        <v>2537</v>
      </c>
      <c r="F5" s="3321"/>
      <c r="G5" s="3313" t="s">
        <v>2538</v>
      </c>
      <c r="H5" s="3314"/>
      <c r="I5" s="3313" t="s">
        <v>2539</v>
      </c>
      <c r="J5" s="3314"/>
      <c r="K5" s="609"/>
      <c r="L5" s="1129"/>
      <c r="M5" s="1130"/>
      <c r="N5" s="1130"/>
      <c r="O5" s="1130"/>
      <c r="P5" s="3330"/>
      <c r="Q5" s="3301"/>
      <c r="R5" s="3306"/>
      <c r="S5" s="3307"/>
      <c r="T5" s="3306"/>
      <c r="U5" s="3307"/>
      <c r="V5" s="3310"/>
      <c r="W5" s="3310"/>
      <c r="X5" s="1812"/>
      <c r="Y5" s="3306"/>
      <c r="Z5" s="3307"/>
      <c r="AA5" s="3292"/>
      <c r="AB5" s="3292"/>
      <c r="AC5" s="3326"/>
    </row>
    <row r="6" spans="1:29" ht="15.75" thickBot="1">
      <c r="A6" s="405"/>
      <c r="B6" s="406"/>
      <c r="C6" s="3311" t="s">
        <v>2540</v>
      </c>
      <c r="D6" s="3312"/>
      <c r="E6" s="3318" t="s">
        <v>2540</v>
      </c>
      <c r="F6" s="3319"/>
      <c r="G6" s="3311" t="s">
        <v>2540</v>
      </c>
      <c r="H6" s="3312"/>
      <c r="I6" s="3311" t="s">
        <v>2540</v>
      </c>
      <c r="J6" s="3312"/>
      <c r="K6" s="609" t="s">
        <v>2541</v>
      </c>
      <c r="L6" s="1129"/>
      <c r="M6" s="1130"/>
      <c r="N6" s="1130"/>
      <c r="O6" s="1130"/>
      <c r="P6" s="3331"/>
      <c r="Q6" s="3303"/>
      <c r="R6" s="3306"/>
      <c r="S6" s="3307"/>
      <c r="T6" s="3308"/>
      <c r="U6" s="3309"/>
      <c r="V6" s="3310"/>
      <c r="W6" s="3310"/>
      <c r="X6" s="1812"/>
      <c r="Y6" s="3308"/>
      <c r="Z6" s="3309"/>
      <c r="AA6" s="3293"/>
      <c r="AB6" s="3293"/>
      <c r="AC6" s="3327"/>
    </row>
    <row r="7" spans="1:29" s="117" customFormat="1" ht="15.75" thickBot="1">
      <c r="A7" s="407" t="s">
        <v>2542</v>
      </c>
      <c r="B7" s="408"/>
      <c r="C7" s="409">
        <f>'数据-取费表'!B2</f>
        <v>43691</v>
      </c>
      <c r="D7" s="410">
        <v>100</v>
      </c>
      <c r="E7" s="411"/>
      <c r="F7" s="412">
        <f>SUMIF(59:59,YEAR(E7)&amp;"-"&amp;MONTH(E7),60:60)</f>
        <v>0</v>
      </c>
      <c r="G7" s="411"/>
      <c r="H7" s="410">
        <f>SUMIF(59:59,YEAR(G7)&amp;"-"&amp;MONTH(G7),60:60)</f>
        <v>0</v>
      </c>
      <c r="I7" s="411"/>
      <c r="J7" s="410">
        <f>SUMIF(59:59,YEAR(I7)&amp;"-"&amp;MONTH(I7),60:60)</f>
        <v>0</v>
      </c>
      <c r="K7" s="610"/>
      <c r="L7" s="1131"/>
      <c r="M7" s="1132"/>
      <c r="N7" s="1132"/>
      <c r="O7" s="1132"/>
      <c r="P7" s="3335" t="s">
        <v>2543</v>
      </c>
      <c r="Q7" s="3317"/>
      <c r="R7" s="769" t="s">
        <v>17</v>
      </c>
      <c r="S7" s="770">
        <f t="shared" ref="S7:S15" si="0">F7</f>
        <v>0</v>
      </c>
      <c r="T7" s="769" t="s">
        <v>17</v>
      </c>
      <c r="U7" s="770">
        <f t="shared" ref="U7:U15" si="1">H7</f>
        <v>0</v>
      </c>
      <c r="V7" s="769" t="s">
        <v>17</v>
      </c>
      <c r="W7" s="770">
        <f t="shared" ref="W7:W15" si="2">J7</f>
        <v>0</v>
      </c>
      <c r="X7" s="771"/>
      <c r="Y7" s="3315" t="s">
        <v>2543</v>
      </c>
      <c r="Z7" s="3316"/>
      <c r="AA7" s="772" t="e">
        <f>D7/F7</f>
        <v>#DIV/0!</v>
      </c>
      <c r="AB7" s="772" t="e">
        <f>D7/H7</f>
        <v>#DIV/0!</v>
      </c>
      <c r="AC7" s="2669" t="e">
        <f>D7/J7</f>
        <v>#DIV/0!</v>
      </c>
    </row>
    <row r="8" spans="1:29" s="117" customFormat="1" ht="15.75" thickBot="1">
      <c r="A8" s="407" t="s">
        <v>2544</v>
      </c>
      <c r="B8" s="408"/>
      <c r="C8" s="413" t="s">
        <v>2646</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335" t="s">
        <v>2546</v>
      </c>
      <c r="Q8" s="3316"/>
      <c r="R8" s="769" t="s">
        <v>17</v>
      </c>
      <c r="S8" s="770">
        <f t="shared" si="0"/>
        <v>0</v>
      </c>
      <c r="T8" s="769" t="s">
        <v>17</v>
      </c>
      <c r="U8" s="770">
        <f t="shared" si="1"/>
        <v>0</v>
      </c>
      <c r="V8" s="769" t="s">
        <v>17</v>
      </c>
      <c r="W8" s="770">
        <f t="shared" si="2"/>
        <v>0</v>
      </c>
      <c r="X8" s="771"/>
      <c r="Y8" s="3315" t="s">
        <v>2546</v>
      </c>
      <c r="Z8" s="3316"/>
      <c r="AA8" s="772" t="e">
        <f t="shared" ref="AA8:AA47" si="3">D8/F8</f>
        <v>#DIV/0!</v>
      </c>
      <c r="AB8" s="772" t="e">
        <f t="shared" ref="AB8:AB47" si="4">D8/H8</f>
        <v>#DIV/0!</v>
      </c>
      <c r="AC8" s="2669" t="e">
        <f t="shared" ref="AC8:AC47" si="5">D8/J8</f>
        <v>#DIV/0!</v>
      </c>
    </row>
    <row r="9" spans="1:29" s="117" customFormat="1">
      <c r="A9" s="414" t="s">
        <v>2547</v>
      </c>
      <c r="B9" s="71" t="s">
        <v>2548</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90" t="s">
        <v>2549</v>
      </c>
      <c r="Q9" s="1794" t="str">
        <f t="shared" ref="Q9:Q15" si="6">B9</f>
        <v>用途</v>
      </c>
      <c r="R9" s="769" t="s">
        <v>17</v>
      </c>
      <c r="S9" s="770">
        <f t="shared" si="0"/>
        <v>100</v>
      </c>
      <c r="T9" s="769" t="s">
        <v>17</v>
      </c>
      <c r="U9" s="770">
        <f t="shared" si="1"/>
        <v>100</v>
      </c>
      <c r="V9" s="769" t="s">
        <v>17</v>
      </c>
      <c r="W9" s="770">
        <f t="shared" si="2"/>
        <v>100</v>
      </c>
      <c r="X9" s="771"/>
      <c r="Y9" s="3077" t="s">
        <v>2550</v>
      </c>
      <c r="Z9" s="55" t="str">
        <f t="shared" ref="Z9:Z15" si="7">Q9</f>
        <v>用途</v>
      </c>
      <c r="AA9" s="772">
        <f t="shared" si="3"/>
        <v>1</v>
      </c>
      <c r="AB9" s="772">
        <f t="shared" si="4"/>
        <v>1</v>
      </c>
      <c r="AC9" s="2669">
        <f t="shared" si="5"/>
        <v>1</v>
      </c>
    </row>
    <row r="10" spans="1:29" s="426" customFormat="1" ht="27">
      <c r="A10" s="420"/>
      <c r="B10" s="421" t="s">
        <v>2551</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90"/>
      <c r="Q10" s="1794" t="str">
        <f t="shared" si="6"/>
        <v>土地使用年限（年）</v>
      </c>
      <c r="R10" s="769" t="s">
        <v>17</v>
      </c>
      <c r="S10" s="770">
        <f t="shared" si="0"/>
        <v>100</v>
      </c>
      <c r="T10" s="769" t="s">
        <v>17</v>
      </c>
      <c r="U10" s="770">
        <f t="shared" si="1"/>
        <v>100</v>
      </c>
      <c r="V10" s="769" t="s">
        <v>17</v>
      </c>
      <c r="W10" s="770">
        <f t="shared" si="2"/>
        <v>100</v>
      </c>
      <c r="X10" s="771"/>
      <c r="Y10" s="3077"/>
      <c r="Z10" s="55" t="str">
        <f t="shared" si="7"/>
        <v>土地使用年限（年）</v>
      </c>
      <c r="AA10" s="772">
        <f t="shared" si="3"/>
        <v>1</v>
      </c>
      <c r="AB10" s="772">
        <f t="shared" si="4"/>
        <v>1</v>
      </c>
      <c r="AC10" s="2669">
        <f t="shared" si="5"/>
        <v>1</v>
      </c>
    </row>
    <row r="11" spans="1:29" ht="15">
      <c r="A11" s="427"/>
      <c r="B11" s="421" t="s">
        <v>2552</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90"/>
      <c r="Q11" s="1794" t="str">
        <f t="shared" si="6"/>
        <v>容积率</v>
      </c>
      <c r="R11" s="769" t="s">
        <v>17</v>
      </c>
      <c r="S11" s="770" t="e">
        <f t="shared" si="0"/>
        <v>#N/A</v>
      </c>
      <c r="T11" s="769" t="s">
        <v>17</v>
      </c>
      <c r="U11" s="770" t="e">
        <f t="shared" si="1"/>
        <v>#N/A</v>
      </c>
      <c r="V11" s="769" t="s">
        <v>17</v>
      </c>
      <c r="W11" s="770" t="e">
        <f t="shared" si="2"/>
        <v>#N/A</v>
      </c>
      <c r="X11" s="771"/>
      <c r="Y11" s="3077"/>
      <c r="Z11" s="55" t="str">
        <f t="shared" si="7"/>
        <v>容积率</v>
      </c>
      <c r="AA11" s="772" t="e">
        <f t="shared" si="3"/>
        <v>#N/A</v>
      </c>
      <c r="AB11" s="772" t="e">
        <f t="shared" si="4"/>
        <v>#N/A</v>
      </c>
      <c r="AC11" s="2669" t="e">
        <f t="shared" si="5"/>
        <v>#N/A</v>
      </c>
    </row>
    <row r="12" spans="1:29" s="117" customFormat="1" ht="15">
      <c r="A12" s="430"/>
      <c r="B12" s="2598">
        <v>111</v>
      </c>
      <c r="C12" s="431"/>
      <c r="D12" s="432">
        <v>100</v>
      </c>
      <c r="E12" s="431"/>
      <c r="F12" s="135">
        <f>SUMIF(71:71,E12,72:72)-SUMIF(71:71,C12,72:72)+100</f>
        <v>100</v>
      </c>
      <c r="G12" s="2670"/>
      <c r="H12" s="135">
        <f>SUMIF(71:71,G12,72:72)-SUMIF(71:71,C12,72:72)+100</f>
        <v>100</v>
      </c>
      <c r="I12" s="431"/>
      <c r="J12" s="135">
        <f>SUMIF(71:71,I12,72:72)-SUMIF(71:71,C12,72:72)+100</f>
        <v>100</v>
      </c>
      <c r="K12" s="612"/>
      <c r="L12" s="1131"/>
      <c r="M12" s="1132"/>
      <c r="N12" s="1132"/>
      <c r="O12" s="1132"/>
      <c r="P12" s="3290"/>
      <c r="Q12" s="1794">
        <f t="shared" si="6"/>
        <v>111</v>
      </c>
      <c r="R12" s="769" t="s">
        <v>17</v>
      </c>
      <c r="S12" s="770">
        <f t="shared" si="0"/>
        <v>100</v>
      </c>
      <c r="T12" s="769" t="s">
        <v>17</v>
      </c>
      <c r="U12" s="770">
        <f t="shared" si="1"/>
        <v>100</v>
      </c>
      <c r="V12" s="769" t="s">
        <v>17</v>
      </c>
      <c r="W12" s="770">
        <f t="shared" si="2"/>
        <v>100</v>
      </c>
      <c r="X12" s="771"/>
      <c r="Y12" s="3077"/>
      <c r="Z12" s="55">
        <f t="shared" si="7"/>
        <v>111</v>
      </c>
      <c r="AA12" s="772">
        <f>D12/F12</f>
        <v>1</v>
      </c>
      <c r="AB12" s="772">
        <f>D12/H12</f>
        <v>1</v>
      </c>
      <c r="AC12" s="2669">
        <f>D12/J12</f>
        <v>1</v>
      </c>
    </row>
    <row r="13" spans="1:29" ht="15">
      <c r="A13" s="427"/>
      <c r="B13" s="2598">
        <v>111</v>
      </c>
      <c r="C13" s="433"/>
      <c r="D13" s="434">
        <v>100</v>
      </c>
      <c r="E13" s="431"/>
      <c r="F13" s="135">
        <f>SUMIF(73:73,E13,74:74)-SUMIF(73:73,C13,74:74)+100</f>
        <v>100</v>
      </c>
      <c r="G13" s="2670"/>
      <c r="H13" s="434">
        <f>SUMIF(73:73,G13,74:74)-SUMIF(73:73,C13,74:74)+100</f>
        <v>100</v>
      </c>
      <c r="I13" s="431"/>
      <c r="J13" s="434">
        <f>SUMIF(73:73,I13,74:74)-SUMIF(73:73,C13,74:74)+100</f>
        <v>100</v>
      </c>
      <c r="K13" s="612"/>
      <c r="L13" s="1139"/>
      <c r="M13" s="1130"/>
      <c r="N13" s="1130"/>
      <c r="O13" s="1130"/>
      <c r="P13" s="3290"/>
      <c r="Q13" s="1794">
        <f t="shared" si="6"/>
        <v>111</v>
      </c>
      <c r="R13" s="769" t="s">
        <v>17</v>
      </c>
      <c r="S13" s="770">
        <f t="shared" si="0"/>
        <v>100</v>
      </c>
      <c r="T13" s="769" t="s">
        <v>17</v>
      </c>
      <c r="U13" s="770">
        <f t="shared" si="1"/>
        <v>100</v>
      </c>
      <c r="V13" s="769" t="s">
        <v>17</v>
      </c>
      <c r="W13" s="770">
        <f t="shared" si="2"/>
        <v>100</v>
      </c>
      <c r="X13" s="771"/>
      <c r="Y13" s="3077"/>
      <c r="Z13" s="55">
        <f t="shared" si="7"/>
        <v>111</v>
      </c>
      <c r="AA13" s="772">
        <f t="shared" si="3"/>
        <v>1</v>
      </c>
      <c r="AB13" s="772">
        <f t="shared" si="4"/>
        <v>1</v>
      </c>
      <c r="AC13" s="2669">
        <f t="shared" si="5"/>
        <v>1</v>
      </c>
    </row>
    <row r="14" spans="1:29" ht="15.75" thickBot="1">
      <c r="A14" s="435"/>
      <c r="B14" s="2600">
        <v>111</v>
      </c>
      <c r="C14" s="436"/>
      <c r="D14" s="437">
        <v>100</v>
      </c>
      <c r="E14" s="627"/>
      <c r="F14" s="437">
        <f>SUMIF(75:75,E14,76:76)-SUMIF(75:75,C14,76:76)+100</f>
        <v>100</v>
      </c>
      <c r="G14" s="2670"/>
      <c r="H14" s="437">
        <f>SUMIF(75:75,G14,76:76)-SUMIF(75:75,C14,76:76)+100</f>
        <v>100</v>
      </c>
      <c r="I14" s="431"/>
      <c r="J14" s="437">
        <f>SUMIF(75:75,I14,76:76)-SUMIF(75:75,C14,76:76)+100</f>
        <v>100</v>
      </c>
      <c r="K14" s="612"/>
      <c r="L14" s="1139"/>
      <c r="M14" s="1130"/>
      <c r="N14" s="1130"/>
      <c r="O14" s="1130"/>
      <c r="P14" s="3290"/>
      <c r="Q14" s="1794">
        <f t="shared" si="6"/>
        <v>111</v>
      </c>
      <c r="R14" s="769" t="s">
        <v>17</v>
      </c>
      <c r="S14" s="770">
        <f t="shared" si="0"/>
        <v>100</v>
      </c>
      <c r="T14" s="769" t="s">
        <v>17</v>
      </c>
      <c r="U14" s="770">
        <f t="shared" si="1"/>
        <v>100</v>
      </c>
      <c r="V14" s="769" t="s">
        <v>17</v>
      </c>
      <c r="W14" s="770">
        <f t="shared" si="2"/>
        <v>100</v>
      </c>
      <c r="X14" s="771"/>
      <c r="Y14" s="3077"/>
      <c r="Z14" s="55">
        <f t="shared" si="7"/>
        <v>111</v>
      </c>
      <c r="AA14" s="772">
        <f t="shared" si="3"/>
        <v>1</v>
      </c>
      <c r="AB14" s="772">
        <f t="shared" si="4"/>
        <v>1</v>
      </c>
      <c r="AC14" s="2669">
        <f t="shared" si="5"/>
        <v>1</v>
      </c>
    </row>
    <row r="15" spans="1:29" ht="71.25">
      <c r="A15" s="439" t="s">
        <v>2553</v>
      </c>
      <c r="B15" s="628" t="s">
        <v>2681</v>
      </c>
      <c r="C15" s="2671"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88" t="s">
        <v>2554</v>
      </c>
      <c r="Q15" s="1809" t="str">
        <f t="shared" si="6"/>
        <v>办公集聚程度</v>
      </c>
      <c r="R15" s="773" t="s">
        <v>17</v>
      </c>
      <c r="S15" s="774">
        <f t="shared" si="0"/>
        <v>100</v>
      </c>
      <c r="T15" s="773" t="s">
        <v>17</v>
      </c>
      <c r="U15" s="774">
        <f t="shared" si="1"/>
        <v>100</v>
      </c>
      <c r="V15" s="773" t="s">
        <v>17</v>
      </c>
      <c r="W15" s="774">
        <f t="shared" si="2"/>
        <v>100</v>
      </c>
      <c r="X15" s="1812"/>
      <c r="Y15" s="3281" t="s">
        <v>2554</v>
      </c>
      <c r="Z15" s="1813" t="str">
        <f t="shared" si="7"/>
        <v>办公集聚程度</v>
      </c>
      <c r="AA15" s="1810">
        <f t="shared" si="3"/>
        <v>1</v>
      </c>
      <c r="AB15" s="1810">
        <f t="shared" si="4"/>
        <v>1</v>
      </c>
      <c r="AC15" s="2672">
        <f t="shared" si="5"/>
        <v>1</v>
      </c>
    </row>
    <row r="16" spans="1:29" ht="15">
      <c r="A16" s="427"/>
      <c r="B16" s="629"/>
      <c r="C16" s="2609"/>
      <c r="D16" s="447"/>
      <c r="E16" s="446"/>
      <c r="F16" s="447"/>
      <c r="G16" s="2609"/>
      <c r="H16" s="449"/>
      <c r="I16" s="446"/>
      <c r="J16" s="447"/>
      <c r="K16" s="614"/>
      <c r="L16" s="1139"/>
      <c r="M16" s="1130"/>
      <c r="N16" s="1130"/>
      <c r="O16" s="1130"/>
      <c r="P16" s="3289"/>
      <c r="Q16" s="1809"/>
      <c r="R16" s="773"/>
      <c r="S16" s="774"/>
      <c r="T16" s="773"/>
      <c r="U16" s="774"/>
      <c r="V16" s="773"/>
      <c r="W16" s="774"/>
      <c r="X16" s="1812"/>
      <c r="Y16" s="3282"/>
      <c r="Z16" s="1813"/>
      <c r="AA16" s="1810">
        <v>1</v>
      </c>
      <c r="AB16" s="1810">
        <v>1</v>
      </c>
      <c r="AC16" s="2672">
        <v>1</v>
      </c>
    </row>
    <row r="17" spans="1:29" ht="71.25">
      <c r="A17" s="427"/>
      <c r="B17" s="630" t="s">
        <v>2095</v>
      </c>
      <c r="C17" s="2673"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89"/>
      <c r="Q17" s="1809" t="str">
        <f>B17</f>
        <v>交通便捷度</v>
      </c>
      <c r="R17" s="773" t="s">
        <v>17</v>
      </c>
      <c r="S17" s="774">
        <f>F17</f>
        <v>100</v>
      </c>
      <c r="T17" s="773" t="s">
        <v>17</v>
      </c>
      <c r="U17" s="774">
        <f>H17</f>
        <v>100</v>
      </c>
      <c r="V17" s="773" t="s">
        <v>17</v>
      </c>
      <c r="W17" s="774">
        <f>J17</f>
        <v>100</v>
      </c>
      <c r="X17" s="1812"/>
      <c r="Y17" s="3282"/>
      <c r="Z17" s="1813" t="str">
        <f>Q17</f>
        <v>交通便捷度</v>
      </c>
      <c r="AA17" s="1810">
        <f t="shared" si="3"/>
        <v>1</v>
      </c>
      <c r="AB17" s="1810">
        <f t="shared" si="4"/>
        <v>1</v>
      </c>
      <c r="AC17" s="2672">
        <f t="shared" si="5"/>
        <v>1</v>
      </c>
    </row>
    <row r="18" spans="1:29" ht="15">
      <c r="A18" s="427"/>
      <c r="B18" s="631"/>
      <c r="C18" s="2674"/>
      <c r="D18" s="449"/>
      <c r="E18" s="2607"/>
      <c r="F18" s="449"/>
      <c r="G18" s="2608"/>
      <c r="H18" s="447"/>
      <c r="I18" s="2608"/>
      <c r="J18" s="447"/>
      <c r="K18" s="614"/>
      <c r="L18" s="1139"/>
      <c r="M18" s="1130"/>
      <c r="N18" s="1130"/>
      <c r="O18" s="1130"/>
      <c r="P18" s="3289"/>
      <c r="Q18" s="1809"/>
      <c r="R18" s="773"/>
      <c r="S18" s="774"/>
      <c r="T18" s="773"/>
      <c r="U18" s="774"/>
      <c r="V18" s="773"/>
      <c r="W18" s="774"/>
      <c r="X18" s="1812"/>
      <c r="Y18" s="3282"/>
      <c r="Z18" s="1813"/>
      <c r="AA18" s="1810">
        <v>1</v>
      </c>
      <c r="AB18" s="1810">
        <v>1</v>
      </c>
      <c r="AC18" s="2672">
        <v>1</v>
      </c>
    </row>
    <row r="19" spans="1:29" ht="42.75">
      <c r="A19" s="427"/>
      <c r="B19" s="630" t="s">
        <v>2682</v>
      </c>
      <c r="C19" s="2673"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89"/>
      <c r="Q19" s="1809" t="str">
        <f>B19</f>
        <v>公共配套设施</v>
      </c>
      <c r="R19" s="773" t="s">
        <v>17</v>
      </c>
      <c r="S19" s="774">
        <f>F19</f>
        <v>100</v>
      </c>
      <c r="T19" s="773" t="s">
        <v>17</v>
      </c>
      <c r="U19" s="774">
        <f>H19</f>
        <v>100</v>
      </c>
      <c r="V19" s="773" t="s">
        <v>17</v>
      </c>
      <c r="W19" s="774">
        <f>J19</f>
        <v>100</v>
      </c>
      <c r="X19" s="1812"/>
      <c r="Y19" s="3282"/>
      <c r="Z19" s="1813" t="str">
        <f>Q19</f>
        <v>公共配套设施</v>
      </c>
      <c r="AA19" s="1810">
        <f t="shared" si="3"/>
        <v>1</v>
      </c>
      <c r="AB19" s="1810">
        <f t="shared" si="4"/>
        <v>1</v>
      </c>
      <c r="AC19" s="2672">
        <f t="shared" si="5"/>
        <v>1</v>
      </c>
    </row>
    <row r="20" spans="1:29" ht="15">
      <c r="A20" s="427"/>
      <c r="B20" s="631"/>
      <c r="C20" s="2609"/>
      <c r="D20" s="447"/>
      <c r="E20" s="2602"/>
      <c r="F20" s="447"/>
      <c r="G20" s="2603"/>
      <c r="H20" s="447"/>
      <c r="I20" s="2603"/>
      <c r="J20" s="447"/>
      <c r="K20" s="614"/>
      <c r="L20" s="1139"/>
      <c r="M20" s="1130"/>
      <c r="N20" s="1130"/>
      <c r="O20" s="1130"/>
      <c r="P20" s="3289"/>
      <c r="Q20" s="1809"/>
      <c r="R20" s="773"/>
      <c r="S20" s="774"/>
      <c r="T20" s="773"/>
      <c r="U20" s="774"/>
      <c r="V20" s="773"/>
      <c r="W20" s="774"/>
      <c r="X20" s="1812"/>
      <c r="Y20" s="3282"/>
      <c r="Z20" s="1813"/>
      <c r="AA20" s="1810">
        <v>1</v>
      </c>
      <c r="AB20" s="1810">
        <v>1</v>
      </c>
      <c r="AC20" s="2672">
        <v>1</v>
      </c>
    </row>
    <row r="21" spans="1:29" ht="28.5">
      <c r="A21" s="427"/>
      <c r="B21" s="632" t="s">
        <v>2683</v>
      </c>
      <c r="C21" s="2673"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89"/>
      <c r="Q21" s="1809" t="str">
        <f>B21</f>
        <v>基础设施水平</v>
      </c>
      <c r="R21" s="773" t="s">
        <v>17</v>
      </c>
      <c r="S21" s="774">
        <f>F21</f>
        <v>100</v>
      </c>
      <c r="T21" s="773" t="s">
        <v>17</v>
      </c>
      <c r="U21" s="774">
        <f>H21</f>
        <v>100</v>
      </c>
      <c r="V21" s="773" t="s">
        <v>17</v>
      </c>
      <c r="W21" s="774">
        <f>J21</f>
        <v>100</v>
      </c>
      <c r="X21" s="1812"/>
      <c r="Y21" s="3282"/>
      <c r="Z21" s="1813" t="str">
        <f>Q21</f>
        <v>基础设施水平</v>
      </c>
      <c r="AA21" s="1810">
        <f t="shared" ref="AA21" si="8">D21/F21</f>
        <v>1</v>
      </c>
      <c r="AB21" s="1810">
        <f t="shared" ref="AB21" si="9">D21/H21</f>
        <v>1</v>
      </c>
      <c r="AC21" s="2672">
        <f t="shared" ref="AC21" si="10">D21/J21</f>
        <v>1</v>
      </c>
    </row>
    <row r="22" spans="1:29" ht="15">
      <c r="A22" s="427"/>
      <c r="B22" s="632"/>
      <c r="C22" s="2674"/>
      <c r="D22" s="447"/>
      <c r="E22" s="446"/>
      <c r="F22" s="447"/>
      <c r="G22" s="2609"/>
      <c r="H22" s="447"/>
      <c r="I22" s="2609"/>
      <c r="J22" s="447"/>
      <c r="K22" s="1382"/>
      <c r="L22" s="1139"/>
      <c r="M22" s="1130"/>
      <c r="N22" s="1130"/>
      <c r="O22" s="1130"/>
      <c r="P22" s="3289"/>
      <c r="Q22" s="1809"/>
      <c r="R22" s="773"/>
      <c r="S22" s="774"/>
      <c r="T22" s="773"/>
      <c r="U22" s="774"/>
      <c r="V22" s="773"/>
      <c r="W22" s="774"/>
      <c r="X22" s="1812"/>
      <c r="Y22" s="3282"/>
      <c r="Z22" s="1813"/>
      <c r="AA22" s="1810">
        <v>1</v>
      </c>
      <c r="AB22" s="1810">
        <v>1</v>
      </c>
      <c r="AC22" s="2672">
        <v>1</v>
      </c>
    </row>
    <row r="23" spans="1:29" ht="42.75">
      <c r="A23" s="427"/>
      <c r="B23" s="630" t="s">
        <v>2684</v>
      </c>
      <c r="C23" s="2673"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89"/>
      <c r="Q23" s="1809" t="str">
        <f>B23</f>
        <v>环境质量</v>
      </c>
      <c r="R23" s="773" t="s">
        <v>17</v>
      </c>
      <c r="S23" s="774">
        <f>F23</f>
        <v>100</v>
      </c>
      <c r="T23" s="773" t="s">
        <v>17</v>
      </c>
      <c r="U23" s="774">
        <f>H23</f>
        <v>100</v>
      </c>
      <c r="V23" s="773" t="s">
        <v>17</v>
      </c>
      <c r="W23" s="774">
        <f>J23</f>
        <v>100</v>
      </c>
      <c r="X23" s="1812"/>
      <c r="Y23" s="3282"/>
      <c r="Z23" s="1813" t="str">
        <f>Q23</f>
        <v>环境质量</v>
      </c>
      <c r="AA23" s="1810">
        <f t="shared" si="3"/>
        <v>1</v>
      </c>
      <c r="AB23" s="1810">
        <f t="shared" si="4"/>
        <v>1</v>
      </c>
      <c r="AC23" s="2672">
        <f t="shared" si="5"/>
        <v>1</v>
      </c>
    </row>
    <row r="24" spans="1:29" ht="15">
      <c r="A24" s="427"/>
      <c r="B24" s="632"/>
      <c r="C24" s="2609"/>
      <c r="D24" s="447"/>
      <c r="E24" s="2602"/>
      <c r="F24" s="447"/>
      <c r="G24" s="2603"/>
      <c r="H24" s="447"/>
      <c r="I24" s="2603"/>
      <c r="J24" s="447"/>
      <c r="K24" s="614"/>
      <c r="L24" s="1139"/>
      <c r="M24" s="1130"/>
      <c r="N24" s="1130"/>
      <c r="O24" s="1130"/>
      <c r="P24" s="3289"/>
      <c r="Q24" s="1809"/>
      <c r="R24" s="773"/>
      <c r="S24" s="774"/>
      <c r="T24" s="773"/>
      <c r="U24" s="774"/>
      <c r="V24" s="773"/>
      <c r="W24" s="774"/>
      <c r="X24" s="1812"/>
      <c r="Y24" s="3282"/>
      <c r="Z24" s="1813"/>
      <c r="AA24" s="1810">
        <v>1</v>
      </c>
      <c r="AB24" s="1810">
        <v>1</v>
      </c>
      <c r="AC24" s="2672">
        <v>1</v>
      </c>
    </row>
    <row r="25" spans="1:29" ht="27">
      <c r="A25" s="403"/>
      <c r="B25" s="630" t="s">
        <v>2685</v>
      </c>
      <c r="C25" s="2613"/>
      <c r="D25" s="434">
        <v>100</v>
      </c>
      <c r="E25" s="433"/>
      <c r="F25" s="434">
        <f>SUMIF(87:87,E26,88:88)-SUMIF(87:87,C26,88:88)+100</f>
        <v>100</v>
      </c>
      <c r="G25" s="2613"/>
      <c r="H25" s="434">
        <f>SUMIF(87:87,G26,88:88)-SUMIF(87:87,C26,88:88)+100</f>
        <v>100</v>
      </c>
      <c r="I25" s="433"/>
      <c r="J25" s="434">
        <f>SUMIF(87:87,I26,88:88)-SUMIF(87:87,C26,88:88)+100</f>
        <v>100</v>
      </c>
      <c r="K25" s="613"/>
      <c r="L25" s="1139"/>
      <c r="M25" s="1130"/>
      <c r="N25" s="1130"/>
      <c r="O25" s="1130"/>
      <c r="P25" s="3289"/>
      <c r="Q25" s="1809" t="str">
        <f>B25</f>
        <v>毗邻道路的类型与等级</v>
      </c>
      <c r="R25" s="773" t="s">
        <v>17</v>
      </c>
      <c r="S25" s="774">
        <f>F25</f>
        <v>100</v>
      </c>
      <c r="T25" s="773" t="s">
        <v>17</v>
      </c>
      <c r="U25" s="774">
        <f>H25</f>
        <v>100</v>
      </c>
      <c r="V25" s="773" t="s">
        <v>17</v>
      </c>
      <c r="W25" s="774">
        <f>J25</f>
        <v>100</v>
      </c>
      <c r="X25" s="1812"/>
      <c r="Y25" s="3282"/>
      <c r="Z25" s="1813" t="str">
        <f>Q25</f>
        <v>毗邻道路的类型与等级</v>
      </c>
      <c r="AA25" s="1810">
        <f t="shared" si="3"/>
        <v>1</v>
      </c>
      <c r="AB25" s="1810">
        <f t="shared" si="4"/>
        <v>1</v>
      </c>
      <c r="AC25" s="2672">
        <f t="shared" si="5"/>
        <v>1</v>
      </c>
    </row>
    <row r="26" spans="1:29" ht="15">
      <c r="A26" s="403"/>
      <c r="B26" s="631"/>
      <c r="C26" s="633"/>
      <c r="D26" s="434"/>
      <c r="E26" s="615"/>
      <c r="F26" s="434"/>
      <c r="G26" s="633"/>
      <c r="H26" s="434"/>
      <c r="I26" s="615"/>
      <c r="J26" s="434"/>
      <c r="K26" s="614"/>
      <c r="L26" s="1139"/>
      <c r="M26" s="1130"/>
      <c r="N26" s="1130"/>
      <c r="O26" s="1130"/>
      <c r="P26" s="3289"/>
      <c r="Q26" s="1809"/>
      <c r="R26" s="773"/>
      <c r="S26" s="774"/>
      <c r="T26" s="773"/>
      <c r="U26" s="774"/>
      <c r="V26" s="773"/>
      <c r="W26" s="774"/>
      <c r="X26" s="1812"/>
      <c r="Y26" s="3282"/>
      <c r="Z26" s="1813"/>
      <c r="AA26" s="1810">
        <v>1</v>
      </c>
      <c r="AB26" s="1810">
        <v>1</v>
      </c>
      <c r="AC26" s="2672">
        <v>1</v>
      </c>
    </row>
    <row r="27" spans="1:29" ht="15">
      <c r="A27" s="427"/>
      <c r="B27" s="631" t="s">
        <v>2653</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89"/>
      <c r="Q27" s="1809" t="str">
        <f t="shared" ref="Q27:Q47" si="11">B27</f>
        <v>楼层</v>
      </c>
      <c r="R27" s="773" t="s">
        <v>17</v>
      </c>
      <c r="S27" s="774">
        <f>F27</f>
        <v>100</v>
      </c>
      <c r="T27" s="773" t="s">
        <v>17</v>
      </c>
      <c r="U27" s="774">
        <f>H27</f>
        <v>100</v>
      </c>
      <c r="V27" s="773" t="s">
        <v>17</v>
      </c>
      <c r="W27" s="774">
        <f>J27</f>
        <v>100</v>
      </c>
      <c r="X27" s="1812"/>
      <c r="Y27" s="3282"/>
      <c r="Z27" s="1813" t="str">
        <f>Q27</f>
        <v>楼层</v>
      </c>
      <c r="AA27" s="1810">
        <f t="shared" si="3"/>
        <v>1</v>
      </c>
      <c r="AB27" s="1810">
        <f t="shared" si="4"/>
        <v>1</v>
      </c>
      <c r="AC27" s="2672">
        <f t="shared" si="5"/>
        <v>1</v>
      </c>
    </row>
    <row r="28" spans="1:29" s="117" customFormat="1" ht="15">
      <c r="A28" s="430"/>
      <c r="B28" s="630" t="s">
        <v>2686</v>
      </c>
      <c r="C28" s="2675"/>
      <c r="D28" s="461">
        <v>100</v>
      </c>
      <c r="E28" s="2663"/>
      <c r="F28" s="461">
        <f>SUMIF(91:91,E28,92:92)-SUMIF(91:91,C28,92:92)+100</f>
        <v>100</v>
      </c>
      <c r="G28" s="2675"/>
      <c r="H28" s="461">
        <f>SUMIF(91:91,G28,92:92)-SUMIF(91:91,C28,92:92)+100</f>
        <v>100</v>
      </c>
      <c r="I28" s="2663"/>
      <c r="J28" s="461">
        <f>SUMIF(91:91,I28,92:92)-SUMIF(91:91,C28,92:92)+100</f>
        <v>100</v>
      </c>
      <c r="K28" s="611"/>
      <c r="L28" s="1131"/>
      <c r="M28" s="1132"/>
      <c r="N28" s="1132"/>
      <c r="O28" s="1132"/>
      <c r="P28" s="3289"/>
      <c r="Q28" s="1794" t="str">
        <f t="shared" si="11"/>
        <v>朝向</v>
      </c>
      <c r="R28" s="769" t="s">
        <v>17</v>
      </c>
      <c r="S28" s="770">
        <f>F28</f>
        <v>100</v>
      </c>
      <c r="T28" s="769" t="s">
        <v>17</v>
      </c>
      <c r="U28" s="770">
        <f>H28</f>
        <v>100</v>
      </c>
      <c r="V28" s="769" t="s">
        <v>17</v>
      </c>
      <c r="W28" s="770">
        <f>J28</f>
        <v>100</v>
      </c>
      <c r="X28" s="771"/>
      <c r="Y28" s="3282"/>
      <c r="Z28" s="55" t="str">
        <f>Q28</f>
        <v>朝向</v>
      </c>
      <c r="AA28" s="1810">
        <f>D28/F28</f>
        <v>1</v>
      </c>
      <c r="AB28" s="1810">
        <f>D28/H28</f>
        <v>1</v>
      </c>
      <c r="AC28" s="2672">
        <f>D28/J28</f>
        <v>1</v>
      </c>
    </row>
    <row r="29" spans="1:29" ht="15">
      <c r="A29" s="427"/>
      <c r="B29" s="2676">
        <v>111</v>
      </c>
      <c r="C29" s="2613"/>
      <c r="D29" s="434">
        <v>100</v>
      </c>
      <c r="E29" s="431"/>
      <c r="F29" s="434">
        <f>SUMIF(93:93,E29,94:94)-SUMIF(93:93,C29,94:94)+100</f>
        <v>100</v>
      </c>
      <c r="G29" s="2670"/>
      <c r="H29" s="434">
        <f>SUMIF(93:93,G29,94:94)-SUMIF(93:93,C29,94:94)+100</f>
        <v>100</v>
      </c>
      <c r="I29" s="431"/>
      <c r="J29" s="434">
        <f>SUMIF(93:93,I29,94:94)-SUMIF(93:93,C29,94:94)+100</f>
        <v>100</v>
      </c>
      <c r="K29" s="612"/>
      <c r="L29" s="1139"/>
      <c r="M29" s="1130"/>
      <c r="N29" s="1130"/>
      <c r="O29" s="1130"/>
      <c r="P29" s="3289"/>
      <c r="Q29" s="1809">
        <f t="shared" si="11"/>
        <v>111</v>
      </c>
      <c r="R29" s="773" t="s">
        <v>17</v>
      </c>
      <c r="S29" s="774">
        <f t="shared" ref="S29:S47" si="12">F29</f>
        <v>100</v>
      </c>
      <c r="T29" s="773" t="s">
        <v>17</v>
      </c>
      <c r="U29" s="774">
        <f t="shared" ref="U29:U47" si="13">H29</f>
        <v>100</v>
      </c>
      <c r="V29" s="773" t="s">
        <v>17</v>
      </c>
      <c r="W29" s="774">
        <f t="shared" ref="W29:W47" si="14">J29</f>
        <v>100</v>
      </c>
      <c r="X29" s="1812"/>
      <c r="Y29" s="3282"/>
      <c r="Z29" s="1813">
        <f t="shared" ref="Z29:Z47" si="15">Q29</f>
        <v>111</v>
      </c>
      <c r="AA29" s="1810">
        <f t="shared" si="3"/>
        <v>1</v>
      </c>
      <c r="AB29" s="1810">
        <f t="shared" si="4"/>
        <v>1</v>
      </c>
      <c r="AC29" s="2672">
        <f t="shared" si="5"/>
        <v>1</v>
      </c>
    </row>
    <row r="30" spans="1:29" ht="15">
      <c r="A30" s="427"/>
      <c r="B30" s="2676">
        <v>111</v>
      </c>
      <c r="C30" s="2613"/>
      <c r="D30" s="434">
        <v>100</v>
      </c>
      <c r="E30" s="431"/>
      <c r="F30" s="434">
        <f>SUMIF(95:95,E30,96:96)-SUMIF(95:95,C30,96:96)+100</f>
        <v>100</v>
      </c>
      <c r="G30" s="2670"/>
      <c r="H30" s="434">
        <f>SUMIF(95:95,G30,96:96)-SUMIF(95:95,C30,96:96)+100</f>
        <v>100</v>
      </c>
      <c r="I30" s="431"/>
      <c r="J30" s="434">
        <f>SUMIF(95:95,I30,96:96)-SUMIF(95:95,C30,96:96)+100</f>
        <v>100</v>
      </c>
      <c r="K30" s="612"/>
      <c r="L30" s="1139"/>
      <c r="M30" s="1130"/>
      <c r="N30" s="1130"/>
      <c r="O30" s="1130"/>
      <c r="P30" s="3289"/>
      <c r="Q30" s="1809">
        <f t="shared" si="11"/>
        <v>111</v>
      </c>
      <c r="R30" s="773" t="s">
        <v>17</v>
      </c>
      <c r="S30" s="774">
        <f t="shared" si="12"/>
        <v>100</v>
      </c>
      <c r="T30" s="773" t="s">
        <v>17</v>
      </c>
      <c r="U30" s="774">
        <f t="shared" si="13"/>
        <v>100</v>
      </c>
      <c r="V30" s="773" t="s">
        <v>17</v>
      </c>
      <c r="W30" s="774">
        <f t="shared" si="14"/>
        <v>100</v>
      </c>
      <c r="X30" s="1812"/>
      <c r="Y30" s="3282"/>
      <c r="Z30" s="1813">
        <f t="shared" si="15"/>
        <v>111</v>
      </c>
      <c r="AA30" s="1810">
        <f t="shared" si="3"/>
        <v>1</v>
      </c>
      <c r="AB30" s="1810">
        <f t="shared" si="4"/>
        <v>1</v>
      </c>
      <c r="AC30" s="2672">
        <f t="shared" si="5"/>
        <v>1</v>
      </c>
    </row>
    <row r="31" spans="1:29" ht="15">
      <c r="A31" s="427"/>
      <c r="B31" s="2676">
        <v>111</v>
      </c>
      <c r="C31" s="2613"/>
      <c r="D31" s="434">
        <v>100</v>
      </c>
      <c r="E31" s="431"/>
      <c r="F31" s="434">
        <f>SUMIF(97:97,E31,98:98)-SUMIF(97:97,C31,98:98)+100</f>
        <v>100</v>
      </c>
      <c r="G31" s="2670"/>
      <c r="H31" s="434">
        <f>SUMIF(97:97,G31,98:98)-SUMIF(97:97,C31,98:98)+100</f>
        <v>100</v>
      </c>
      <c r="I31" s="431"/>
      <c r="J31" s="434">
        <f>SUMIF(97:97,I31,98:98)-SUMIF(97:97,C31,98:98)+100</f>
        <v>100</v>
      </c>
      <c r="K31" s="612"/>
      <c r="L31" s="1139"/>
      <c r="M31" s="1130"/>
      <c r="N31" s="1130"/>
      <c r="O31" s="1130"/>
      <c r="P31" s="3289"/>
      <c r="Q31" s="1809">
        <f t="shared" si="11"/>
        <v>111</v>
      </c>
      <c r="R31" s="773" t="s">
        <v>17</v>
      </c>
      <c r="S31" s="774">
        <f t="shared" si="12"/>
        <v>100</v>
      </c>
      <c r="T31" s="773" t="s">
        <v>17</v>
      </c>
      <c r="U31" s="774">
        <f t="shared" si="13"/>
        <v>100</v>
      </c>
      <c r="V31" s="773" t="s">
        <v>17</v>
      </c>
      <c r="W31" s="774">
        <f t="shared" si="14"/>
        <v>100</v>
      </c>
      <c r="X31" s="1812"/>
      <c r="Y31" s="3282"/>
      <c r="Z31" s="1813">
        <f t="shared" si="15"/>
        <v>111</v>
      </c>
      <c r="AA31" s="1810">
        <f t="shared" si="3"/>
        <v>1</v>
      </c>
      <c r="AB31" s="1810">
        <f t="shared" si="4"/>
        <v>1</v>
      </c>
      <c r="AC31" s="2672">
        <f t="shared" si="5"/>
        <v>1</v>
      </c>
    </row>
    <row r="32" spans="1:29" ht="15.75" thickBot="1">
      <c r="A32" s="435"/>
      <c r="B32" s="634">
        <v>111</v>
      </c>
      <c r="C32" s="2614"/>
      <c r="D32" s="437">
        <v>100</v>
      </c>
      <c r="E32" s="627"/>
      <c r="F32" s="437">
        <f>SUMIF(99:99,E32,100:100)-SUMIF(99:99,C32,100:100)+100</f>
        <v>100</v>
      </c>
      <c r="G32" s="2670"/>
      <c r="H32" s="437">
        <f>SUMIF(99:99,G32,100:100)-SUMIF(99:99,C32,100:100)+100</f>
        <v>100</v>
      </c>
      <c r="I32" s="431"/>
      <c r="J32" s="437">
        <f>SUMIF(99:99,I32,100:100)-SUMIF(99:99,C32,100:100)+100</f>
        <v>100</v>
      </c>
      <c r="K32" s="612"/>
      <c r="L32" s="1139"/>
      <c r="M32" s="1130"/>
      <c r="N32" s="1130"/>
      <c r="O32" s="1130"/>
      <c r="P32" s="3289"/>
      <c r="Q32" s="1809">
        <f t="shared" si="11"/>
        <v>111</v>
      </c>
      <c r="R32" s="773" t="s">
        <v>17</v>
      </c>
      <c r="S32" s="774">
        <f t="shared" si="12"/>
        <v>100</v>
      </c>
      <c r="T32" s="773" t="s">
        <v>17</v>
      </c>
      <c r="U32" s="774">
        <f t="shared" si="13"/>
        <v>100</v>
      </c>
      <c r="V32" s="773" t="s">
        <v>17</v>
      </c>
      <c r="W32" s="774">
        <f t="shared" si="14"/>
        <v>100</v>
      </c>
      <c r="X32" s="1812"/>
      <c r="Y32" s="3282"/>
      <c r="Z32" s="1813">
        <f t="shared" si="15"/>
        <v>111</v>
      </c>
      <c r="AA32" s="1810">
        <f t="shared" si="3"/>
        <v>1</v>
      </c>
      <c r="AB32" s="1810">
        <f t="shared" si="4"/>
        <v>1</v>
      </c>
      <c r="AC32" s="2672">
        <f t="shared" si="5"/>
        <v>1</v>
      </c>
    </row>
    <row r="33" spans="1:29" ht="15">
      <c r="A33" s="439" t="s">
        <v>2557</v>
      </c>
      <c r="B33" s="71" t="s">
        <v>2687</v>
      </c>
      <c r="C33" s="2677"/>
      <c r="D33" s="466">
        <v>100</v>
      </c>
      <c r="E33" s="2677"/>
      <c r="F33" s="460">
        <f>SUMIF(101:101,E33,102:102)-SUMIF(101:101,C33,102:102)+100</f>
        <v>100</v>
      </c>
      <c r="G33" s="2677"/>
      <c r="H33" s="434">
        <f>SUMIF(101:101,G33,102:102)-SUMIF(101:101,C33,102:102)+100</f>
        <v>100</v>
      </c>
      <c r="I33" s="2677"/>
      <c r="J33" s="466">
        <f>SUMIF(101:101,I33,102:102)-SUMIF(101:101,C33,102:102)+100</f>
        <v>100</v>
      </c>
      <c r="K33" s="611"/>
      <c r="L33" s="1139"/>
      <c r="M33" s="1130"/>
      <c r="N33" s="1130"/>
      <c r="O33" s="1130"/>
      <c r="P33" s="3283" t="s">
        <v>2559</v>
      </c>
      <c r="Q33" s="1809" t="str">
        <f t="shared" si="11"/>
        <v>建筑类型</v>
      </c>
      <c r="R33" s="773" t="s">
        <v>17</v>
      </c>
      <c r="S33" s="774">
        <f t="shared" si="12"/>
        <v>100</v>
      </c>
      <c r="T33" s="773" t="s">
        <v>17</v>
      </c>
      <c r="U33" s="774">
        <f t="shared" si="13"/>
        <v>100</v>
      </c>
      <c r="V33" s="773" t="s">
        <v>17</v>
      </c>
      <c r="W33" s="774">
        <f t="shared" si="14"/>
        <v>100</v>
      </c>
      <c r="X33" s="1812"/>
      <c r="Y33" s="3286" t="s">
        <v>2559</v>
      </c>
      <c r="Z33" s="1813" t="str">
        <f t="shared" si="15"/>
        <v>建筑类型</v>
      </c>
      <c r="AA33" s="1810">
        <f t="shared" si="3"/>
        <v>1</v>
      </c>
      <c r="AB33" s="1810">
        <f t="shared" si="4"/>
        <v>1</v>
      </c>
      <c r="AC33" s="2672">
        <f t="shared" si="5"/>
        <v>1</v>
      </c>
    </row>
    <row r="34" spans="1:29" s="470" customFormat="1" ht="15">
      <c r="A34" s="467"/>
      <c r="B34" s="421" t="s">
        <v>2560</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284"/>
      <c r="Q34" s="775" t="str">
        <f t="shared" si="11"/>
        <v>项目建筑规模</v>
      </c>
      <c r="R34" s="776" t="s">
        <v>17</v>
      </c>
      <c r="S34" s="777" t="e">
        <f t="shared" si="12"/>
        <v>#N/A</v>
      </c>
      <c r="T34" s="776" t="s">
        <v>17</v>
      </c>
      <c r="U34" s="777" t="e">
        <f t="shared" si="13"/>
        <v>#N/A</v>
      </c>
      <c r="V34" s="776" t="s">
        <v>17</v>
      </c>
      <c r="W34" s="777" t="e">
        <f t="shared" si="14"/>
        <v>#N/A</v>
      </c>
      <c r="X34" s="778"/>
      <c r="Y34" s="3286"/>
      <c r="Z34" s="779" t="str">
        <f t="shared" si="15"/>
        <v>项目建筑规模</v>
      </c>
      <c r="AA34" s="1810" t="e">
        <f t="shared" si="3"/>
        <v>#N/A</v>
      </c>
      <c r="AB34" s="1810" t="e">
        <f t="shared" si="4"/>
        <v>#N/A</v>
      </c>
      <c r="AC34" s="2672" t="e">
        <f t="shared" si="5"/>
        <v>#N/A</v>
      </c>
    </row>
    <row r="35" spans="1:29" ht="15">
      <c r="A35" s="471"/>
      <c r="B35" s="421" t="s">
        <v>2561</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84"/>
      <c r="Q35" s="1809" t="str">
        <f t="shared" si="11"/>
        <v>建筑结构</v>
      </c>
      <c r="R35" s="773" t="s">
        <v>17</v>
      </c>
      <c r="S35" s="774">
        <f t="shared" si="12"/>
        <v>100</v>
      </c>
      <c r="T35" s="773" t="s">
        <v>17</v>
      </c>
      <c r="U35" s="774">
        <f t="shared" si="13"/>
        <v>100</v>
      </c>
      <c r="V35" s="773" t="s">
        <v>17</v>
      </c>
      <c r="W35" s="774">
        <f t="shared" si="14"/>
        <v>100</v>
      </c>
      <c r="X35" s="1812"/>
      <c r="Y35" s="3286"/>
      <c r="Z35" s="1813" t="str">
        <f t="shared" si="15"/>
        <v>建筑结构</v>
      </c>
      <c r="AA35" s="1810">
        <f t="shared" si="3"/>
        <v>1</v>
      </c>
      <c r="AB35" s="1810">
        <f t="shared" si="4"/>
        <v>1</v>
      </c>
      <c r="AC35" s="2672">
        <f t="shared" si="5"/>
        <v>1</v>
      </c>
    </row>
    <row r="36" spans="1:29" ht="15">
      <c r="A36" s="471"/>
      <c r="B36" s="421" t="s">
        <v>2655</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84"/>
      <c r="Q36" s="1809" t="str">
        <f t="shared" si="11"/>
        <v>公共部分装修</v>
      </c>
      <c r="R36" s="773" t="s">
        <v>17</v>
      </c>
      <c r="S36" s="774">
        <f t="shared" si="12"/>
        <v>100</v>
      </c>
      <c r="T36" s="773" t="s">
        <v>17</v>
      </c>
      <c r="U36" s="774">
        <f t="shared" si="13"/>
        <v>100</v>
      </c>
      <c r="V36" s="773" t="s">
        <v>17</v>
      </c>
      <c r="W36" s="774">
        <f t="shared" si="14"/>
        <v>100</v>
      </c>
      <c r="X36" s="1812"/>
      <c r="Y36" s="3286"/>
      <c r="Z36" s="1813" t="str">
        <f t="shared" si="15"/>
        <v>公共部分装修</v>
      </c>
      <c r="AA36" s="1810">
        <f t="shared" si="3"/>
        <v>1</v>
      </c>
      <c r="AB36" s="1810">
        <f t="shared" si="4"/>
        <v>1</v>
      </c>
      <c r="AC36" s="2672">
        <f t="shared" si="5"/>
        <v>1</v>
      </c>
    </row>
    <row r="37" spans="1:29" ht="15">
      <c r="A37" s="471"/>
      <c r="B37" s="421" t="s">
        <v>2656</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84"/>
      <c r="Q37" s="1809" t="str">
        <f t="shared" si="11"/>
        <v>成新度</v>
      </c>
      <c r="R37" s="773" t="s">
        <v>17</v>
      </c>
      <c r="S37" s="774" t="e">
        <f t="shared" si="12"/>
        <v>#N/A</v>
      </c>
      <c r="T37" s="773" t="s">
        <v>17</v>
      </c>
      <c r="U37" s="774" t="e">
        <f t="shared" si="13"/>
        <v>#N/A</v>
      </c>
      <c r="V37" s="773" t="s">
        <v>17</v>
      </c>
      <c r="W37" s="774" t="e">
        <f t="shared" si="14"/>
        <v>#N/A</v>
      </c>
      <c r="X37" s="1812"/>
      <c r="Y37" s="3286"/>
      <c r="Z37" s="1813" t="str">
        <f t="shared" si="15"/>
        <v>成新度</v>
      </c>
      <c r="AA37" s="1810" t="e">
        <f t="shared" si="3"/>
        <v>#N/A</v>
      </c>
      <c r="AB37" s="1810" t="e">
        <f t="shared" si="4"/>
        <v>#N/A</v>
      </c>
      <c r="AC37" s="2672" t="e">
        <f t="shared" si="5"/>
        <v>#N/A</v>
      </c>
    </row>
    <row r="38" spans="1:29" s="117" customFormat="1" ht="15">
      <c r="A38" s="472"/>
      <c r="B38" s="421" t="s">
        <v>2688</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84"/>
      <c r="Q38" s="1794" t="str">
        <f t="shared" si="11"/>
        <v>写字楼等级</v>
      </c>
      <c r="R38" s="769" t="s">
        <v>17</v>
      </c>
      <c r="S38" s="770">
        <f t="shared" si="12"/>
        <v>100</v>
      </c>
      <c r="T38" s="769" t="s">
        <v>17</v>
      </c>
      <c r="U38" s="770">
        <f t="shared" si="13"/>
        <v>100</v>
      </c>
      <c r="V38" s="769" t="s">
        <v>17</v>
      </c>
      <c r="W38" s="770">
        <f t="shared" si="14"/>
        <v>100</v>
      </c>
      <c r="X38" s="771"/>
      <c r="Y38" s="3286"/>
      <c r="Z38" s="55" t="str">
        <f t="shared" si="15"/>
        <v>写字楼等级</v>
      </c>
      <c r="AA38" s="772">
        <f t="shared" si="3"/>
        <v>1</v>
      </c>
      <c r="AB38" s="772">
        <f t="shared" si="4"/>
        <v>1</v>
      </c>
      <c r="AC38" s="2669">
        <f t="shared" si="5"/>
        <v>1</v>
      </c>
    </row>
    <row r="39" spans="1:29" ht="15">
      <c r="A39" s="471"/>
      <c r="B39" s="421" t="s">
        <v>2689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84" t="s">
        <v>2559</v>
      </c>
      <c r="Q39" s="1809" t="str">
        <f t="shared" si="11"/>
        <v>物业管理</v>
      </c>
      <c r="R39" s="773" t="s">
        <v>17</v>
      </c>
      <c r="S39" s="774">
        <f t="shared" si="12"/>
        <v>100</v>
      </c>
      <c r="T39" s="773" t="s">
        <v>17</v>
      </c>
      <c r="U39" s="774">
        <f t="shared" si="13"/>
        <v>100</v>
      </c>
      <c r="V39" s="773" t="s">
        <v>17</v>
      </c>
      <c r="W39" s="774">
        <f t="shared" si="14"/>
        <v>100</v>
      </c>
      <c r="X39" s="1812"/>
      <c r="Y39" s="3286" t="s">
        <v>2559</v>
      </c>
      <c r="Z39" s="1813" t="str">
        <f t="shared" si="15"/>
        <v>物业管理</v>
      </c>
      <c r="AA39" s="1810">
        <f t="shared" si="3"/>
        <v>1</v>
      </c>
      <c r="AB39" s="1810">
        <f t="shared" si="4"/>
        <v>1</v>
      </c>
      <c r="AC39" s="2672">
        <f t="shared" si="5"/>
        <v>1</v>
      </c>
    </row>
    <row r="40" spans="1:29" ht="15">
      <c r="A40" s="471"/>
      <c r="B40" s="421" t="s">
        <v>2657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84"/>
      <c r="Q40" s="1809" t="str">
        <f t="shared" si="11"/>
        <v>市政基础设施</v>
      </c>
      <c r="R40" s="773" t="s">
        <v>17</v>
      </c>
      <c r="S40" s="774">
        <f t="shared" si="12"/>
        <v>100</v>
      </c>
      <c r="T40" s="773" t="s">
        <v>17</v>
      </c>
      <c r="U40" s="774">
        <f t="shared" si="13"/>
        <v>100</v>
      </c>
      <c r="V40" s="773" t="s">
        <v>17</v>
      </c>
      <c r="W40" s="774">
        <f t="shared" si="14"/>
        <v>100</v>
      </c>
      <c r="X40" s="1812"/>
      <c r="Y40" s="3286"/>
      <c r="Z40" s="1813" t="str">
        <f t="shared" si="15"/>
        <v>市政基础设施</v>
      </c>
      <c r="AA40" s="1810">
        <f t="shared" si="3"/>
        <v>1</v>
      </c>
      <c r="AB40" s="1810">
        <f t="shared" si="4"/>
        <v>1</v>
      </c>
      <c r="AC40" s="2672">
        <f t="shared" si="5"/>
        <v>1</v>
      </c>
    </row>
    <row r="41" spans="1:29" ht="15">
      <c r="A41" s="471"/>
      <c r="B41" s="421" t="s">
        <v>2659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84"/>
      <c r="Q41" s="1809" t="str">
        <f t="shared" si="11"/>
        <v>层高</v>
      </c>
      <c r="R41" s="773" t="s">
        <v>17</v>
      </c>
      <c r="S41" s="774">
        <f t="shared" si="12"/>
        <v>100</v>
      </c>
      <c r="T41" s="773" t="s">
        <v>17</v>
      </c>
      <c r="U41" s="774">
        <f t="shared" si="13"/>
        <v>100</v>
      </c>
      <c r="V41" s="773" t="s">
        <v>17</v>
      </c>
      <c r="W41" s="774">
        <f t="shared" si="14"/>
        <v>100</v>
      </c>
      <c r="X41" s="1812"/>
      <c r="Y41" s="3286"/>
      <c r="Z41" s="1813" t="str">
        <f t="shared" si="15"/>
        <v>层高</v>
      </c>
      <c r="AA41" s="1810">
        <f t="shared" si="3"/>
        <v>1</v>
      </c>
      <c r="AB41" s="1810">
        <f t="shared" si="4"/>
        <v>1</v>
      </c>
      <c r="AC41" s="2672">
        <f t="shared" si="5"/>
        <v>1</v>
      </c>
    </row>
    <row r="42" spans="1:29" s="470" customFormat="1" ht="15">
      <c r="A42" s="467"/>
      <c r="B42" s="1811" t="s">
        <v>2690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84"/>
      <c r="Q42" s="775" t="str">
        <f t="shared" si="11"/>
        <v>单套建筑面积</v>
      </c>
      <c r="R42" s="776" t="s">
        <v>17</v>
      </c>
      <c r="S42" s="777">
        <f t="shared" si="12"/>
        <v>100</v>
      </c>
      <c r="T42" s="776" t="s">
        <v>17</v>
      </c>
      <c r="U42" s="777">
        <f t="shared" si="13"/>
        <v>100</v>
      </c>
      <c r="V42" s="776" t="s">
        <v>17</v>
      </c>
      <c r="W42" s="777">
        <f t="shared" si="14"/>
        <v>100</v>
      </c>
      <c r="X42" s="778"/>
      <c r="Y42" s="3286"/>
      <c r="Z42" s="779" t="str">
        <f t="shared" si="15"/>
        <v>单套建筑面积</v>
      </c>
      <c r="AA42" s="1810">
        <f t="shared" si="3"/>
        <v>1</v>
      </c>
      <c r="AB42" s="1810">
        <f t="shared" si="4"/>
        <v>1</v>
      </c>
      <c r="AC42" s="2672">
        <f t="shared" si="5"/>
        <v>1</v>
      </c>
    </row>
    <row r="43" spans="1:29" ht="15">
      <c r="A43" s="471"/>
      <c r="B43" s="421" t="s">
        <v>2662</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84"/>
      <c r="Q43" s="1809" t="str">
        <f t="shared" si="11"/>
        <v>内部装修</v>
      </c>
      <c r="R43" s="773" t="s">
        <v>17</v>
      </c>
      <c r="S43" s="774">
        <f t="shared" si="12"/>
        <v>100</v>
      </c>
      <c r="T43" s="773" t="s">
        <v>17</v>
      </c>
      <c r="U43" s="774">
        <f t="shared" si="13"/>
        <v>100</v>
      </c>
      <c r="V43" s="773" t="s">
        <v>17</v>
      </c>
      <c r="W43" s="774">
        <f t="shared" si="14"/>
        <v>100</v>
      </c>
      <c r="X43" s="1812"/>
      <c r="Y43" s="3286"/>
      <c r="Z43" s="1813" t="str">
        <f t="shared" si="15"/>
        <v>内部装修</v>
      </c>
      <c r="AA43" s="1810">
        <f t="shared" si="3"/>
        <v>1</v>
      </c>
      <c r="AB43" s="1810">
        <f t="shared" si="4"/>
        <v>1</v>
      </c>
      <c r="AC43" s="2672">
        <f t="shared" si="5"/>
        <v>1</v>
      </c>
    </row>
    <row r="44" spans="1:29" ht="15">
      <c r="A44" s="471"/>
      <c r="B44" s="421" t="s">
        <v>2570</v>
      </c>
      <c r="C44" s="459"/>
      <c r="D44" s="434">
        <v>100</v>
      </c>
      <c r="E44" s="2611"/>
      <c r="F44" s="460">
        <f>SUMIF(125:125,E44,126:126)-SUMIF(125:125,C44,126:126)+100</f>
        <v>100</v>
      </c>
      <c r="G44" s="2611"/>
      <c r="H44" s="434">
        <f>SUMIF(125:125,G44,126:126)-SUMIF(125:125,C44,126:126)+100</f>
        <v>100</v>
      </c>
      <c r="I44" s="2611"/>
      <c r="J44" s="434">
        <f>SUMIF(125:125,I44,126:126)-SUMIF(125:125,C44,126:126)+100</f>
        <v>100</v>
      </c>
      <c r="K44" s="611"/>
      <c r="L44" s="1139"/>
      <c r="M44" s="1130"/>
      <c r="N44" s="1130"/>
      <c r="O44" s="1130"/>
      <c r="P44" s="3284"/>
      <c r="Q44" s="1809" t="str">
        <f t="shared" si="11"/>
        <v>内部装修维护情况</v>
      </c>
      <c r="R44" s="773" t="s">
        <v>17</v>
      </c>
      <c r="S44" s="774">
        <f t="shared" si="12"/>
        <v>100</v>
      </c>
      <c r="T44" s="773" t="s">
        <v>17</v>
      </c>
      <c r="U44" s="774">
        <f t="shared" si="13"/>
        <v>100</v>
      </c>
      <c r="V44" s="773" t="s">
        <v>17</v>
      </c>
      <c r="W44" s="774">
        <f t="shared" si="14"/>
        <v>100</v>
      </c>
      <c r="X44" s="1812"/>
      <c r="Y44" s="3286"/>
      <c r="Z44" s="1813" t="str">
        <f t="shared" si="15"/>
        <v>内部装修维护情况</v>
      </c>
      <c r="AA44" s="1810">
        <f t="shared" si="3"/>
        <v>1</v>
      </c>
      <c r="AB44" s="1810">
        <f t="shared" si="4"/>
        <v>1</v>
      </c>
      <c r="AC44" s="2672">
        <f t="shared" si="5"/>
        <v>1</v>
      </c>
    </row>
    <row r="45" spans="1:29" s="117"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84"/>
      <c r="Q45" s="1794">
        <f t="shared" si="11"/>
        <v>111</v>
      </c>
      <c r="R45" s="769" t="s">
        <v>17</v>
      </c>
      <c r="S45" s="770">
        <f t="shared" si="12"/>
        <v>100</v>
      </c>
      <c r="T45" s="769" t="s">
        <v>17</v>
      </c>
      <c r="U45" s="770">
        <f t="shared" si="13"/>
        <v>100</v>
      </c>
      <c r="V45" s="769" t="s">
        <v>17</v>
      </c>
      <c r="W45" s="770">
        <f t="shared" si="14"/>
        <v>100</v>
      </c>
      <c r="X45" s="771"/>
      <c r="Y45" s="3286"/>
      <c r="Z45" s="55">
        <f t="shared" si="15"/>
        <v>111</v>
      </c>
      <c r="AA45" s="772">
        <f t="shared" si="3"/>
        <v>1</v>
      </c>
      <c r="AB45" s="772">
        <f t="shared" si="4"/>
        <v>1</v>
      </c>
      <c r="AC45" s="2669">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84"/>
      <c r="Q46" s="1809">
        <f t="shared" si="11"/>
        <v>111</v>
      </c>
      <c r="R46" s="773" t="s">
        <v>17</v>
      </c>
      <c r="S46" s="774">
        <f t="shared" si="12"/>
        <v>100</v>
      </c>
      <c r="T46" s="773" t="s">
        <v>17</v>
      </c>
      <c r="U46" s="774">
        <f t="shared" si="13"/>
        <v>100</v>
      </c>
      <c r="V46" s="773" t="s">
        <v>17</v>
      </c>
      <c r="W46" s="774">
        <f t="shared" si="14"/>
        <v>100</v>
      </c>
      <c r="X46" s="1812"/>
      <c r="Y46" s="3286"/>
      <c r="Z46" s="1813">
        <f t="shared" si="15"/>
        <v>111</v>
      </c>
      <c r="AA46" s="1810">
        <f t="shared" si="3"/>
        <v>1</v>
      </c>
      <c r="AB46" s="1810">
        <f t="shared" si="4"/>
        <v>1</v>
      </c>
      <c r="AC46" s="2672">
        <f t="shared" si="5"/>
        <v>1</v>
      </c>
    </row>
    <row r="47" spans="1:29" ht="15.75" thickBot="1">
      <c r="A47" s="477"/>
      <c r="B47" s="260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85"/>
      <c r="Q47" s="1809">
        <f t="shared" si="11"/>
        <v>111</v>
      </c>
      <c r="R47" s="773" t="s">
        <v>17</v>
      </c>
      <c r="S47" s="774">
        <f t="shared" si="12"/>
        <v>100</v>
      </c>
      <c r="T47" s="773" t="s">
        <v>17</v>
      </c>
      <c r="U47" s="774">
        <f t="shared" si="13"/>
        <v>100</v>
      </c>
      <c r="V47" s="773" t="s">
        <v>17</v>
      </c>
      <c r="W47" s="774">
        <f t="shared" si="14"/>
        <v>100</v>
      </c>
      <c r="X47" s="1812"/>
      <c r="Y47" s="3287"/>
      <c r="Z47" s="1813">
        <f t="shared" si="15"/>
        <v>111</v>
      </c>
      <c r="AA47" s="1810">
        <f t="shared" si="3"/>
        <v>1</v>
      </c>
      <c r="AB47" s="1810">
        <f t="shared" si="4"/>
        <v>1</v>
      </c>
      <c r="AC47" s="2672">
        <f t="shared" si="5"/>
        <v>1</v>
      </c>
    </row>
    <row r="48" spans="1:29" ht="15">
      <c r="A48" s="478" t="s">
        <v>2571</v>
      </c>
      <c r="B48" s="479"/>
      <c r="C48" s="1406" t="s">
        <v>1</v>
      </c>
      <c r="D48" s="1407"/>
      <c r="E48" s="1408"/>
      <c r="F48" s="1409"/>
      <c r="G48" s="1410"/>
      <c r="H48" s="1411"/>
      <c r="I48" s="1408"/>
      <c r="J48" s="484"/>
      <c r="K48" s="782"/>
      <c r="L48" s="1142"/>
      <c r="M48" s="1130"/>
      <c r="N48" s="1130"/>
      <c r="O48" s="1130"/>
      <c r="P48" s="3290" t="str">
        <f>A48</f>
        <v>成交单价（元/平方米）</v>
      </c>
      <c r="Q48" s="3279"/>
      <c r="R48" s="3280">
        <f>E48</f>
        <v>0</v>
      </c>
      <c r="S48" s="3280"/>
      <c r="T48" s="3280">
        <f>G48</f>
        <v>0</v>
      </c>
      <c r="U48" s="3280"/>
      <c r="V48" s="3280">
        <f>I48</f>
        <v>0</v>
      </c>
      <c r="W48" s="3280"/>
      <c r="X48" s="445"/>
      <c r="Y48" s="780"/>
      <c r="Z48" s="445"/>
      <c r="AA48" s="445"/>
      <c r="AB48" s="445"/>
      <c r="AC48" s="629"/>
    </row>
    <row r="49" spans="1:29" ht="15.75" thickBot="1">
      <c r="A49" s="485" t="s">
        <v>2663</v>
      </c>
      <c r="B49" s="486"/>
      <c r="C49" s="1412" t="e">
        <f>R50</f>
        <v>#DIV/0!</v>
      </c>
      <c r="D49" s="1413"/>
      <c r="E49" s="1414" t="e">
        <f>R49</f>
        <v>#DIV/0!</v>
      </c>
      <c r="F49" s="1414"/>
      <c r="G49" s="1412" t="e">
        <f>T49</f>
        <v>#DIV/0!</v>
      </c>
      <c r="H49" s="1413"/>
      <c r="I49" s="1414" t="e">
        <f>V49</f>
        <v>#DIV/0!</v>
      </c>
      <c r="J49" s="488"/>
      <c r="K49" s="783"/>
      <c r="L49" s="1142"/>
      <c r="M49" s="1130"/>
      <c r="N49" s="1130"/>
      <c r="O49" s="1130"/>
      <c r="P49" s="3290" t="str">
        <f>A49</f>
        <v>比较价值（元/平方米）</v>
      </c>
      <c r="Q49" s="3279"/>
      <c r="R49" s="3280" t="e">
        <f>IF(F1="售价",ROUND(PRODUCT(R48,AA7:AA47),0),ROUND(PRODUCT(R48,AA7:AA47),1))</f>
        <v>#DIV/0!</v>
      </c>
      <c r="S49" s="3280"/>
      <c r="T49" s="3280" t="e">
        <f>IF(F1="售价",ROUND(PRODUCT(T48,AB7:AB47),0),ROUND(PRODUCT(T48,AB7:AB47),1))</f>
        <v>#DIV/0!</v>
      </c>
      <c r="U49" s="3280"/>
      <c r="V49" s="3280" t="e">
        <f>IF(F1="售价",ROUND(PRODUCT(V48,AC7:AC47),0),ROUND(PRODUCT(V48,AC7:AC47),1))</f>
        <v>#DIV/0!</v>
      </c>
      <c r="W49" s="3280"/>
      <c r="X49" s="445"/>
      <c r="Y49" s="445"/>
      <c r="Z49" s="445"/>
      <c r="AA49" s="445"/>
      <c r="AB49" s="445"/>
      <c r="AC49" s="629"/>
    </row>
    <row r="50" spans="1:29" ht="15.75" thickBot="1">
      <c r="A50" s="491" t="s">
        <v>2664</v>
      </c>
      <c r="B50" s="492"/>
      <c r="C50" s="1416" t="e">
        <f>R50</f>
        <v>#DIV/0!</v>
      </c>
      <c r="D50" s="1416"/>
      <c r="E50" s="1416"/>
      <c r="F50" s="1416"/>
      <c r="G50" s="1416"/>
      <c r="H50" s="1416"/>
      <c r="I50" s="1416"/>
      <c r="J50" s="493"/>
      <c r="K50" s="784"/>
      <c r="L50" s="1142"/>
      <c r="M50" s="1130"/>
      <c r="N50" s="1130"/>
      <c r="O50" s="1130"/>
      <c r="P50" s="3322" t="str">
        <f>A50</f>
        <v>估价对象XX用房的比较价值（楼面单价，元/平方米）</v>
      </c>
      <c r="Q50" s="3323"/>
      <c r="R50" s="3324" t="e">
        <f>IF(F1="售价",ROUND(AVERAGE(R49:V49),0),ROUND(AVERAGE(R49:V49),1))</f>
        <v>#DIV/0!</v>
      </c>
      <c r="S50" s="3324"/>
      <c r="T50" s="3324"/>
      <c r="U50" s="3324"/>
      <c r="V50" s="3324"/>
      <c r="W50" s="3324"/>
      <c r="X50" s="2652"/>
      <c r="Y50" s="2652"/>
      <c r="Z50" s="2652"/>
      <c r="AA50" s="2652"/>
      <c r="AB50" s="2652"/>
      <c r="AC50" s="2653"/>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2665</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2666</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2667</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8"/>
    </row>
    <row r="56" spans="1:29" s="501" customFormat="1">
      <c r="A56" s="1144"/>
      <c r="B56" s="1145"/>
      <c r="C56" s="1149"/>
      <c r="D56" s="1144"/>
      <c r="E56" s="1144"/>
      <c r="F56" s="1144"/>
      <c r="G56" s="1144"/>
      <c r="H56" s="1144"/>
      <c r="I56" s="1144"/>
      <c r="J56" s="1144"/>
      <c r="K56" s="1147"/>
      <c r="L56" s="1148"/>
      <c r="M56" s="1144"/>
      <c r="N56" s="1144"/>
      <c r="O56" s="1144"/>
      <c r="P56" s="2678"/>
    </row>
    <row r="57" spans="1:29">
      <c r="A57" s="1143"/>
      <c r="B57" s="1145"/>
      <c r="C57" s="1149"/>
      <c r="D57" s="1143"/>
      <c r="E57" s="1143"/>
      <c r="F57" s="1143"/>
      <c r="G57" s="1143"/>
      <c r="H57" s="1143"/>
      <c r="I57" s="1143"/>
      <c r="J57" s="1143"/>
      <c r="K57" s="1104"/>
      <c r="L57" s="1105"/>
      <c r="M57" s="1143"/>
      <c r="N57" s="1143"/>
      <c r="O57" s="1143"/>
    </row>
    <row r="58" spans="1:29" ht="21.75" thickBot="1">
      <c r="A58" s="762" t="s">
        <v>2668</v>
      </c>
      <c r="B58" s="758"/>
      <c r="C58" s="763"/>
      <c r="D58" s="763"/>
      <c r="E58" s="763"/>
      <c r="F58" s="764"/>
      <c r="G58" s="764"/>
      <c r="H58" s="763"/>
      <c r="I58" s="763"/>
      <c r="J58" s="763"/>
      <c r="K58" s="765"/>
      <c r="L58" s="1160"/>
      <c r="M58" s="1158"/>
      <c r="N58" s="1158"/>
      <c r="O58" s="1158"/>
      <c r="P58" s="2679"/>
      <c r="Q58" s="503"/>
    </row>
    <row r="59" spans="1:29" s="507" customFormat="1" ht="15">
      <c r="A59" s="504" t="s">
        <v>2542</v>
      </c>
      <c r="B59" s="505"/>
      <c r="C59" s="1573" t="str">
        <f>YEAR(C7)&amp;"-"&amp;MONTH(C7)</f>
        <v>2019-8</v>
      </c>
      <c r="D59" s="1574">
        <f>EDATE(C59,-1)</f>
        <v>43647</v>
      </c>
      <c r="E59" s="1574">
        <f>EDATE(D59,-1)</f>
        <v>43617</v>
      </c>
      <c r="F59" s="1574">
        <f t="shared" ref="F59:O59" si="16">EDATE(E59,-1)</f>
        <v>43586</v>
      </c>
      <c r="G59" s="1574">
        <f t="shared" si="16"/>
        <v>43556</v>
      </c>
      <c r="H59" s="1574">
        <f t="shared" si="16"/>
        <v>43525</v>
      </c>
      <c r="I59" s="1574">
        <f t="shared" si="16"/>
        <v>43497</v>
      </c>
      <c r="J59" s="1574">
        <f t="shared" si="16"/>
        <v>43466</v>
      </c>
      <c r="K59" s="1574">
        <f t="shared" si="16"/>
        <v>43435</v>
      </c>
      <c r="L59" s="1574">
        <f t="shared" si="16"/>
        <v>43405</v>
      </c>
      <c r="M59" s="1574">
        <f t="shared" si="16"/>
        <v>43374</v>
      </c>
      <c r="N59" s="1574">
        <f t="shared" si="16"/>
        <v>43344</v>
      </c>
      <c r="O59" s="1574">
        <f t="shared" si="16"/>
        <v>43313</v>
      </c>
      <c r="P59" s="1570"/>
    </row>
    <row r="60" spans="1:29" s="117" customFormat="1" ht="15">
      <c r="A60" s="508"/>
      <c r="B60" s="509"/>
      <c r="C60" s="1572">
        <v>100</v>
      </c>
      <c r="D60" s="511"/>
      <c r="E60" s="511"/>
      <c r="F60" s="511"/>
      <c r="G60" s="511"/>
      <c r="H60" s="511"/>
      <c r="I60" s="511"/>
      <c r="J60" s="511"/>
      <c r="K60" s="511"/>
      <c r="L60" s="511"/>
      <c r="M60" s="512"/>
      <c r="N60" s="511"/>
      <c r="O60" s="512"/>
      <c r="P60" s="2680"/>
    </row>
    <row r="61" spans="1:29" s="117" customFormat="1" ht="15.75" thickBot="1">
      <c r="A61" s="514" t="s">
        <v>2579</v>
      </c>
      <c r="B61" s="515"/>
      <c r="C61" s="516"/>
      <c r="D61" s="517"/>
      <c r="E61" s="517"/>
      <c r="F61" s="517"/>
      <c r="G61" s="517"/>
      <c r="H61" s="517"/>
      <c r="I61" s="517"/>
      <c r="J61" s="517"/>
      <c r="K61" s="517"/>
      <c r="L61" s="517"/>
      <c r="M61" s="518"/>
      <c r="N61" s="517"/>
      <c r="O61" s="518"/>
      <c r="P61" s="2680"/>
      <c r="Q61" s="503"/>
    </row>
    <row r="62" spans="1:29" s="117" customFormat="1" ht="15">
      <c r="A62" s="520" t="s">
        <v>2544</v>
      </c>
      <c r="B62" s="509"/>
      <c r="C62" s="521" t="s">
        <v>2646</v>
      </c>
      <c r="D62" s="522"/>
      <c r="E62" s="522"/>
      <c r="F62" s="522"/>
      <c r="G62" s="522"/>
      <c r="H62" s="522"/>
      <c r="I62" s="522"/>
      <c r="J62" s="522"/>
      <c r="K62" s="522"/>
      <c r="L62" s="523"/>
      <c r="M62" s="524"/>
      <c r="N62" s="1150"/>
      <c r="O62" s="1150"/>
      <c r="P62" s="2681"/>
      <c r="Q62" s="503"/>
    </row>
    <row r="63" spans="1:29" s="117" customFormat="1" ht="15.75" thickBot="1">
      <c r="A63" s="520"/>
      <c r="B63" s="509"/>
      <c r="C63" s="510">
        <v>100</v>
      </c>
      <c r="D63" s="511"/>
      <c r="E63" s="511"/>
      <c r="F63" s="511"/>
      <c r="G63" s="511"/>
      <c r="H63" s="511"/>
      <c r="I63" s="511"/>
      <c r="J63" s="511"/>
      <c r="K63" s="511"/>
      <c r="L63" s="511"/>
      <c r="M63" s="513"/>
      <c r="N63" s="1150"/>
      <c r="O63" s="1150"/>
      <c r="P63" s="2680"/>
      <c r="Q63" s="503"/>
    </row>
    <row r="64" spans="1:29">
      <c r="A64" s="526" t="s">
        <v>2582</v>
      </c>
      <c r="B64" s="527" t="s">
        <v>2548</v>
      </c>
      <c r="C64" s="528">
        <f>C9</f>
        <v>0</v>
      </c>
      <c r="D64" s="529"/>
      <c r="E64" s="529"/>
      <c r="F64" s="529"/>
      <c r="G64" s="529"/>
      <c r="H64" s="529"/>
      <c r="I64" s="529"/>
      <c r="J64" s="529"/>
      <c r="K64" s="530"/>
      <c r="L64" s="531"/>
      <c r="M64" s="532"/>
      <c r="N64" s="1151"/>
      <c r="O64" s="1151"/>
      <c r="P64" s="2682"/>
      <c r="Q64" s="503"/>
    </row>
    <row r="65" spans="1:17" ht="15.75" thickBot="1">
      <c r="A65" s="533"/>
      <c r="B65" s="534"/>
      <c r="C65" s="535">
        <v>100</v>
      </c>
      <c r="D65" s="535"/>
      <c r="E65" s="535"/>
      <c r="F65" s="535"/>
      <c r="G65" s="535"/>
      <c r="H65" s="535"/>
      <c r="I65" s="535"/>
      <c r="J65" s="535"/>
      <c r="K65" s="535"/>
      <c r="L65" s="535"/>
      <c r="M65" s="536"/>
      <c r="N65" s="1152"/>
      <c r="O65" s="1152"/>
      <c r="P65" s="2682"/>
      <c r="Q65" s="503"/>
    </row>
    <row r="66" spans="1:17" ht="27.75" thickTop="1">
      <c r="A66" s="533"/>
      <c r="B66" s="537" t="s">
        <v>2551</v>
      </c>
      <c r="C66" s="538" t="s">
        <v>2583</v>
      </c>
      <c r="D66" s="538" t="s">
        <v>2584</v>
      </c>
      <c r="E66" s="538" t="s">
        <v>2585</v>
      </c>
      <c r="F66" s="538" t="s">
        <v>2586</v>
      </c>
      <c r="G66" s="538" t="s">
        <v>2587</v>
      </c>
      <c r="H66" s="538" t="s">
        <v>2588</v>
      </c>
      <c r="I66" s="538" t="s">
        <v>2589</v>
      </c>
      <c r="J66" s="538"/>
      <c r="K66" s="539"/>
      <c r="L66" s="540"/>
      <c r="M66" s="541"/>
      <c r="N66" s="1151"/>
      <c r="O66" s="1151"/>
      <c r="P66" s="2682"/>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2"/>
      <c r="Q67" s="503"/>
    </row>
    <row r="68" spans="1:17" ht="15.75" thickTop="1">
      <c r="A68" s="533"/>
      <c r="B68" s="545" t="s">
        <v>2552</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2"/>
      <c r="Q68" s="503"/>
    </row>
    <row r="69" spans="1:17" ht="15">
      <c r="A69" s="533"/>
      <c r="B69" s="547"/>
      <c r="C69" s="548"/>
      <c r="D69" s="548"/>
      <c r="E69" s="548"/>
      <c r="F69" s="548"/>
      <c r="G69" s="548"/>
      <c r="H69" s="548"/>
      <c r="I69" s="548"/>
      <c r="J69" s="548"/>
      <c r="K69" s="549"/>
      <c r="L69" s="550"/>
      <c r="M69" s="551"/>
      <c r="N69" s="1151"/>
      <c r="O69" s="1151"/>
      <c r="P69" s="2682"/>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2"/>
      <c r="Q70" s="503"/>
    </row>
    <row r="71" spans="1:17" s="470" customFormat="1" ht="15.75" thickTop="1">
      <c r="A71" s="552"/>
      <c r="B71" s="537">
        <f>B12</f>
        <v>111</v>
      </c>
      <c r="C71" s="553"/>
      <c r="D71" s="553"/>
      <c r="E71" s="553"/>
      <c r="F71" s="553"/>
      <c r="G71" s="553"/>
      <c r="H71" s="554"/>
      <c r="I71" s="554"/>
      <c r="J71" s="554"/>
      <c r="K71" s="554"/>
      <c r="L71" s="555"/>
      <c r="M71" s="556"/>
      <c r="N71" s="1153"/>
      <c r="O71" s="1153"/>
      <c r="P71" s="2683"/>
      <c r="Q71" s="558"/>
    </row>
    <row r="72" spans="1:17" s="470" customFormat="1" ht="15.75" thickBot="1">
      <c r="A72" s="552"/>
      <c r="B72" s="542"/>
      <c r="C72" s="559"/>
      <c r="D72" s="535"/>
      <c r="E72" s="535"/>
      <c r="F72" s="535"/>
      <c r="G72" s="535"/>
      <c r="H72" s="535"/>
      <c r="I72" s="535"/>
      <c r="J72" s="535"/>
      <c r="K72" s="535"/>
      <c r="L72" s="535"/>
      <c r="M72" s="536"/>
      <c r="N72" s="1152"/>
      <c r="O72" s="1152"/>
      <c r="P72" s="2683"/>
      <c r="Q72" s="558"/>
    </row>
    <row r="73" spans="1:17" s="470" customFormat="1" ht="15.75" thickTop="1">
      <c r="A73" s="552"/>
      <c r="B73" s="537">
        <f>B13</f>
        <v>111</v>
      </c>
      <c r="C73" s="553"/>
      <c r="D73" s="553"/>
      <c r="E73" s="553"/>
      <c r="F73" s="553"/>
      <c r="G73" s="553"/>
      <c r="H73" s="554"/>
      <c r="I73" s="554"/>
      <c r="J73" s="554"/>
      <c r="K73" s="554"/>
      <c r="L73" s="555"/>
      <c r="M73" s="556"/>
      <c r="N73" s="1153"/>
      <c r="O73" s="1153"/>
      <c r="P73" s="2684"/>
      <c r="Q73" s="560"/>
    </row>
    <row r="74" spans="1:17" s="470" customFormat="1" ht="15.75" thickBot="1">
      <c r="A74" s="552"/>
      <c r="B74" s="542"/>
      <c r="C74" s="559"/>
      <c r="D74" s="559"/>
      <c r="E74" s="559"/>
      <c r="F74" s="559"/>
      <c r="G74" s="559"/>
      <c r="H74" s="561"/>
      <c r="I74" s="561"/>
      <c r="J74" s="561"/>
      <c r="K74" s="561"/>
      <c r="L74" s="561"/>
      <c r="M74" s="562"/>
      <c r="N74" s="1153"/>
      <c r="O74" s="1153"/>
      <c r="P74" s="2683"/>
      <c r="Q74" s="558"/>
    </row>
    <row r="75" spans="1:17" s="470" customFormat="1" ht="15.75" thickTop="1">
      <c r="A75" s="552"/>
      <c r="B75" s="545">
        <f>B14</f>
        <v>111</v>
      </c>
      <c r="C75" s="522"/>
      <c r="D75" s="522"/>
      <c r="E75" s="522"/>
      <c r="F75" s="522"/>
      <c r="G75" s="522"/>
      <c r="H75" s="563"/>
      <c r="I75" s="563"/>
      <c r="J75" s="563"/>
      <c r="K75" s="563"/>
      <c r="L75" s="564"/>
      <c r="M75" s="565"/>
      <c r="N75" s="1153"/>
      <c r="O75" s="1153"/>
      <c r="P75" s="2685"/>
      <c r="Q75" s="558"/>
    </row>
    <row r="76" spans="1:17" s="470" customFormat="1" ht="15.75" thickBot="1">
      <c r="A76" s="567"/>
      <c r="B76" s="568"/>
      <c r="C76" s="569"/>
      <c r="D76" s="569"/>
      <c r="E76" s="569"/>
      <c r="F76" s="569"/>
      <c r="G76" s="569"/>
      <c r="H76" s="570"/>
      <c r="I76" s="570"/>
      <c r="J76" s="570"/>
      <c r="K76" s="570"/>
      <c r="L76" s="570"/>
      <c r="M76" s="571"/>
      <c r="N76" s="1153"/>
      <c r="O76" s="1153"/>
      <c r="P76" s="2683"/>
      <c r="Q76" s="558"/>
    </row>
    <row r="77" spans="1:17">
      <c r="A77" s="526" t="s">
        <v>2553</v>
      </c>
      <c r="B77" s="527" t="s">
        <v>2691</v>
      </c>
      <c r="C77" s="572" t="s">
        <v>2591</v>
      </c>
      <c r="D77" s="572" t="s">
        <v>2592</v>
      </c>
      <c r="E77" s="572" t="s">
        <v>2593</v>
      </c>
      <c r="F77" s="572" t="s">
        <v>2594</v>
      </c>
      <c r="G77" s="572" t="s">
        <v>2595</v>
      </c>
      <c r="H77" s="528"/>
      <c r="I77" s="528"/>
      <c r="J77" s="528"/>
      <c r="K77" s="573"/>
      <c r="L77" s="574"/>
      <c r="M77" s="575"/>
      <c r="N77" s="1151"/>
      <c r="O77" s="1151"/>
      <c r="P77" s="2686"/>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2"/>
      <c r="Q78" s="503"/>
    </row>
    <row r="79" spans="1:17" ht="15.75" thickTop="1">
      <c r="A79" s="533"/>
      <c r="B79" s="537" t="s">
        <v>2596</v>
      </c>
      <c r="C79" s="577" t="s">
        <v>2591</v>
      </c>
      <c r="D79" s="577" t="s">
        <v>2592</v>
      </c>
      <c r="E79" s="577" t="s">
        <v>2593</v>
      </c>
      <c r="F79" s="577" t="s">
        <v>2594</v>
      </c>
      <c r="G79" s="577" t="s">
        <v>2595</v>
      </c>
      <c r="H79" s="538"/>
      <c r="I79" s="538"/>
      <c r="J79" s="538"/>
      <c r="K79" s="539"/>
      <c r="L79" s="540"/>
      <c r="M79" s="541"/>
      <c r="N79" s="1151"/>
      <c r="O79" s="1151"/>
      <c r="P79" s="2682"/>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2"/>
      <c r="Q80" s="503"/>
    </row>
    <row r="81" spans="1:17" ht="15.75" thickTop="1">
      <c r="A81" s="533"/>
      <c r="B81" s="537" t="s">
        <v>2597</v>
      </c>
      <c r="C81" s="577" t="s">
        <v>2591</v>
      </c>
      <c r="D81" s="577" t="s">
        <v>2592</v>
      </c>
      <c r="E81" s="577" t="s">
        <v>2593</v>
      </c>
      <c r="F81" s="577" t="s">
        <v>2594</v>
      </c>
      <c r="G81" s="577" t="s">
        <v>2595</v>
      </c>
      <c r="H81" s="538"/>
      <c r="I81" s="538"/>
      <c r="J81" s="538"/>
      <c r="K81" s="539"/>
      <c r="L81" s="540"/>
      <c r="M81" s="541"/>
      <c r="N81" s="1151"/>
      <c r="O81" s="1151"/>
      <c r="P81" s="2682"/>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2"/>
      <c r="Q82" s="503"/>
    </row>
    <row r="83" spans="1:17" ht="15.75" thickTop="1">
      <c r="A83" s="533"/>
      <c r="B83" s="545" t="s">
        <v>2683</v>
      </c>
      <c r="C83" s="659" t="s">
        <v>2669</v>
      </c>
      <c r="D83" s="659" t="s">
        <v>2670</v>
      </c>
      <c r="E83" s="659" t="s">
        <v>2671</v>
      </c>
      <c r="F83" s="659" t="s">
        <v>2672</v>
      </c>
      <c r="G83" s="659" t="s">
        <v>2673</v>
      </c>
      <c r="H83" s="538"/>
      <c r="I83" s="538"/>
      <c r="J83" s="538"/>
      <c r="K83" s="538"/>
      <c r="L83" s="538"/>
      <c r="M83" s="1381"/>
      <c r="N83" s="1152"/>
      <c r="O83" s="1152"/>
      <c r="P83" s="2682"/>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2"/>
      <c r="Q84" s="503"/>
    </row>
    <row r="85" spans="1:17" ht="15.75" thickTop="1">
      <c r="A85" s="533"/>
      <c r="B85" s="537" t="s">
        <v>2692</v>
      </c>
      <c r="C85" s="577" t="s">
        <v>2591</v>
      </c>
      <c r="D85" s="577" t="s">
        <v>2592</v>
      </c>
      <c r="E85" s="577" t="s">
        <v>2593</v>
      </c>
      <c r="F85" s="577" t="s">
        <v>2594</v>
      </c>
      <c r="G85" s="577" t="s">
        <v>2595</v>
      </c>
      <c r="H85" s="538"/>
      <c r="I85" s="538"/>
      <c r="J85" s="538"/>
      <c r="K85" s="539"/>
      <c r="L85" s="540"/>
      <c r="M85" s="541"/>
      <c r="N85" s="1151"/>
      <c r="O85" s="1151"/>
      <c r="P85" s="2682"/>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2"/>
      <c r="Q86" s="503"/>
    </row>
    <row r="87" spans="1:17" s="117" customFormat="1" ht="27.75" thickTop="1">
      <c r="A87" s="578"/>
      <c r="B87" s="537" t="s">
        <v>2693</v>
      </c>
      <c r="C87" s="553"/>
      <c r="D87" s="553"/>
      <c r="E87" s="553"/>
      <c r="F87" s="553"/>
      <c r="G87" s="553"/>
      <c r="H87" s="553"/>
      <c r="I87" s="553"/>
      <c r="J87" s="553"/>
      <c r="K87" s="553"/>
      <c r="L87" s="579"/>
      <c r="M87" s="580"/>
      <c r="N87" s="1150"/>
      <c r="O87" s="1150"/>
      <c r="P87" s="2682"/>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2"/>
      <c r="Q88" s="503"/>
    </row>
    <row r="89" spans="1:17" s="117" customFormat="1" ht="15.75" thickTop="1">
      <c r="A89" s="578"/>
      <c r="B89" s="537" t="str">
        <f>B27</f>
        <v>楼层</v>
      </c>
      <c r="C89" s="553"/>
      <c r="D89" s="553"/>
      <c r="E89" s="553"/>
      <c r="F89" s="2633"/>
      <c r="G89" s="553"/>
      <c r="H89" s="553"/>
      <c r="I89" s="553"/>
      <c r="J89" s="553"/>
      <c r="K89" s="553"/>
      <c r="L89" s="553"/>
      <c r="M89" s="580"/>
      <c r="N89" s="1150"/>
      <c r="O89" s="1150"/>
      <c r="P89" s="2682"/>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2"/>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83"/>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3"/>
      <c r="Q92" s="558"/>
    </row>
    <row r="93" spans="1:17" ht="15.75" thickTop="1">
      <c r="A93" s="533"/>
      <c r="B93" s="537">
        <f>B29</f>
        <v>111</v>
      </c>
      <c r="C93" s="553"/>
      <c r="D93" s="553"/>
      <c r="E93" s="553"/>
      <c r="F93" s="553"/>
      <c r="G93" s="553"/>
      <c r="H93" s="553"/>
      <c r="I93" s="553"/>
      <c r="J93" s="553"/>
      <c r="K93" s="553"/>
      <c r="L93" s="579"/>
      <c r="M93" s="580"/>
      <c r="N93" s="1151"/>
      <c r="O93" s="1151"/>
      <c r="P93" s="2682"/>
      <c r="Q93" s="503"/>
    </row>
    <row r="94" spans="1:17" ht="15.75" thickBot="1">
      <c r="A94" s="533"/>
      <c r="B94" s="542"/>
      <c r="C94" s="559"/>
      <c r="D94" s="535"/>
      <c r="E94" s="535"/>
      <c r="F94" s="535"/>
      <c r="G94" s="535"/>
      <c r="H94" s="535"/>
      <c r="I94" s="535"/>
      <c r="J94" s="535"/>
      <c r="K94" s="535"/>
      <c r="L94" s="535"/>
      <c r="M94" s="536"/>
      <c r="N94" s="1152"/>
      <c r="O94" s="1152"/>
      <c r="P94" s="2682"/>
      <c r="Q94" s="503"/>
    </row>
    <row r="95" spans="1:17" ht="15.75" thickTop="1">
      <c r="A95" s="533"/>
      <c r="B95" s="537">
        <f>B30</f>
        <v>111</v>
      </c>
      <c r="C95" s="553"/>
      <c r="D95" s="553"/>
      <c r="E95" s="553"/>
      <c r="F95" s="553"/>
      <c r="G95" s="582"/>
      <c r="H95" s="582"/>
      <c r="I95" s="582"/>
      <c r="J95" s="582"/>
      <c r="K95" s="583"/>
      <c r="L95" s="584"/>
      <c r="M95" s="585"/>
      <c r="N95" s="1151"/>
      <c r="O95" s="1151"/>
      <c r="P95" s="2682"/>
      <c r="Q95" s="503"/>
    </row>
    <row r="96" spans="1:17" ht="15.75" thickBot="1">
      <c r="A96" s="533"/>
      <c r="B96" s="542"/>
      <c r="C96" s="559"/>
      <c r="D96" s="559"/>
      <c r="E96" s="559"/>
      <c r="F96" s="559"/>
      <c r="G96" s="535"/>
      <c r="H96" s="535"/>
      <c r="I96" s="535"/>
      <c r="J96" s="535"/>
      <c r="K96" s="535"/>
      <c r="L96" s="535"/>
      <c r="M96" s="536"/>
      <c r="N96" s="1152"/>
      <c r="O96" s="1152"/>
      <c r="P96" s="2682"/>
      <c r="Q96" s="503"/>
    </row>
    <row r="97" spans="1:17" ht="15.75" thickTop="1">
      <c r="A97" s="533"/>
      <c r="B97" s="537">
        <f>B31</f>
        <v>111</v>
      </c>
      <c r="C97" s="553"/>
      <c r="D97" s="553"/>
      <c r="E97" s="553"/>
      <c r="F97" s="553"/>
      <c r="G97" s="582"/>
      <c r="H97" s="582"/>
      <c r="I97" s="582"/>
      <c r="J97" s="582"/>
      <c r="K97" s="583"/>
      <c r="L97" s="584"/>
      <c r="M97" s="585"/>
      <c r="N97" s="1151"/>
      <c r="O97" s="1151"/>
      <c r="P97" s="2682"/>
      <c r="Q97" s="503"/>
    </row>
    <row r="98" spans="1:17" ht="15.75" thickBot="1">
      <c r="A98" s="533"/>
      <c r="B98" s="542"/>
      <c r="C98" s="559"/>
      <c r="D98" s="535"/>
      <c r="E98" s="535"/>
      <c r="F98" s="535"/>
      <c r="G98" s="535"/>
      <c r="H98" s="535"/>
      <c r="I98" s="535"/>
      <c r="J98" s="535"/>
      <c r="K98" s="535"/>
      <c r="L98" s="535"/>
      <c r="M98" s="536"/>
      <c r="N98" s="1152"/>
      <c r="O98" s="1152"/>
      <c r="P98" s="2682"/>
      <c r="Q98" s="503"/>
    </row>
    <row r="99" spans="1:17" ht="15.75" thickTop="1">
      <c r="A99" s="533"/>
      <c r="B99" s="545">
        <f>B32</f>
        <v>111</v>
      </c>
      <c r="C99" s="522"/>
      <c r="D99" s="522"/>
      <c r="E99" s="522"/>
      <c r="F99" s="522"/>
      <c r="G99" s="586"/>
      <c r="H99" s="586"/>
      <c r="I99" s="586"/>
      <c r="J99" s="586"/>
      <c r="K99" s="587"/>
      <c r="L99" s="588"/>
      <c r="M99" s="589"/>
      <c r="N99" s="1151"/>
      <c r="O99" s="1151"/>
      <c r="P99" s="2682"/>
      <c r="Q99" s="503"/>
    </row>
    <row r="100" spans="1:17" ht="15.75" thickBot="1">
      <c r="A100" s="2634"/>
      <c r="B100" s="568"/>
      <c r="C100" s="569"/>
      <c r="D100" s="569"/>
      <c r="E100" s="569"/>
      <c r="F100" s="569"/>
      <c r="G100" s="590"/>
      <c r="H100" s="590"/>
      <c r="I100" s="590"/>
      <c r="J100" s="590"/>
      <c r="K100" s="590"/>
      <c r="L100" s="590"/>
      <c r="M100" s="591"/>
      <c r="N100" s="1152"/>
      <c r="O100" s="1152"/>
      <c r="P100" s="2682"/>
      <c r="Q100" s="503"/>
    </row>
    <row r="101" spans="1:17">
      <c r="A101" s="526" t="s">
        <v>2557</v>
      </c>
      <c r="B101" s="527" t="s">
        <v>2606</v>
      </c>
      <c r="C101" s="529"/>
      <c r="D101" s="529"/>
      <c r="E101" s="529"/>
      <c r="F101" s="529"/>
      <c r="G101" s="529"/>
      <c r="H101" s="529"/>
      <c r="I101" s="529"/>
      <c r="J101" s="529"/>
      <c r="K101" s="530"/>
      <c r="L101" s="531"/>
      <c r="M101" s="532"/>
      <c r="N101" s="1151"/>
      <c r="O101" s="1151"/>
      <c r="P101" s="2682"/>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2"/>
      <c r="Q102" s="503"/>
    </row>
    <row r="103" spans="1:17" ht="15.75" thickTop="1">
      <c r="A103" s="533"/>
      <c r="B103" s="537" t="s">
        <v>2607</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2"/>
      <c r="Q103" s="503"/>
    </row>
    <row r="104" spans="1:17" s="470" customFormat="1">
      <c r="A104" s="592"/>
      <c r="B104" s="593"/>
      <c r="C104" s="594"/>
      <c r="D104" s="594"/>
      <c r="E104" s="594"/>
      <c r="F104" s="594"/>
      <c r="G104" s="594"/>
      <c r="H104" s="594"/>
      <c r="I104" s="594"/>
      <c r="J104" s="595"/>
      <c r="K104" s="595"/>
      <c r="L104" s="596"/>
      <c r="M104" s="597"/>
      <c r="N104" s="1153"/>
      <c r="O104" s="1153"/>
      <c r="P104" s="2683"/>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83"/>
      <c r="Q105" s="558"/>
    </row>
    <row r="106" spans="1:17" ht="15" thickTop="1">
      <c r="A106" s="598"/>
      <c r="B106" s="537" t="s">
        <v>2608</v>
      </c>
      <c r="C106" s="553"/>
      <c r="D106" s="553"/>
      <c r="E106" s="582"/>
      <c r="F106" s="582"/>
      <c r="G106" s="582"/>
      <c r="H106" s="582"/>
      <c r="I106" s="582"/>
      <c r="J106" s="582"/>
      <c r="K106" s="583"/>
      <c r="L106" s="584"/>
      <c r="M106" s="585"/>
      <c r="N106" s="1151"/>
      <c r="O106" s="1151"/>
      <c r="P106" s="2682"/>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2"/>
      <c r="Q107" s="503"/>
    </row>
    <row r="108" spans="1:17" ht="15" thickTop="1">
      <c r="A108" s="598"/>
      <c r="B108" s="537" t="s">
        <v>2610</v>
      </c>
      <c r="C108" s="553"/>
      <c r="D108" s="553"/>
      <c r="E108" s="553"/>
      <c r="F108" s="582"/>
      <c r="G108" s="582"/>
      <c r="H108" s="582"/>
      <c r="I108" s="582"/>
      <c r="J108" s="582"/>
      <c r="K108" s="583"/>
      <c r="L108" s="584"/>
      <c r="M108" s="585"/>
      <c r="N108" s="1151"/>
      <c r="O108" s="1151"/>
      <c r="P108" s="2682"/>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2"/>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2"/>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2"/>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2"/>
      <c r="Q112" s="503"/>
    </row>
    <row r="113" spans="1:17" s="470" customFormat="1" ht="15" thickTop="1">
      <c r="A113" s="592"/>
      <c r="B113" s="537" t="s">
        <v>2694</v>
      </c>
      <c r="C113" s="553"/>
      <c r="D113" s="553"/>
      <c r="E113" s="553"/>
      <c r="F113" s="553"/>
      <c r="G113" s="553"/>
      <c r="H113" s="582"/>
      <c r="I113" s="582"/>
      <c r="J113" s="582"/>
      <c r="K113" s="583"/>
      <c r="L113" s="584"/>
      <c r="M113" s="585"/>
      <c r="N113" s="1153"/>
      <c r="O113" s="1153"/>
      <c r="P113" s="2683"/>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3"/>
      <c r="Q114" s="558"/>
    </row>
    <row r="115" spans="1:17" ht="15" thickTop="1">
      <c r="A115" s="598"/>
      <c r="B115" s="537" t="s">
        <v>2611</v>
      </c>
      <c r="C115" s="553"/>
      <c r="D115" s="553"/>
      <c r="E115" s="582"/>
      <c r="F115" s="582"/>
      <c r="G115" s="582"/>
      <c r="H115" s="582"/>
      <c r="I115" s="582"/>
      <c r="J115" s="582"/>
      <c r="K115" s="583"/>
      <c r="L115" s="584"/>
      <c r="M115" s="585"/>
      <c r="N115" s="1151"/>
      <c r="O115" s="1151"/>
      <c r="P115" s="2682"/>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2"/>
      <c r="Q116" s="503"/>
    </row>
    <row r="117" spans="1:17" ht="15" thickTop="1">
      <c r="A117" s="598"/>
      <c r="B117" s="537" t="s">
        <v>2612</v>
      </c>
      <c r="C117" s="553"/>
      <c r="D117" s="553"/>
      <c r="E117" s="553"/>
      <c r="F117" s="553"/>
      <c r="G117" s="553"/>
      <c r="H117" s="582"/>
      <c r="I117" s="582"/>
      <c r="J117" s="582"/>
      <c r="K117" s="583"/>
      <c r="L117" s="584"/>
      <c r="M117" s="585"/>
      <c r="N117" s="1151"/>
      <c r="O117" s="1151"/>
      <c r="P117" s="2682"/>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2"/>
      <c r="Q118" s="503"/>
    </row>
    <row r="119" spans="1:17" ht="15" thickTop="1">
      <c r="A119" s="598"/>
      <c r="B119" s="635" t="s">
        <v>2695</v>
      </c>
      <c r="C119" s="582"/>
      <c r="D119" s="582"/>
      <c r="E119" s="582"/>
      <c r="F119" s="582"/>
      <c r="G119" s="582"/>
      <c r="H119" s="582"/>
      <c r="I119" s="582"/>
      <c r="J119" s="582"/>
      <c r="K119" s="582"/>
      <c r="L119" s="2687"/>
      <c r="M119" s="2688"/>
      <c r="N119" s="1152"/>
      <c r="O119" s="1152"/>
      <c r="P119" s="2689"/>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2"/>
      <c r="Q120" s="503"/>
    </row>
    <row r="121" spans="1:17" s="470" customFormat="1" ht="15" thickTop="1">
      <c r="A121" s="592"/>
      <c r="B121" s="537" t="s">
        <v>2678</v>
      </c>
      <c r="C121" s="553"/>
      <c r="D121" s="553"/>
      <c r="E121" s="553"/>
      <c r="F121" s="582"/>
      <c r="G121" s="554"/>
      <c r="H121" s="554"/>
      <c r="I121" s="554"/>
      <c r="J121" s="554"/>
      <c r="K121" s="554"/>
      <c r="L121" s="555"/>
      <c r="M121" s="556"/>
      <c r="N121" s="1153"/>
      <c r="O121" s="1153"/>
      <c r="P121" s="2683"/>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3"/>
      <c r="Q122" s="558"/>
    </row>
    <row r="123" spans="1:17" ht="15" thickTop="1">
      <c r="A123" s="598"/>
      <c r="B123" s="537" t="s">
        <v>2614</v>
      </c>
      <c r="C123" s="553"/>
      <c r="D123" s="553"/>
      <c r="E123" s="553"/>
      <c r="F123" s="582"/>
      <c r="G123" s="582"/>
      <c r="H123" s="582"/>
      <c r="I123" s="582"/>
      <c r="J123" s="582"/>
      <c r="K123" s="583"/>
      <c r="L123" s="584"/>
      <c r="M123" s="585"/>
      <c r="N123" s="1151"/>
      <c r="O123" s="1151"/>
      <c r="P123" s="2682"/>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2"/>
      <c r="Q124" s="503"/>
    </row>
    <row r="125" spans="1:17" ht="15" thickTop="1">
      <c r="A125" s="598"/>
      <c r="B125" s="537" t="s">
        <v>2615</v>
      </c>
      <c r="C125" s="577" t="s">
        <v>2591</v>
      </c>
      <c r="D125" s="577" t="s">
        <v>2592</v>
      </c>
      <c r="E125" s="577" t="s">
        <v>2593</v>
      </c>
      <c r="F125" s="577" t="s">
        <v>2594</v>
      </c>
      <c r="G125" s="577" t="s">
        <v>2595</v>
      </c>
      <c r="H125" s="538"/>
      <c r="I125" s="538"/>
      <c r="J125" s="538"/>
      <c r="K125" s="539"/>
      <c r="L125" s="540"/>
      <c r="M125" s="541"/>
      <c r="N125" s="1151"/>
      <c r="O125" s="1151"/>
      <c r="P125" s="2683"/>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2"/>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83"/>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83"/>
      <c r="Q128" s="558"/>
    </row>
    <row r="129" spans="1:17" ht="15" thickTop="1">
      <c r="A129" s="598"/>
      <c r="B129" s="537">
        <f>B46</f>
        <v>111</v>
      </c>
      <c r="C129" s="553"/>
      <c r="D129" s="553"/>
      <c r="E129" s="553"/>
      <c r="F129" s="553"/>
      <c r="G129" s="582"/>
      <c r="H129" s="582"/>
      <c r="I129" s="582"/>
      <c r="J129" s="582"/>
      <c r="K129" s="583"/>
      <c r="L129" s="584"/>
      <c r="M129" s="585"/>
      <c r="N129" s="1151"/>
      <c r="O129" s="1151"/>
      <c r="P129" s="2682"/>
      <c r="Q129" s="503"/>
    </row>
    <row r="130" spans="1:17" ht="15.75" thickBot="1">
      <c r="A130" s="533"/>
      <c r="B130" s="542"/>
      <c r="C130" s="559"/>
      <c r="D130" s="559"/>
      <c r="E130" s="559"/>
      <c r="F130" s="559"/>
      <c r="G130" s="535"/>
      <c r="H130" s="535"/>
      <c r="I130" s="535"/>
      <c r="J130" s="535"/>
      <c r="K130" s="535"/>
      <c r="L130" s="535"/>
      <c r="M130" s="536"/>
      <c r="N130" s="1152"/>
      <c r="O130" s="1152"/>
      <c r="P130" s="2682"/>
      <c r="Q130" s="503"/>
    </row>
    <row r="131" spans="1:17" ht="15" thickTop="1">
      <c r="A131" s="598"/>
      <c r="B131" s="545">
        <f>B47</f>
        <v>111</v>
      </c>
      <c r="C131" s="522"/>
      <c r="D131" s="522"/>
      <c r="E131" s="522"/>
      <c r="F131" s="522"/>
      <c r="G131" s="586"/>
      <c r="H131" s="586"/>
      <c r="I131" s="586"/>
      <c r="J131" s="586"/>
      <c r="K131" s="522"/>
      <c r="L131" s="523"/>
      <c r="M131" s="589"/>
      <c r="N131" s="1151"/>
      <c r="O131" s="1151"/>
      <c r="P131" s="2682"/>
      <c r="Q131" s="503"/>
    </row>
    <row r="132" spans="1:17" ht="15.75" thickBot="1">
      <c r="A132" s="2634"/>
      <c r="B132" s="568"/>
      <c r="C132" s="569"/>
      <c r="D132" s="569"/>
      <c r="E132" s="569"/>
      <c r="F132" s="569"/>
      <c r="G132" s="590"/>
      <c r="H132" s="590"/>
      <c r="I132" s="590"/>
      <c r="J132" s="590"/>
      <c r="K132" s="590"/>
      <c r="L132" s="590"/>
      <c r="M132" s="591"/>
      <c r="N132" s="1152"/>
      <c r="O132" s="1152"/>
      <c r="P132" s="2682"/>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4"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2522</v>
      </c>
      <c r="B1" s="2667" t="s">
        <v>2696</v>
      </c>
      <c r="C1" s="1619" t="s">
        <v>2524</v>
      </c>
      <c r="D1" s="1620"/>
      <c r="E1" s="1629"/>
      <c r="F1" s="2582"/>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2321</v>
      </c>
      <c r="B2" s="1417" t="e">
        <f ca="1">IF(C2="——",ROUND(C43*D3/10000,0),ROUND(C43*D3/10000,0)-D2)</f>
        <v>#DIV/0!</v>
      </c>
      <c r="C2" s="2584"/>
      <c r="D2" s="1123" t="e">
        <f ca="1">SUMIF(INDIRECT("'"&amp;F2&amp;"'"&amp;"!A:A"),"承租人权益价值",INDIRECT("'"&amp;F2&amp;"'"&amp;"!c:c"))</f>
        <v>#REF!</v>
      </c>
      <c r="E2" s="2585" t="s">
        <v>2322</v>
      </c>
      <c r="F2" s="2586"/>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2323</v>
      </c>
      <c r="B3" s="608" t="e">
        <f ca="1">IF(C2="——",C43,ROUND(B2*10000/D3,0))</f>
        <v>#DIV/0!</v>
      </c>
      <c r="C3" s="399" t="s">
        <v>2638</v>
      </c>
      <c r="D3" s="398">
        <f>IF(D1="",'数据-汇总表'!E3,SUMIF('数据-汇总表'!$C19:$C33,D1,'数据-汇总表'!$E19:$E33))</f>
        <v>83329.149999999994</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2639</v>
      </c>
      <c r="B4" s="401"/>
      <c r="C4" s="3294" t="s">
        <v>2640</v>
      </c>
      <c r="D4" s="3295"/>
      <c r="E4" s="3296" t="s">
        <v>2641</v>
      </c>
      <c r="F4" s="3297"/>
      <c r="G4" s="3294" t="s">
        <v>2642</v>
      </c>
      <c r="H4" s="3295"/>
      <c r="I4" s="3294" t="s">
        <v>2643</v>
      </c>
      <c r="J4" s="3295"/>
      <c r="K4" s="609" t="s">
        <v>2644</v>
      </c>
      <c r="L4" s="1129"/>
      <c r="M4" s="1130"/>
      <c r="N4" s="1130"/>
      <c r="O4" s="1130"/>
      <c r="P4" s="3298" t="s">
        <v>2645</v>
      </c>
      <c r="Q4" s="3299"/>
      <c r="R4" s="3304" t="s">
        <v>2641</v>
      </c>
      <c r="S4" s="3305"/>
      <c r="T4" s="3304" t="s">
        <v>2642</v>
      </c>
      <c r="U4" s="3305"/>
      <c r="V4" s="3310" t="s">
        <v>2643</v>
      </c>
      <c r="W4" s="3310"/>
      <c r="X4" s="1812"/>
      <c r="Y4" s="3304" t="s">
        <v>2645</v>
      </c>
      <c r="Z4" s="3305"/>
      <c r="AA4" s="3291" t="s">
        <v>2641</v>
      </c>
      <c r="AB4" s="3292" t="s">
        <v>2642</v>
      </c>
      <c r="AC4" s="3291" t="s">
        <v>2643</v>
      </c>
    </row>
    <row r="5" spans="1:29" ht="15">
      <c r="A5" s="403"/>
      <c r="B5" s="404"/>
      <c r="C5" s="3313" t="s">
        <v>2536</v>
      </c>
      <c r="D5" s="3314"/>
      <c r="E5" s="3320" t="s">
        <v>2537</v>
      </c>
      <c r="F5" s="3321"/>
      <c r="G5" s="3313" t="s">
        <v>2538</v>
      </c>
      <c r="H5" s="3314"/>
      <c r="I5" s="3313" t="s">
        <v>2539</v>
      </c>
      <c r="J5" s="3314"/>
      <c r="K5" s="609"/>
      <c r="L5" s="1129"/>
      <c r="M5" s="1130"/>
      <c r="N5" s="1130"/>
      <c r="O5" s="1130"/>
      <c r="P5" s="3300"/>
      <c r="Q5" s="3301"/>
      <c r="R5" s="3306"/>
      <c r="S5" s="3307"/>
      <c r="T5" s="3306"/>
      <c r="U5" s="3307"/>
      <c r="V5" s="3310"/>
      <c r="W5" s="3310"/>
      <c r="X5" s="1812"/>
      <c r="Y5" s="3306"/>
      <c r="Z5" s="3307"/>
      <c r="AA5" s="3292"/>
      <c r="AB5" s="3292"/>
      <c r="AC5" s="3292"/>
    </row>
    <row r="6" spans="1:29" ht="15.75" thickBot="1">
      <c r="A6" s="405"/>
      <c r="B6" s="406"/>
      <c r="C6" s="3311" t="s">
        <v>2540</v>
      </c>
      <c r="D6" s="3312"/>
      <c r="E6" s="3318" t="s">
        <v>2540</v>
      </c>
      <c r="F6" s="3319"/>
      <c r="G6" s="3311" t="s">
        <v>2540</v>
      </c>
      <c r="H6" s="3312"/>
      <c r="I6" s="3311" t="s">
        <v>2540</v>
      </c>
      <c r="J6" s="3312"/>
      <c r="K6" s="609" t="s">
        <v>2541</v>
      </c>
      <c r="L6" s="1129"/>
      <c r="M6" s="1130"/>
      <c r="N6" s="1130"/>
      <c r="O6" s="1130"/>
      <c r="P6" s="3302"/>
      <c r="Q6" s="3303"/>
      <c r="R6" s="3306"/>
      <c r="S6" s="3307"/>
      <c r="T6" s="3308"/>
      <c r="U6" s="3309"/>
      <c r="V6" s="3310"/>
      <c r="W6" s="3310"/>
      <c r="X6" s="1812"/>
      <c r="Y6" s="3308"/>
      <c r="Z6" s="3309"/>
      <c r="AA6" s="3293"/>
      <c r="AB6" s="3293"/>
      <c r="AC6" s="3293"/>
    </row>
    <row r="7" spans="1:29" s="117" customFormat="1" ht="15.75" thickBot="1">
      <c r="A7" s="407" t="s">
        <v>2542</v>
      </c>
      <c r="B7" s="408"/>
      <c r="C7" s="409">
        <f>'数据-取费表'!B2</f>
        <v>43691</v>
      </c>
      <c r="D7" s="410">
        <v>100</v>
      </c>
      <c r="E7" s="411"/>
      <c r="F7" s="412">
        <f>SUMIF(52:52,YEAR(E7)&amp;"-"&amp;MONTH(E7),53:53)</f>
        <v>0</v>
      </c>
      <c r="G7" s="411"/>
      <c r="H7" s="410">
        <f>SUMIF(52:52,YEAR(G7)&amp;"-"&amp;MONTH(G7),53:53)</f>
        <v>0</v>
      </c>
      <c r="I7" s="411"/>
      <c r="J7" s="410">
        <f>SUMIF(52:52,YEAR(I7)&amp;"-"&amp;MONTH(I7),53:53)</f>
        <v>0</v>
      </c>
      <c r="K7" s="610"/>
      <c r="L7" s="1131"/>
      <c r="M7" s="1132"/>
      <c r="N7" s="1132"/>
      <c r="O7" s="1132"/>
      <c r="P7" s="3315" t="s">
        <v>2543</v>
      </c>
      <c r="Q7" s="3317"/>
      <c r="R7" s="769" t="s">
        <v>17</v>
      </c>
      <c r="S7" s="770">
        <f t="shared" ref="S7:S15" si="0">F7</f>
        <v>0</v>
      </c>
      <c r="T7" s="769" t="s">
        <v>17</v>
      </c>
      <c r="U7" s="770">
        <f t="shared" ref="U7:U15" si="1">H7</f>
        <v>0</v>
      </c>
      <c r="V7" s="769" t="s">
        <v>17</v>
      </c>
      <c r="W7" s="770">
        <f t="shared" ref="W7:W15" si="2">J7</f>
        <v>0</v>
      </c>
      <c r="X7" s="771"/>
      <c r="Y7" s="3315" t="s">
        <v>2543</v>
      </c>
      <c r="Z7" s="3316"/>
      <c r="AA7" s="772" t="e">
        <f>D7/F7</f>
        <v>#DIV/0!</v>
      </c>
      <c r="AB7" s="772" t="e">
        <f>D7/H7</f>
        <v>#DIV/0!</v>
      </c>
      <c r="AC7" s="772" t="e">
        <f>D7/J7</f>
        <v>#DIV/0!</v>
      </c>
    </row>
    <row r="8" spans="1:29" s="117" customFormat="1" ht="15.75" thickBot="1">
      <c r="A8" s="407" t="s">
        <v>2544</v>
      </c>
      <c r="B8" s="408"/>
      <c r="C8" s="413" t="s">
        <v>2545</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315" t="s">
        <v>2546</v>
      </c>
      <c r="Q8" s="3316"/>
      <c r="R8" s="769" t="s">
        <v>17</v>
      </c>
      <c r="S8" s="770">
        <f t="shared" si="0"/>
        <v>0</v>
      </c>
      <c r="T8" s="769" t="s">
        <v>17</v>
      </c>
      <c r="U8" s="770">
        <f t="shared" si="1"/>
        <v>0</v>
      </c>
      <c r="V8" s="769" t="s">
        <v>17</v>
      </c>
      <c r="W8" s="770">
        <f t="shared" si="2"/>
        <v>0</v>
      </c>
      <c r="X8" s="771"/>
      <c r="Y8" s="3315" t="s">
        <v>2546</v>
      </c>
      <c r="Z8" s="3316"/>
      <c r="AA8" s="772" t="e">
        <f t="shared" ref="AA8:AA40" si="3">D8/F8</f>
        <v>#DIV/0!</v>
      </c>
      <c r="AB8" s="772" t="e">
        <f t="shared" ref="AB8:AB40" si="4">D8/H8</f>
        <v>#DIV/0!</v>
      </c>
      <c r="AC8" s="772" t="e">
        <f t="shared" ref="AC8:AC40" si="5">D8/J8</f>
        <v>#DIV/0!</v>
      </c>
    </row>
    <row r="9" spans="1:29" s="117" customFormat="1">
      <c r="A9" s="414" t="s">
        <v>2547</v>
      </c>
      <c r="B9" s="71" t="s">
        <v>2548</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79" t="s">
        <v>2549</v>
      </c>
      <c r="Q9" s="1794" t="str">
        <f t="shared" ref="Q9:Q15" si="6">B9</f>
        <v>用途</v>
      </c>
      <c r="R9" s="769" t="s">
        <v>17</v>
      </c>
      <c r="S9" s="770">
        <f t="shared" si="0"/>
        <v>100</v>
      </c>
      <c r="T9" s="769" t="s">
        <v>17</v>
      </c>
      <c r="U9" s="770">
        <f t="shared" si="1"/>
        <v>100</v>
      </c>
      <c r="V9" s="769" t="s">
        <v>17</v>
      </c>
      <c r="W9" s="770">
        <f t="shared" si="2"/>
        <v>100</v>
      </c>
      <c r="X9" s="771"/>
      <c r="Y9" s="3077" t="s">
        <v>2550</v>
      </c>
      <c r="Z9" s="55" t="str">
        <f t="shared" ref="Z9:Z15" si="7">Q9</f>
        <v>用途</v>
      </c>
      <c r="AA9" s="772">
        <f t="shared" si="3"/>
        <v>1</v>
      </c>
      <c r="AB9" s="772">
        <f t="shared" si="4"/>
        <v>1</v>
      </c>
      <c r="AC9" s="772">
        <f t="shared" si="5"/>
        <v>1</v>
      </c>
    </row>
    <row r="10" spans="1:29" s="426" customFormat="1" ht="27">
      <c r="A10" s="420"/>
      <c r="B10" s="421" t="s">
        <v>2551</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79"/>
      <c r="Q10" s="1794" t="str">
        <f t="shared" si="6"/>
        <v>土地使用年限（年）</v>
      </c>
      <c r="R10" s="769" t="s">
        <v>17</v>
      </c>
      <c r="S10" s="770">
        <f t="shared" si="0"/>
        <v>100</v>
      </c>
      <c r="T10" s="769" t="s">
        <v>17</v>
      </c>
      <c r="U10" s="770">
        <f t="shared" si="1"/>
        <v>100</v>
      </c>
      <c r="V10" s="769" t="s">
        <v>17</v>
      </c>
      <c r="W10" s="770">
        <f t="shared" si="2"/>
        <v>100</v>
      </c>
      <c r="X10" s="771"/>
      <c r="Y10" s="3077"/>
      <c r="Z10" s="55" t="str">
        <f t="shared" si="7"/>
        <v>土地使用年限（年）</v>
      </c>
      <c r="AA10" s="772">
        <f t="shared" si="3"/>
        <v>1</v>
      </c>
      <c r="AB10" s="772">
        <f t="shared" si="4"/>
        <v>1</v>
      </c>
      <c r="AC10" s="772">
        <f t="shared" si="5"/>
        <v>1</v>
      </c>
    </row>
    <row r="11" spans="1:29" ht="15">
      <c r="A11" s="427"/>
      <c r="B11" s="421" t="s">
        <v>2552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79"/>
      <c r="Q11" s="1794" t="str">
        <f t="shared" si="6"/>
        <v>容积率</v>
      </c>
      <c r="R11" s="769" t="s">
        <v>17</v>
      </c>
      <c r="S11" s="770" t="e">
        <f t="shared" si="0"/>
        <v>#N/A</v>
      </c>
      <c r="T11" s="769" t="s">
        <v>17</v>
      </c>
      <c r="U11" s="770" t="e">
        <f t="shared" si="1"/>
        <v>#N/A</v>
      </c>
      <c r="V11" s="769" t="s">
        <v>17</v>
      </c>
      <c r="W11" s="770" t="e">
        <f t="shared" si="2"/>
        <v>#N/A</v>
      </c>
      <c r="X11" s="771"/>
      <c r="Y11" s="3077"/>
      <c r="Z11" s="55" t="str">
        <f t="shared" si="7"/>
        <v>容积率</v>
      </c>
      <c r="AA11" s="772" t="e">
        <f t="shared" si="3"/>
        <v>#N/A</v>
      </c>
      <c r="AB11" s="772" t="e">
        <f t="shared" si="4"/>
        <v>#N/A</v>
      </c>
      <c r="AC11" s="772" t="e">
        <f t="shared" si="5"/>
        <v>#N/A</v>
      </c>
    </row>
    <row r="12" spans="1:29" s="117" customFormat="1" ht="15">
      <c r="A12" s="430"/>
      <c r="B12" s="2598">
        <v>111</v>
      </c>
      <c r="C12" s="431"/>
      <c r="D12" s="432">
        <v>100</v>
      </c>
      <c r="E12" s="433"/>
      <c r="F12" s="135">
        <f>SUMIF(64:64,E12,65:65)-SUMIF(64:64,C12,65:65)+100</f>
        <v>100</v>
      </c>
      <c r="G12" s="2690"/>
      <c r="H12" s="135">
        <f>SUMIF(64:64,G12,65:65)-SUMIF(64:64,C12,65:65)+100</f>
        <v>100</v>
      </c>
      <c r="I12" s="468"/>
      <c r="J12" s="135">
        <f>SUMIF(64:64,I12,65:65)-SUMIF(64:64,C12,65:65)+100</f>
        <v>100</v>
      </c>
      <c r="K12" s="612"/>
      <c r="L12" s="1131"/>
      <c r="M12" s="1132"/>
      <c r="N12" s="1132"/>
      <c r="O12" s="1133"/>
      <c r="P12" s="3279"/>
      <c r="Q12" s="1794">
        <f t="shared" si="6"/>
        <v>111</v>
      </c>
      <c r="R12" s="769" t="s">
        <v>17</v>
      </c>
      <c r="S12" s="770">
        <f t="shared" si="0"/>
        <v>100</v>
      </c>
      <c r="T12" s="769" t="s">
        <v>17</v>
      </c>
      <c r="U12" s="770">
        <f t="shared" si="1"/>
        <v>100</v>
      </c>
      <c r="V12" s="769" t="s">
        <v>17</v>
      </c>
      <c r="W12" s="770">
        <f t="shared" si="2"/>
        <v>100</v>
      </c>
      <c r="X12" s="771"/>
      <c r="Y12" s="3077"/>
      <c r="Z12" s="55">
        <f t="shared" si="7"/>
        <v>111</v>
      </c>
      <c r="AA12" s="772">
        <f>D12/F12</f>
        <v>1</v>
      </c>
      <c r="AB12" s="772">
        <f>D12/H12</f>
        <v>1</v>
      </c>
      <c r="AC12" s="772">
        <f>D12/J12</f>
        <v>1</v>
      </c>
    </row>
    <row r="13" spans="1:29" ht="15">
      <c r="A13" s="427"/>
      <c r="B13" s="2598">
        <v>111</v>
      </c>
      <c r="C13" s="433"/>
      <c r="D13" s="434">
        <v>100</v>
      </c>
      <c r="E13" s="433"/>
      <c r="F13" s="135">
        <f>SUMIF(66:66,E13,67:67)-SUMIF(66:66,C13,67:67)+100</f>
        <v>100</v>
      </c>
      <c r="G13" s="2690"/>
      <c r="H13" s="434">
        <f>SUMIF(66:66,G13,67:67)-SUMIF(66:66,C13,67:67)+100</f>
        <v>100</v>
      </c>
      <c r="I13" s="468"/>
      <c r="J13" s="434">
        <f>SUMIF(66:66,I13,67:67)-SUMIF(66:66,C13,67:67)+100</f>
        <v>100</v>
      </c>
      <c r="K13" s="612"/>
      <c r="L13" s="1139"/>
      <c r="M13" s="1130"/>
      <c r="N13" s="1130"/>
      <c r="O13" s="1138"/>
      <c r="P13" s="3279"/>
      <c r="Q13" s="1794">
        <f t="shared" si="6"/>
        <v>111</v>
      </c>
      <c r="R13" s="769" t="s">
        <v>17</v>
      </c>
      <c r="S13" s="770">
        <f t="shared" si="0"/>
        <v>100</v>
      </c>
      <c r="T13" s="769" t="s">
        <v>17</v>
      </c>
      <c r="U13" s="770">
        <f t="shared" si="1"/>
        <v>100</v>
      </c>
      <c r="V13" s="769" t="s">
        <v>17</v>
      </c>
      <c r="W13" s="770">
        <f t="shared" si="2"/>
        <v>100</v>
      </c>
      <c r="X13" s="771"/>
      <c r="Y13" s="3077"/>
      <c r="Z13" s="55">
        <f t="shared" si="7"/>
        <v>111</v>
      </c>
      <c r="AA13" s="772">
        <f t="shared" si="3"/>
        <v>1</v>
      </c>
      <c r="AB13" s="772">
        <f t="shared" si="4"/>
        <v>1</v>
      </c>
      <c r="AC13" s="772">
        <f t="shared" si="5"/>
        <v>1</v>
      </c>
    </row>
    <row r="14" spans="1:29" ht="15.75" thickBot="1">
      <c r="A14" s="435"/>
      <c r="B14" s="2600">
        <v>111</v>
      </c>
      <c r="C14" s="436"/>
      <c r="D14" s="437">
        <v>100</v>
      </c>
      <c r="E14" s="436"/>
      <c r="F14" s="437">
        <f>SUMIF(68:68,E14,69:69)-SUMIF(68:68,C14,69:69)+100</f>
        <v>100</v>
      </c>
      <c r="G14" s="2690"/>
      <c r="H14" s="437">
        <f>SUMIF(68:68,G14,69:69)-SUMIF(68:68,C14,69:69)+100</f>
        <v>100</v>
      </c>
      <c r="I14" s="468"/>
      <c r="J14" s="437">
        <f>SUMIF(68:68,I14,69:69)-SUMIF(68:68,C14,69:69)+100</f>
        <v>100</v>
      </c>
      <c r="K14" s="612"/>
      <c r="L14" s="1139"/>
      <c r="M14" s="1130"/>
      <c r="N14" s="1130"/>
      <c r="O14" s="1138"/>
      <c r="P14" s="3279"/>
      <c r="Q14" s="1794">
        <f t="shared" si="6"/>
        <v>111</v>
      </c>
      <c r="R14" s="769" t="s">
        <v>17</v>
      </c>
      <c r="S14" s="770">
        <f t="shared" si="0"/>
        <v>100</v>
      </c>
      <c r="T14" s="769" t="s">
        <v>17</v>
      </c>
      <c r="U14" s="770">
        <f t="shared" si="1"/>
        <v>100</v>
      </c>
      <c r="V14" s="769" t="s">
        <v>17</v>
      </c>
      <c r="W14" s="770">
        <f t="shared" si="2"/>
        <v>100</v>
      </c>
      <c r="X14" s="771"/>
      <c r="Y14" s="3077"/>
      <c r="Z14" s="55">
        <f t="shared" si="7"/>
        <v>111</v>
      </c>
      <c r="AA14" s="772">
        <f t="shared" si="3"/>
        <v>1</v>
      </c>
      <c r="AB14" s="772">
        <f t="shared" si="4"/>
        <v>1</v>
      </c>
      <c r="AC14" s="772">
        <f t="shared" si="5"/>
        <v>1</v>
      </c>
    </row>
    <row r="15" spans="1:29" ht="57">
      <c r="A15" s="439" t="s">
        <v>2553</v>
      </c>
      <c r="B15" s="69" t="s">
        <v>2697</v>
      </c>
      <c r="C15" s="2691"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81" t="s">
        <v>2554</v>
      </c>
      <c r="Q15" s="1809" t="str">
        <f t="shared" si="6"/>
        <v>产业集聚程度</v>
      </c>
      <c r="R15" s="773" t="s">
        <v>17</v>
      </c>
      <c r="S15" s="774">
        <f t="shared" si="0"/>
        <v>100</v>
      </c>
      <c r="T15" s="773" t="s">
        <v>17</v>
      </c>
      <c r="U15" s="774">
        <f t="shared" si="1"/>
        <v>100</v>
      </c>
      <c r="V15" s="773" t="s">
        <v>17</v>
      </c>
      <c r="W15" s="774">
        <f t="shared" si="2"/>
        <v>100</v>
      </c>
      <c r="X15" s="1812"/>
      <c r="Y15" s="3281" t="s">
        <v>2554</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282"/>
      <c r="Q16" s="1809"/>
      <c r="R16" s="773"/>
      <c r="S16" s="774"/>
      <c r="T16" s="773"/>
      <c r="U16" s="774"/>
      <c r="V16" s="773"/>
      <c r="W16" s="774"/>
      <c r="X16" s="1812"/>
      <c r="Y16" s="3282"/>
      <c r="Z16" s="1813"/>
      <c r="AA16" s="1810">
        <v>1</v>
      </c>
      <c r="AB16" s="1810">
        <v>1</v>
      </c>
      <c r="AC16" s="1810">
        <v>1</v>
      </c>
    </row>
    <row r="17" spans="1:29" ht="85.5">
      <c r="A17" s="427"/>
      <c r="B17" s="450" t="s">
        <v>2095</v>
      </c>
      <c r="C17" s="2605"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82"/>
      <c r="Q17" s="1809" t="str">
        <f>B17</f>
        <v>交通便捷度</v>
      </c>
      <c r="R17" s="773" t="s">
        <v>17</v>
      </c>
      <c r="S17" s="774">
        <f>F17</f>
        <v>100</v>
      </c>
      <c r="T17" s="773" t="s">
        <v>17</v>
      </c>
      <c r="U17" s="774">
        <f>H17</f>
        <v>100</v>
      </c>
      <c r="V17" s="773" t="s">
        <v>17</v>
      </c>
      <c r="W17" s="774">
        <f>J17</f>
        <v>100</v>
      </c>
      <c r="X17" s="1812"/>
      <c r="Y17" s="3282"/>
      <c r="Z17" s="1813" t="str">
        <f>Q17</f>
        <v>交通便捷度</v>
      </c>
      <c r="AA17" s="1810">
        <f t="shared" si="3"/>
        <v>1</v>
      </c>
      <c r="AB17" s="1810">
        <f t="shared" si="4"/>
        <v>1</v>
      </c>
      <c r="AC17" s="1810">
        <f t="shared" si="5"/>
        <v>1</v>
      </c>
    </row>
    <row r="18" spans="1:29" ht="15">
      <c r="A18" s="427"/>
      <c r="B18" s="455"/>
      <c r="C18" s="2606"/>
      <c r="D18" s="449"/>
      <c r="E18" s="2608"/>
      <c r="F18" s="452"/>
      <c r="G18" s="2607"/>
      <c r="H18" s="447"/>
      <c r="I18" s="2608"/>
      <c r="J18" s="447"/>
      <c r="K18" s="614"/>
      <c r="L18" s="1139"/>
      <c r="M18" s="1130"/>
      <c r="N18" s="1130"/>
      <c r="O18" s="1138"/>
      <c r="P18" s="3282"/>
      <c r="Q18" s="1809"/>
      <c r="R18" s="773"/>
      <c r="S18" s="774"/>
      <c r="T18" s="773"/>
      <c r="U18" s="774"/>
      <c r="V18" s="773"/>
      <c r="W18" s="774"/>
      <c r="X18" s="1812"/>
      <c r="Y18" s="3282"/>
      <c r="Z18" s="1813"/>
      <c r="AA18" s="1810">
        <v>1</v>
      </c>
      <c r="AB18" s="1810">
        <v>1</v>
      </c>
      <c r="AC18" s="1810">
        <v>1</v>
      </c>
    </row>
    <row r="19" spans="1:29" ht="42.75">
      <c r="A19" s="427"/>
      <c r="B19" s="450" t="s">
        <v>2682</v>
      </c>
      <c r="C19" s="2605"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82"/>
      <c r="Q19" s="1809" t="str">
        <f>B19</f>
        <v>公共配套设施</v>
      </c>
      <c r="R19" s="773" t="s">
        <v>17</v>
      </c>
      <c r="S19" s="774">
        <f>F19</f>
        <v>100</v>
      </c>
      <c r="T19" s="773" t="s">
        <v>17</v>
      </c>
      <c r="U19" s="774">
        <f>H19</f>
        <v>100</v>
      </c>
      <c r="V19" s="773" t="s">
        <v>17</v>
      </c>
      <c r="W19" s="774">
        <f>J19</f>
        <v>100</v>
      </c>
      <c r="X19" s="1812"/>
      <c r="Y19" s="3282"/>
      <c r="Z19" s="1813" t="str">
        <f>Q19</f>
        <v>公共配套设施</v>
      </c>
      <c r="AA19" s="1810">
        <f t="shared" si="3"/>
        <v>1</v>
      </c>
      <c r="AB19" s="1810">
        <f t="shared" si="4"/>
        <v>1</v>
      </c>
      <c r="AC19" s="1810">
        <f t="shared" si="5"/>
        <v>1</v>
      </c>
    </row>
    <row r="20" spans="1:29" ht="15">
      <c r="A20" s="427"/>
      <c r="B20" s="455"/>
      <c r="C20" s="446"/>
      <c r="D20" s="447"/>
      <c r="E20" s="2603"/>
      <c r="F20" s="448"/>
      <c r="G20" s="2602"/>
      <c r="H20" s="447"/>
      <c r="I20" s="2603"/>
      <c r="J20" s="447"/>
      <c r="K20" s="614"/>
      <c r="L20" s="1139"/>
      <c r="M20" s="1130"/>
      <c r="N20" s="1130"/>
      <c r="O20" s="1138"/>
      <c r="P20" s="3282"/>
      <c r="Q20" s="1809"/>
      <c r="R20" s="773"/>
      <c r="S20" s="774"/>
      <c r="T20" s="773"/>
      <c r="U20" s="774"/>
      <c r="V20" s="773"/>
      <c r="W20" s="774"/>
      <c r="X20" s="1812"/>
      <c r="Y20" s="3282"/>
      <c r="Z20" s="1813"/>
      <c r="AA20" s="1810">
        <v>1</v>
      </c>
      <c r="AB20" s="1810">
        <v>1</v>
      </c>
      <c r="AC20" s="1810">
        <v>1</v>
      </c>
    </row>
    <row r="21" spans="1:29" ht="28.5">
      <c r="A21" s="427"/>
      <c r="B21" s="1383" t="s">
        <v>2683</v>
      </c>
      <c r="C21" s="2605"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82"/>
      <c r="Q21" s="1809" t="str">
        <f>B21</f>
        <v>基础设施水平</v>
      </c>
      <c r="R21" s="773" t="s">
        <v>17</v>
      </c>
      <c r="S21" s="774">
        <f>F21</f>
        <v>100</v>
      </c>
      <c r="T21" s="773" t="s">
        <v>17</v>
      </c>
      <c r="U21" s="774">
        <f>H21</f>
        <v>100</v>
      </c>
      <c r="V21" s="773" t="s">
        <v>17</v>
      </c>
      <c r="W21" s="774">
        <f>J21</f>
        <v>100</v>
      </c>
      <c r="X21" s="1812"/>
      <c r="Y21" s="3282"/>
      <c r="Z21" s="1813" t="str">
        <f>Q21</f>
        <v>基础设施水平</v>
      </c>
      <c r="AA21" s="1810">
        <f t="shared" ref="AA21" si="8">D21/F21</f>
        <v>1</v>
      </c>
      <c r="AB21" s="1810">
        <f t="shared" ref="AB21" si="9">D21/H21</f>
        <v>1</v>
      </c>
      <c r="AC21" s="1810">
        <f t="shared" ref="AC21" si="10">D21/J21</f>
        <v>1</v>
      </c>
    </row>
    <row r="22" spans="1:29" ht="15">
      <c r="A22" s="427"/>
      <c r="B22" s="1383"/>
      <c r="C22" s="2606"/>
      <c r="D22" s="447"/>
      <c r="E22" s="446"/>
      <c r="F22" s="448"/>
      <c r="G22" s="446"/>
      <c r="H22" s="447"/>
      <c r="I22" s="446"/>
      <c r="J22" s="447"/>
      <c r="K22" s="1382"/>
      <c r="L22" s="1139"/>
      <c r="M22" s="1130"/>
      <c r="N22" s="1130"/>
      <c r="O22" s="1138"/>
      <c r="P22" s="3282"/>
      <c r="Q22" s="1809"/>
      <c r="R22" s="773"/>
      <c r="S22" s="774"/>
      <c r="T22" s="773"/>
      <c r="U22" s="774"/>
      <c r="V22" s="773"/>
      <c r="W22" s="774"/>
      <c r="X22" s="1812"/>
      <c r="Y22" s="3282"/>
      <c r="Z22" s="1813"/>
      <c r="AA22" s="1810">
        <v>1</v>
      </c>
      <c r="AB22" s="1810">
        <v>1</v>
      </c>
      <c r="AC22" s="1810">
        <v>1</v>
      </c>
    </row>
    <row r="23" spans="1:29" ht="71.25">
      <c r="A23" s="427"/>
      <c r="B23" s="450" t="s">
        <v>2684</v>
      </c>
      <c r="C23" s="2605"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82"/>
      <c r="Q23" s="1809" t="str">
        <f>B23</f>
        <v>环境质量</v>
      </c>
      <c r="R23" s="773" t="s">
        <v>17</v>
      </c>
      <c r="S23" s="774">
        <f>F23</f>
        <v>100</v>
      </c>
      <c r="T23" s="773" t="s">
        <v>17</v>
      </c>
      <c r="U23" s="774">
        <f>H23</f>
        <v>100</v>
      </c>
      <c r="V23" s="773" t="s">
        <v>17</v>
      </c>
      <c r="W23" s="774">
        <f>J23</f>
        <v>100</v>
      </c>
      <c r="X23" s="1812"/>
      <c r="Y23" s="3282"/>
      <c r="Z23" s="1813" t="str">
        <f>Q23</f>
        <v>环境质量</v>
      </c>
      <c r="AA23" s="1810">
        <f t="shared" si="3"/>
        <v>1</v>
      </c>
      <c r="AB23" s="1810">
        <f t="shared" si="4"/>
        <v>1</v>
      </c>
      <c r="AC23" s="1810">
        <f t="shared" si="5"/>
        <v>1</v>
      </c>
    </row>
    <row r="24" spans="1:29" ht="15">
      <c r="A24" s="427"/>
      <c r="B24" s="1383"/>
      <c r="C24" s="446"/>
      <c r="D24" s="447"/>
      <c r="E24" s="2603"/>
      <c r="F24" s="448"/>
      <c r="G24" s="2602"/>
      <c r="H24" s="447"/>
      <c r="I24" s="2603"/>
      <c r="J24" s="447"/>
      <c r="K24" s="614"/>
      <c r="L24" s="1139"/>
      <c r="M24" s="1130"/>
      <c r="N24" s="1130"/>
      <c r="O24" s="1138"/>
      <c r="P24" s="3282"/>
      <c r="Q24" s="1809"/>
      <c r="R24" s="773"/>
      <c r="S24" s="774"/>
      <c r="T24" s="773"/>
      <c r="U24" s="774"/>
      <c r="V24" s="773"/>
      <c r="W24" s="774"/>
      <c r="X24" s="1812"/>
      <c r="Y24" s="3282"/>
      <c r="Z24" s="1813"/>
      <c r="AA24" s="1810">
        <v>1</v>
      </c>
      <c r="AB24" s="1810">
        <v>1</v>
      </c>
      <c r="AC24" s="1810">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82"/>
      <c r="Q25" s="1809">
        <f>B25</f>
        <v>111</v>
      </c>
      <c r="R25" s="773" t="s">
        <v>17</v>
      </c>
      <c r="S25" s="774">
        <f>F25</f>
        <v>100</v>
      </c>
      <c r="T25" s="773" t="s">
        <v>17</v>
      </c>
      <c r="U25" s="774">
        <f>H25</f>
        <v>100</v>
      </c>
      <c r="V25" s="773" t="s">
        <v>17</v>
      </c>
      <c r="W25" s="774">
        <f>J25</f>
        <v>100</v>
      </c>
      <c r="X25" s="1812"/>
      <c r="Y25" s="3282"/>
      <c r="Z25" s="1813">
        <f>Q25</f>
        <v>111</v>
      </c>
      <c r="AA25" s="1810">
        <f t="shared" si="3"/>
        <v>1</v>
      </c>
      <c r="AB25" s="1810">
        <f t="shared" si="4"/>
        <v>1</v>
      </c>
      <c r="AC25" s="1810">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82"/>
      <c r="Q26" s="1809">
        <f t="shared" ref="Q26:Q40" si="11">B26</f>
        <v>111</v>
      </c>
      <c r="R26" s="773" t="s">
        <v>17</v>
      </c>
      <c r="S26" s="774">
        <f>F26</f>
        <v>100</v>
      </c>
      <c r="T26" s="773" t="s">
        <v>17</v>
      </c>
      <c r="U26" s="774">
        <f>H26</f>
        <v>100</v>
      </c>
      <c r="V26" s="773" t="s">
        <v>17</v>
      </c>
      <c r="W26" s="774">
        <f>J26</f>
        <v>100</v>
      </c>
      <c r="X26" s="1812"/>
      <c r="Y26" s="3282"/>
      <c r="Z26" s="1813">
        <f>Q26</f>
        <v>111</v>
      </c>
      <c r="AA26" s="1810">
        <f t="shared" si="3"/>
        <v>1</v>
      </c>
      <c r="AB26" s="1810">
        <f t="shared" si="4"/>
        <v>1</v>
      </c>
      <c r="AC26" s="1810">
        <f t="shared" si="5"/>
        <v>1</v>
      </c>
    </row>
    <row r="27" spans="1:29" s="117"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82"/>
      <c r="Q27" s="1794">
        <f t="shared" si="11"/>
        <v>111</v>
      </c>
      <c r="R27" s="769" t="s">
        <v>17</v>
      </c>
      <c r="S27" s="770">
        <f>F27</f>
        <v>100</v>
      </c>
      <c r="T27" s="769" t="s">
        <v>17</v>
      </c>
      <c r="U27" s="770">
        <f>H27</f>
        <v>100</v>
      </c>
      <c r="V27" s="769" t="s">
        <v>17</v>
      </c>
      <c r="W27" s="770">
        <f>J27</f>
        <v>100</v>
      </c>
      <c r="X27" s="771"/>
      <c r="Y27" s="3282"/>
      <c r="Z27" s="55">
        <f>Q27</f>
        <v>111</v>
      </c>
      <c r="AA27" s="1810">
        <f>D27/F27</f>
        <v>1</v>
      </c>
      <c r="AB27" s="1810">
        <f>D27/H27</f>
        <v>1</v>
      </c>
      <c r="AC27" s="1810">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82"/>
      <c r="Q28" s="1809">
        <f t="shared" si="11"/>
        <v>111</v>
      </c>
      <c r="R28" s="773" t="s">
        <v>17</v>
      </c>
      <c r="S28" s="774">
        <f t="shared" ref="S28:S40" si="12">F28</f>
        <v>100</v>
      </c>
      <c r="T28" s="773" t="s">
        <v>17</v>
      </c>
      <c r="U28" s="774">
        <f t="shared" ref="U28:U40" si="13">H28</f>
        <v>100</v>
      </c>
      <c r="V28" s="773" t="s">
        <v>17</v>
      </c>
      <c r="W28" s="774">
        <f t="shared" ref="W28:W40" si="14">J28</f>
        <v>100</v>
      </c>
      <c r="X28" s="1812"/>
      <c r="Y28" s="3282"/>
      <c r="Z28" s="1813">
        <f t="shared" ref="Z28:Z40" si="15">Q28</f>
        <v>111</v>
      </c>
      <c r="AA28" s="1810">
        <f t="shared" si="3"/>
        <v>1</v>
      </c>
      <c r="AB28" s="1810">
        <f t="shared" si="4"/>
        <v>1</v>
      </c>
      <c r="AC28" s="1810">
        <f t="shared" si="5"/>
        <v>1</v>
      </c>
    </row>
    <row r="29" spans="1:29" ht="28.5">
      <c r="A29" s="465" t="s">
        <v>2557</v>
      </c>
      <c r="B29" s="71" t="s">
        <v>2687</v>
      </c>
      <c r="C29" s="2677"/>
      <c r="D29" s="466">
        <v>100</v>
      </c>
      <c r="E29" s="2677"/>
      <c r="F29" s="460">
        <f>SUMIF(88:88,E29,89:89)-SUMIF(88:88,C29,89:89)+100</f>
        <v>100</v>
      </c>
      <c r="G29" s="2677"/>
      <c r="H29" s="434">
        <f>SUMIF(88:88,G29,89:89)-SUMIF(88:88,C29,89:89)+100</f>
        <v>100</v>
      </c>
      <c r="I29" s="2677"/>
      <c r="J29" s="466">
        <f>SUMIF(88:88,I29,89:89)-SUMIF(88:88,C29,89:89)+100</f>
        <v>100</v>
      </c>
      <c r="K29" s="611"/>
      <c r="L29" s="1139"/>
      <c r="M29" s="1130"/>
      <c r="N29" s="1130"/>
      <c r="O29" s="1138"/>
      <c r="P29" s="3337" t="s">
        <v>2559</v>
      </c>
      <c r="Q29" s="1809" t="str">
        <f t="shared" si="11"/>
        <v>建筑类型</v>
      </c>
      <c r="R29" s="773" t="s">
        <v>17</v>
      </c>
      <c r="S29" s="774">
        <f t="shared" si="12"/>
        <v>100</v>
      </c>
      <c r="T29" s="773" t="s">
        <v>17</v>
      </c>
      <c r="U29" s="774">
        <f t="shared" si="13"/>
        <v>100</v>
      </c>
      <c r="V29" s="773" t="s">
        <v>17</v>
      </c>
      <c r="W29" s="774">
        <f t="shared" si="14"/>
        <v>100</v>
      </c>
      <c r="X29" s="1812"/>
      <c r="Y29" s="3286" t="s">
        <v>2559</v>
      </c>
      <c r="Z29" s="1813" t="str">
        <f t="shared" si="15"/>
        <v>建筑类型</v>
      </c>
      <c r="AA29" s="1810">
        <f t="shared" si="3"/>
        <v>1</v>
      </c>
      <c r="AB29" s="1810">
        <f t="shared" si="4"/>
        <v>1</v>
      </c>
      <c r="AC29" s="1810">
        <f t="shared" si="5"/>
        <v>1</v>
      </c>
    </row>
    <row r="30" spans="1:29" s="470" customFormat="1" ht="15">
      <c r="A30" s="467"/>
      <c r="B30" s="421" t="s">
        <v>2560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86"/>
      <c r="Q30" s="775" t="str">
        <f t="shared" si="11"/>
        <v>项目建筑规模</v>
      </c>
      <c r="R30" s="776" t="s">
        <v>17</v>
      </c>
      <c r="S30" s="777" t="e">
        <f t="shared" si="12"/>
        <v>#N/A</v>
      </c>
      <c r="T30" s="776" t="s">
        <v>17</v>
      </c>
      <c r="U30" s="777" t="e">
        <f t="shared" si="13"/>
        <v>#N/A</v>
      </c>
      <c r="V30" s="776" t="s">
        <v>17</v>
      </c>
      <c r="W30" s="777" t="e">
        <f t="shared" si="14"/>
        <v>#N/A</v>
      </c>
      <c r="X30" s="778"/>
      <c r="Y30" s="3286"/>
      <c r="Z30" s="779" t="str">
        <f t="shared" si="15"/>
        <v>项目建筑规模</v>
      </c>
      <c r="AA30" s="1810" t="e">
        <f t="shared" si="3"/>
        <v>#N/A</v>
      </c>
      <c r="AB30" s="1810" t="e">
        <f t="shared" si="4"/>
        <v>#N/A</v>
      </c>
      <c r="AC30" s="1810" t="e">
        <f t="shared" si="5"/>
        <v>#N/A</v>
      </c>
    </row>
    <row r="31" spans="1:29" ht="15">
      <c r="A31" s="471"/>
      <c r="B31" s="421" t="s">
        <v>2561</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86"/>
      <c r="Q31" s="1809" t="str">
        <f t="shared" si="11"/>
        <v>建筑结构</v>
      </c>
      <c r="R31" s="773" t="s">
        <v>17</v>
      </c>
      <c r="S31" s="774">
        <f t="shared" si="12"/>
        <v>100</v>
      </c>
      <c r="T31" s="773" t="s">
        <v>17</v>
      </c>
      <c r="U31" s="774">
        <f t="shared" si="13"/>
        <v>100</v>
      </c>
      <c r="V31" s="773" t="s">
        <v>17</v>
      </c>
      <c r="W31" s="774">
        <f t="shared" si="14"/>
        <v>100</v>
      </c>
      <c r="X31" s="1812"/>
      <c r="Y31" s="3286"/>
      <c r="Z31" s="1813" t="str">
        <f t="shared" si="15"/>
        <v>建筑结构</v>
      </c>
      <c r="AA31" s="1810">
        <f t="shared" si="3"/>
        <v>1</v>
      </c>
      <c r="AB31" s="1810">
        <f t="shared" si="4"/>
        <v>1</v>
      </c>
      <c r="AC31" s="1810">
        <f t="shared" si="5"/>
        <v>1</v>
      </c>
    </row>
    <row r="32" spans="1:29" ht="15">
      <c r="A32" s="471"/>
      <c r="B32" s="421" t="s">
        <v>2655</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86"/>
      <c r="Q32" s="1809" t="str">
        <f t="shared" si="11"/>
        <v>公共部分装修</v>
      </c>
      <c r="R32" s="773" t="s">
        <v>17</v>
      </c>
      <c r="S32" s="774">
        <f t="shared" si="12"/>
        <v>100</v>
      </c>
      <c r="T32" s="773" t="s">
        <v>17</v>
      </c>
      <c r="U32" s="774">
        <f t="shared" si="13"/>
        <v>100</v>
      </c>
      <c r="V32" s="773" t="s">
        <v>17</v>
      </c>
      <c r="W32" s="774">
        <f t="shared" si="14"/>
        <v>100</v>
      </c>
      <c r="X32" s="1812"/>
      <c r="Y32" s="3286"/>
      <c r="Z32" s="1813" t="str">
        <f t="shared" si="15"/>
        <v>公共部分装修</v>
      </c>
      <c r="AA32" s="1810">
        <f t="shared" si="3"/>
        <v>1</v>
      </c>
      <c r="AB32" s="1810">
        <f t="shared" si="4"/>
        <v>1</v>
      </c>
      <c r="AC32" s="1810">
        <f t="shared" si="5"/>
        <v>1</v>
      </c>
    </row>
    <row r="33" spans="1:29" ht="15">
      <c r="A33" s="471"/>
      <c r="B33" s="421" t="s">
        <v>2656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86"/>
      <c r="Q33" s="1809" t="str">
        <f t="shared" si="11"/>
        <v>成新度</v>
      </c>
      <c r="R33" s="773" t="s">
        <v>17</v>
      </c>
      <c r="S33" s="774" t="e">
        <f t="shared" si="12"/>
        <v>#N/A</v>
      </c>
      <c r="T33" s="773" t="s">
        <v>17</v>
      </c>
      <c r="U33" s="774" t="e">
        <f t="shared" si="13"/>
        <v>#N/A</v>
      </c>
      <c r="V33" s="773" t="s">
        <v>17</v>
      </c>
      <c r="W33" s="774" t="e">
        <f t="shared" si="14"/>
        <v>#N/A</v>
      </c>
      <c r="X33" s="1812"/>
      <c r="Y33" s="3286"/>
      <c r="Z33" s="1813" t="str">
        <f t="shared" si="15"/>
        <v>成新度</v>
      </c>
      <c r="AA33" s="1810" t="e">
        <f t="shared" si="3"/>
        <v>#N/A</v>
      </c>
      <c r="AB33" s="1810" t="e">
        <f t="shared" si="4"/>
        <v>#N/A</v>
      </c>
      <c r="AC33" s="1810" t="e">
        <f t="shared" si="5"/>
        <v>#N/A</v>
      </c>
    </row>
    <row r="34" spans="1:29" s="117" customFormat="1" ht="15">
      <c r="A34" s="472"/>
      <c r="B34" s="421" t="s">
        <v>2689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86"/>
      <c r="Q34" s="1794" t="str">
        <f t="shared" si="11"/>
        <v>物业管理</v>
      </c>
      <c r="R34" s="769" t="s">
        <v>17</v>
      </c>
      <c r="S34" s="770">
        <f t="shared" si="12"/>
        <v>100</v>
      </c>
      <c r="T34" s="769" t="s">
        <v>17</v>
      </c>
      <c r="U34" s="770">
        <f t="shared" si="13"/>
        <v>100</v>
      </c>
      <c r="V34" s="769" t="s">
        <v>17</v>
      </c>
      <c r="W34" s="770">
        <f t="shared" si="14"/>
        <v>100</v>
      </c>
      <c r="X34" s="771"/>
      <c r="Y34" s="3286"/>
      <c r="Z34" s="55" t="str">
        <f t="shared" si="15"/>
        <v>物业管理</v>
      </c>
      <c r="AA34" s="772">
        <f t="shared" si="3"/>
        <v>1</v>
      </c>
      <c r="AB34" s="772">
        <f t="shared" si="4"/>
        <v>1</v>
      </c>
      <c r="AC34" s="772">
        <f t="shared" si="5"/>
        <v>1</v>
      </c>
    </row>
    <row r="35" spans="1:29" ht="15">
      <c r="A35" s="471"/>
      <c r="B35" s="421" t="s">
        <v>2657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86" t="s">
        <v>2559</v>
      </c>
      <c r="Q35" s="1809" t="str">
        <f t="shared" si="11"/>
        <v>市政基础设施</v>
      </c>
      <c r="R35" s="773" t="s">
        <v>17</v>
      </c>
      <c r="S35" s="774">
        <f t="shared" si="12"/>
        <v>100</v>
      </c>
      <c r="T35" s="773" t="s">
        <v>17</v>
      </c>
      <c r="U35" s="774">
        <f t="shared" si="13"/>
        <v>100</v>
      </c>
      <c r="V35" s="773" t="s">
        <v>17</v>
      </c>
      <c r="W35" s="774">
        <f t="shared" si="14"/>
        <v>100</v>
      </c>
      <c r="X35" s="1812"/>
      <c r="Y35" s="3286" t="s">
        <v>2559</v>
      </c>
      <c r="Z35" s="1813" t="str">
        <f t="shared" si="15"/>
        <v>市政基础设施</v>
      </c>
      <c r="AA35" s="1810">
        <f t="shared" si="3"/>
        <v>1</v>
      </c>
      <c r="AB35" s="1810">
        <f t="shared" si="4"/>
        <v>1</v>
      </c>
      <c r="AC35" s="1810">
        <f t="shared" si="5"/>
        <v>1</v>
      </c>
    </row>
    <row r="36" spans="1:29" ht="15">
      <c r="A36" s="471"/>
      <c r="B36" s="421" t="s">
        <v>2662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86"/>
      <c r="Q36" s="1809" t="str">
        <f t="shared" si="11"/>
        <v>内部装修</v>
      </c>
      <c r="R36" s="773" t="s">
        <v>17</v>
      </c>
      <c r="S36" s="774">
        <f t="shared" si="12"/>
        <v>100</v>
      </c>
      <c r="T36" s="773" t="s">
        <v>17</v>
      </c>
      <c r="U36" s="774">
        <f t="shared" si="13"/>
        <v>100</v>
      </c>
      <c r="V36" s="773" t="s">
        <v>17</v>
      </c>
      <c r="W36" s="774">
        <f t="shared" si="14"/>
        <v>100</v>
      </c>
      <c r="X36" s="1812"/>
      <c r="Y36" s="3286"/>
      <c r="Z36" s="1813" t="str">
        <f t="shared" si="15"/>
        <v>内部装修</v>
      </c>
      <c r="AA36" s="1810">
        <f t="shared" si="3"/>
        <v>1</v>
      </c>
      <c r="AB36" s="1810">
        <f t="shared" si="4"/>
        <v>1</v>
      </c>
      <c r="AC36" s="1810">
        <f t="shared" si="5"/>
        <v>1</v>
      </c>
    </row>
    <row r="37" spans="1:29" ht="15">
      <c r="A37" s="471"/>
      <c r="B37" s="421" t="s">
        <v>2698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86"/>
      <c r="Q37" s="1809" t="str">
        <f t="shared" si="11"/>
        <v>内部装修状况</v>
      </c>
      <c r="R37" s="773" t="s">
        <v>17</v>
      </c>
      <c r="S37" s="774">
        <f t="shared" si="12"/>
        <v>100</v>
      </c>
      <c r="T37" s="773" t="s">
        <v>17</v>
      </c>
      <c r="U37" s="774">
        <f t="shared" si="13"/>
        <v>100</v>
      </c>
      <c r="V37" s="773" t="s">
        <v>17</v>
      </c>
      <c r="W37" s="774">
        <f t="shared" si="14"/>
        <v>100</v>
      </c>
      <c r="X37" s="1812"/>
      <c r="Y37" s="3286"/>
      <c r="Z37" s="1813" t="str">
        <f t="shared" si="15"/>
        <v>内部装修状况</v>
      </c>
      <c r="AA37" s="1810">
        <f t="shared" si="3"/>
        <v>1</v>
      </c>
      <c r="AB37" s="1810">
        <f t="shared" si="4"/>
        <v>1</v>
      </c>
      <c r="AC37" s="1810">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86"/>
      <c r="Q38" s="775">
        <f t="shared" si="11"/>
        <v>111</v>
      </c>
      <c r="R38" s="776" t="s">
        <v>17</v>
      </c>
      <c r="S38" s="777">
        <f t="shared" si="12"/>
        <v>100</v>
      </c>
      <c r="T38" s="776" t="s">
        <v>17</v>
      </c>
      <c r="U38" s="777">
        <f t="shared" si="13"/>
        <v>100</v>
      </c>
      <c r="V38" s="776" t="s">
        <v>17</v>
      </c>
      <c r="W38" s="777">
        <f t="shared" si="14"/>
        <v>100</v>
      </c>
      <c r="X38" s="778"/>
      <c r="Y38" s="3286"/>
      <c r="Z38" s="779">
        <f t="shared" si="15"/>
        <v>111</v>
      </c>
      <c r="AA38" s="1810">
        <f t="shared" si="3"/>
        <v>1</v>
      </c>
      <c r="AB38" s="1810">
        <f t="shared" si="4"/>
        <v>1</v>
      </c>
      <c r="AC38" s="1810">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86"/>
      <c r="Q39" s="1809">
        <f t="shared" si="11"/>
        <v>111</v>
      </c>
      <c r="R39" s="773" t="s">
        <v>17</v>
      </c>
      <c r="S39" s="774">
        <f t="shared" si="12"/>
        <v>100</v>
      </c>
      <c r="T39" s="773" t="s">
        <v>17</v>
      </c>
      <c r="U39" s="774">
        <f t="shared" si="13"/>
        <v>100</v>
      </c>
      <c r="V39" s="773" t="s">
        <v>17</v>
      </c>
      <c r="W39" s="774">
        <f t="shared" si="14"/>
        <v>100</v>
      </c>
      <c r="X39" s="1812"/>
      <c r="Y39" s="3286"/>
      <c r="Z39" s="1813">
        <f t="shared" si="15"/>
        <v>111</v>
      </c>
      <c r="AA39" s="1810">
        <f t="shared" si="3"/>
        <v>1</v>
      </c>
      <c r="AB39" s="1810">
        <f t="shared" si="4"/>
        <v>1</v>
      </c>
      <c r="AC39" s="1810">
        <f t="shared" si="5"/>
        <v>1</v>
      </c>
    </row>
    <row r="40" spans="1:29" ht="15.75" thickBot="1">
      <c r="A40" s="477"/>
      <c r="B40" s="2600">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87"/>
      <c r="Q40" s="1809">
        <f t="shared" si="11"/>
        <v>111</v>
      </c>
      <c r="R40" s="773" t="s">
        <v>17</v>
      </c>
      <c r="S40" s="774">
        <f t="shared" si="12"/>
        <v>100</v>
      </c>
      <c r="T40" s="773" t="s">
        <v>17</v>
      </c>
      <c r="U40" s="774">
        <f t="shared" si="13"/>
        <v>100</v>
      </c>
      <c r="V40" s="773" t="s">
        <v>17</v>
      </c>
      <c r="W40" s="774">
        <f t="shared" si="14"/>
        <v>100</v>
      </c>
      <c r="X40" s="1812"/>
      <c r="Y40" s="3287"/>
      <c r="Z40" s="1813">
        <f t="shared" si="15"/>
        <v>111</v>
      </c>
      <c r="AA40" s="1810">
        <f t="shared" si="3"/>
        <v>1</v>
      </c>
      <c r="AB40" s="1810">
        <f t="shared" si="4"/>
        <v>1</v>
      </c>
      <c r="AC40" s="1810">
        <f t="shared" si="5"/>
        <v>1</v>
      </c>
    </row>
    <row r="41" spans="1:29" ht="15">
      <c r="A41" s="478" t="s">
        <v>2571</v>
      </c>
      <c r="B41" s="479"/>
      <c r="C41" s="1406" t="s">
        <v>1</v>
      </c>
      <c r="D41" s="1407"/>
      <c r="E41" s="1408"/>
      <c r="F41" s="1409"/>
      <c r="G41" s="1410"/>
      <c r="H41" s="1411"/>
      <c r="I41" s="1408"/>
      <c r="J41" s="1411"/>
      <c r="K41" s="782"/>
      <c r="L41" s="1142"/>
      <c r="M41" s="1143"/>
      <c r="N41" s="1130"/>
      <c r="O41" s="1143"/>
      <c r="P41" s="3279" t="str">
        <f>A41</f>
        <v>成交单价（元/平方米）</v>
      </c>
      <c r="Q41" s="3279"/>
      <c r="R41" s="3280">
        <f>E41</f>
        <v>0</v>
      </c>
      <c r="S41" s="3280"/>
      <c r="T41" s="3280">
        <f>G41</f>
        <v>0</v>
      </c>
      <c r="U41" s="3280"/>
      <c r="V41" s="3280">
        <f>I41</f>
        <v>0</v>
      </c>
      <c r="W41" s="3280"/>
      <c r="X41" s="758"/>
      <c r="Y41" s="780"/>
      <c r="Z41" s="758"/>
      <c r="AA41" s="758"/>
      <c r="AB41" s="758"/>
      <c r="AC41" s="758"/>
    </row>
    <row r="42" spans="1:29" ht="15.75" thickBot="1">
      <c r="A42" s="485" t="s">
        <v>2663</v>
      </c>
      <c r="B42" s="486"/>
      <c r="C42" s="1412" t="e">
        <f>R43</f>
        <v>#DIV/0!</v>
      </c>
      <c r="D42" s="1413"/>
      <c r="E42" s="1414" t="e">
        <f>R42</f>
        <v>#DIV/0!</v>
      </c>
      <c r="F42" s="1414"/>
      <c r="G42" s="1412" t="e">
        <f>T42</f>
        <v>#DIV/0!</v>
      </c>
      <c r="H42" s="1413"/>
      <c r="I42" s="1414" t="e">
        <f>V42</f>
        <v>#DIV/0!</v>
      </c>
      <c r="J42" s="1413"/>
      <c r="K42" s="783"/>
      <c r="L42" s="1142"/>
      <c r="M42" s="1143"/>
      <c r="N42" s="1130"/>
      <c r="O42" s="1143"/>
      <c r="P42" s="3279" t="str">
        <f>A42</f>
        <v>比较价值（元/平方米）</v>
      </c>
      <c r="Q42" s="3279"/>
      <c r="R42" s="3280" t="e">
        <f>IF(F1="售价",ROUND(PRODUCT(R41,AA7:AA40),0),ROUND(PRODUCT(R41,AA7:AA40),1))</f>
        <v>#DIV/0!</v>
      </c>
      <c r="S42" s="3280"/>
      <c r="T42" s="3280" t="e">
        <f>IF(F1="售价",ROUND(PRODUCT(T41,AB7:AB40),0),ROUND(PRODUCT(T41,AB7:AB40),1))</f>
        <v>#DIV/0!</v>
      </c>
      <c r="U42" s="3280"/>
      <c r="V42" s="3280" t="e">
        <f>IF(F1="售价",ROUND(PRODUCT(V41,AC7:AC40),0),ROUND(PRODUCT(V41,AC7:AC40),1))</f>
        <v>#DIV/0!</v>
      </c>
      <c r="W42" s="3280"/>
      <c r="X42" s="758"/>
      <c r="Y42" s="758"/>
      <c r="Z42" s="758"/>
      <c r="AA42" s="758"/>
      <c r="AB42" s="758"/>
      <c r="AC42" s="758"/>
    </row>
    <row r="43" spans="1:29" ht="15.75" thickBot="1">
      <c r="A43" s="491" t="s">
        <v>2664</v>
      </c>
      <c r="B43" s="492"/>
      <c r="C43" s="1416" t="e">
        <f>R43</f>
        <v>#DIV/0!</v>
      </c>
      <c r="D43" s="1416"/>
      <c r="E43" s="1416"/>
      <c r="F43" s="1416"/>
      <c r="G43" s="1416"/>
      <c r="H43" s="1416"/>
      <c r="I43" s="1416"/>
      <c r="J43" s="1416"/>
      <c r="K43" s="784"/>
      <c r="L43" s="1142"/>
      <c r="M43" s="1143"/>
      <c r="N43" s="1143"/>
      <c r="O43" s="1143"/>
      <c r="P43" s="3276" t="str">
        <f>A43</f>
        <v>估价对象XX用房的比较价值（楼面单价，元/平方米）</v>
      </c>
      <c r="Q43" s="3277"/>
      <c r="R43" s="3278" t="e">
        <f>IF(F1="售价",ROUND(AVERAGE(R42:V42),0),ROUND(AVERAGE(R42:V42),1))</f>
        <v>#DIV/0!</v>
      </c>
      <c r="S43" s="3278"/>
      <c r="T43" s="3278"/>
      <c r="U43" s="3278"/>
      <c r="V43" s="3278"/>
      <c r="W43" s="3278"/>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2668</v>
      </c>
      <c r="B51" s="758"/>
      <c r="C51" s="763"/>
      <c r="D51" s="763"/>
      <c r="E51" s="763"/>
      <c r="F51" s="764"/>
      <c r="G51" s="764"/>
      <c r="H51" s="763"/>
      <c r="I51" s="763"/>
      <c r="J51" s="763"/>
      <c r="K51" s="1159"/>
      <c r="L51" s="1160"/>
      <c r="M51" s="1158"/>
      <c r="N51" s="1158"/>
      <c r="O51" s="1158"/>
      <c r="P51" s="502"/>
      <c r="Q51" s="503"/>
    </row>
    <row r="52" spans="1:17" s="507" customFormat="1" ht="15">
      <c r="A52" s="504" t="s">
        <v>2542</v>
      </c>
      <c r="B52" s="505"/>
      <c r="C52" s="1573" t="str">
        <f>YEAR(C7)&amp;"-"&amp;MONTH(C7)</f>
        <v>2019-8</v>
      </c>
      <c r="D52" s="1574">
        <f>EDATE(C52,-1)</f>
        <v>43647</v>
      </c>
      <c r="E52" s="1574">
        <f t="shared" ref="E52:O52" si="16">EDATE(D52,-1)</f>
        <v>43617</v>
      </c>
      <c r="F52" s="1574">
        <f t="shared" si="16"/>
        <v>43586</v>
      </c>
      <c r="G52" s="1574">
        <f t="shared" si="16"/>
        <v>43556</v>
      </c>
      <c r="H52" s="1574">
        <f t="shared" si="16"/>
        <v>43525</v>
      </c>
      <c r="I52" s="1574">
        <f t="shared" si="16"/>
        <v>43497</v>
      </c>
      <c r="J52" s="1574">
        <f t="shared" si="16"/>
        <v>43466</v>
      </c>
      <c r="K52" s="1574">
        <f t="shared" si="16"/>
        <v>43435</v>
      </c>
      <c r="L52" s="1574">
        <f t="shared" si="16"/>
        <v>43405</v>
      </c>
      <c r="M52" s="1574">
        <f t="shared" si="16"/>
        <v>43374</v>
      </c>
      <c r="N52" s="1574">
        <f t="shared" si="16"/>
        <v>43344</v>
      </c>
      <c r="O52" s="1574">
        <f t="shared" si="16"/>
        <v>43313</v>
      </c>
      <c r="P52" s="506"/>
    </row>
    <row r="53" spans="1:17" s="117" customFormat="1" ht="15">
      <c r="A53" s="508"/>
      <c r="B53" s="509"/>
      <c r="C53" s="1572">
        <v>100</v>
      </c>
      <c r="D53" s="511"/>
      <c r="E53" s="511"/>
      <c r="F53" s="511"/>
      <c r="G53" s="511"/>
      <c r="H53" s="511"/>
      <c r="I53" s="511"/>
      <c r="J53" s="511"/>
      <c r="K53" s="511"/>
      <c r="L53" s="511"/>
      <c r="M53" s="512"/>
      <c r="N53" s="511"/>
      <c r="O53" s="513"/>
      <c r="P53" s="503"/>
    </row>
    <row r="54" spans="1:17" s="117" customFormat="1" ht="15.75" thickBot="1">
      <c r="A54" s="514" t="s">
        <v>2579</v>
      </c>
      <c r="B54" s="515"/>
      <c r="C54" s="516"/>
      <c r="D54" s="517"/>
      <c r="E54" s="517"/>
      <c r="F54" s="517"/>
      <c r="G54" s="517"/>
      <c r="H54" s="517"/>
      <c r="I54" s="517"/>
      <c r="J54" s="517"/>
      <c r="K54" s="517"/>
      <c r="L54" s="517"/>
      <c r="M54" s="518"/>
      <c r="N54" s="517"/>
      <c r="O54" s="519"/>
      <c r="P54" s="503"/>
      <c r="Q54" s="503"/>
    </row>
    <row r="55" spans="1:17" s="117" customFormat="1" ht="15">
      <c r="A55" s="520" t="s">
        <v>2544</v>
      </c>
      <c r="B55" s="509"/>
      <c r="C55" s="521" t="s">
        <v>2646</v>
      </c>
      <c r="D55" s="522"/>
      <c r="E55" s="522"/>
      <c r="F55" s="522"/>
      <c r="G55" s="522"/>
      <c r="H55" s="522"/>
      <c r="I55" s="522"/>
      <c r="J55" s="522"/>
      <c r="K55" s="522"/>
      <c r="L55" s="523"/>
      <c r="M55" s="524"/>
      <c r="N55" s="1150"/>
      <c r="O55" s="1150"/>
      <c r="P55" s="525"/>
      <c r="Q55" s="503"/>
    </row>
    <row r="56" spans="1:17" s="117"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2582</v>
      </c>
      <c r="B57" s="527" t="s">
        <v>2548</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2551</v>
      </c>
      <c r="C59" s="538" t="s">
        <v>2583</v>
      </c>
      <c r="D59" s="538" t="s">
        <v>2584</v>
      </c>
      <c r="E59" s="538" t="s">
        <v>2585</v>
      </c>
      <c r="F59" s="538" t="s">
        <v>2586</v>
      </c>
      <c r="G59" s="538" t="s">
        <v>2587</v>
      </c>
      <c r="H59" s="538" t="s">
        <v>2588</v>
      </c>
      <c r="I59" s="538" t="s">
        <v>2589</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2552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2553</v>
      </c>
      <c r="B70" s="527" t="s">
        <v>2699</v>
      </c>
      <c r="C70" s="572" t="s">
        <v>2591</v>
      </c>
      <c r="D70" s="572" t="s">
        <v>2592</v>
      </c>
      <c r="E70" s="572" t="s">
        <v>2593</v>
      </c>
      <c r="F70" s="572" t="s">
        <v>2594</v>
      </c>
      <c r="G70" s="572" t="s">
        <v>2595</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2596</v>
      </c>
      <c r="C72" s="577" t="s">
        <v>2591</v>
      </c>
      <c r="D72" s="577" t="s">
        <v>2592</v>
      </c>
      <c r="E72" s="577" t="s">
        <v>2593</v>
      </c>
      <c r="F72" s="577" t="s">
        <v>2594</v>
      </c>
      <c r="G72" s="577" t="s">
        <v>2595</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2597</v>
      </c>
      <c r="C74" s="577" t="s">
        <v>2591</v>
      </c>
      <c r="D74" s="577" t="s">
        <v>2592</v>
      </c>
      <c r="E74" s="577" t="s">
        <v>2593</v>
      </c>
      <c r="F74" s="577" t="s">
        <v>2594</v>
      </c>
      <c r="G74" s="577" t="s">
        <v>2595</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2683</v>
      </c>
      <c r="C76" s="659" t="s">
        <v>2669</v>
      </c>
      <c r="D76" s="659" t="s">
        <v>2670</v>
      </c>
      <c r="E76" s="659" t="s">
        <v>2671</v>
      </c>
      <c r="F76" s="659" t="s">
        <v>2672</v>
      </c>
      <c r="G76" s="659" t="s">
        <v>2673</v>
      </c>
      <c r="H76" s="538"/>
      <c r="I76" s="538"/>
      <c r="J76" s="538"/>
      <c r="K76" s="538"/>
      <c r="L76" s="538"/>
      <c r="M76" s="1381"/>
      <c r="N76" s="1152"/>
      <c r="O76" s="1152"/>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75" thickTop="1">
      <c r="A78" s="533"/>
      <c r="B78" s="537" t="s">
        <v>2692</v>
      </c>
      <c r="C78" s="577" t="s">
        <v>2591</v>
      </c>
      <c r="D78" s="577" t="s">
        <v>2592</v>
      </c>
      <c r="E78" s="577" t="s">
        <v>2593</v>
      </c>
      <c r="F78" s="577" t="s">
        <v>2594</v>
      </c>
      <c r="G78" s="577" t="s">
        <v>2595</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7" customFormat="1" ht="15.75" thickTop="1">
      <c r="A80" s="578"/>
      <c r="B80" s="537">
        <f>B25</f>
        <v>111</v>
      </c>
      <c r="C80" s="553"/>
      <c r="D80" s="553"/>
      <c r="E80" s="553"/>
      <c r="F80" s="553"/>
      <c r="G80" s="553"/>
      <c r="H80" s="553"/>
      <c r="I80" s="553"/>
      <c r="J80" s="553"/>
      <c r="K80" s="553"/>
      <c r="L80" s="579"/>
      <c r="M80" s="580"/>
      <c r="N80" s="1150"/>
      <c r="O80" s="1150"/>
      <c r="P80" s="45"/>
      <c r="Q80" s="503"/>
    </row>
    <row r="81" spans="1:17" s="117" customFormat="1" ht="15.75" thickBot="1">
      <c r="A81" s="578"/>
      <c r="B81" s="542"/>
      <c r="C81" s="559"/>
      <c r="D81" s="535"/>
      <c r="E81" s="535"/>
      <c r="F81" s="535"/>
      <c r="G81" s="535"/>
      <c r="H81" s="535"/>
      <c r="I81" s="535"/>
      <c r="J81" s="535"/>
      <c r="K81" s="535"/>
      <c r="L81" s="535"/>
      <c r="M81" s="536"/>
      <c r="N81" s="1152"/>
      <c r="O81" s="1152"/>
      <c r="P81" s="45"/>
      <c r="Q81" s="503"/>
    </row>
    <row r="82" spans="1:17" s="117" customFormat="1" ht="15.75" thickTop="1">
      <c r="A82" s="578"/>
      <c r="B82" s="537">
        <f>B26</f>
        <v>111</v>
      </c>
      <c r="C82" s="553"/>
      <c r="D82" s="553"/>
      <c r="E82" s="553"/>
      <c r="F82" s="553"/>
      <c r="G82" s="553"/>
      <c r="H82" s="553"/>
      <c r="I82" s="553"/>
      <c r="J82" s="553"/>
      <c r="K82" s="553"/>
      <c r="L82" s="579"/>
      <c r="M82" s="580"/>
      <c r="N82" s="1150"/>
      <c r="O82" s="1150"/>
      <c r="P82" s="45"/>
      <c r="Q82" s="503"/>
    </row>
    <row r="83" spans="1:17" s="117"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34"/>
      <c r="B87" s="568"/>
      <c r="C87" s="569"/>
      <c r="D87" s="569"/>
      <c r="E87" s="569"/>
      <c r="F87" s="569"/>
      <c r="G87" s="590"/>
      <c r="H87" s="590"/>
      <c r="I87" s="590"/>
      <c r="J87" s="590"/>
      <c r="K87" s="590"/>
      <c r="L87" s="590"/>
      <c r="M87" s="591"/>
      <c r="N87" s="1152"/>
      <c r="O87" s="1152"/>
      <c r="P87" s="45"/>
      <c r="Q87" s="503"/>
    </row>
    <row r="88" spans="1:17">
      <c r="A88" s="526" t="s">
        <v>2557</v>
      </c>
      <c r="B88" s="527" t="s">
        <v>2606</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2607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2608</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2610</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2611</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2612</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2614</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5" t="s">
        <v>2700</v>
      </c>
      <c r="C106" s="577" t="s">
        <v>2591</v>
      </c>
      <c r="D106" s="577" t="s">
        <v>2592</v>
      </c>
      <c r="E106" s="577" t="s">
        <v>2593</v>
      </c>
      <c r="F106" s="577" t="s">
        <v>2594</v>
      </c>
      <c r="G106" s="577" t="s">
        <v>2595</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34"/>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4"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2701</v>
      </c>
      <c r="B1" s="1618"/>
      <c r="C1" s="1619" t="s">
        <v>2524</v>
      </c>
      <c r="D1" s="1620"/>
      <c r="E1" s="1621"/>
      <c r="F1" s="2582"/>
      <c r="G1" s="1622" t="s">
        <v>2637</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2321</v>
      </c>
      <c r="B2" s="1417" t="e">
        <f ca="1">IF(C2="——",IF(B37="元/平方米",ROUND(C39*D3/10000,0),ROUND(F3*C39/10000,0)),IF(B37="元/平方米",ROUND(C39*D3/10000,0),ROUND(F3*C39/10000,0))-D2)</f>
        <v>#DIV/0!</v>
      </c>
      <c r="C2" s="2584"/>
      <c r="D2" s="1123" t="e">
        <f ca="1">SUMIF(INDIRECT("'"&amp;F2&amp;"'"&amp;"!A:A"),"承租人权益价值",INDIRECT("'"&amp;F2&amp;"'"&amp;"!c:c"))</f>
        <v>#REF!</v>
      </c>
      <c r="E2" s="2585" t="s">
        <v>2322</v>
      </c>
      <c r="F2" s="2586"/>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2323</v>
      </c>
      <c r="B3" s="608" t="e">
        <f ca="1">IF(AND(C2="——",B37="元/平方米"),C39,ROUND(B2*10000/D3,0))</f>
        <v>#DIV/0!</v>
      </c>
      <c r="C3" s="399" t="s">
        <v>2638</v>
      </c>
      <c r="D3" s="398">
        <f>SUMIF('数据-汇总表'!$C19:$C33,D1,'数据-汇总表'!$E19:$E33)</f>
        <v>0</v>
      </c>
      <c r="E3" s="399" t="s">
        <v>2702</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0" t="s">
        <v>2639</v>
      </c>
      <c r="B4" s="401"/>
      <c r="C4" s="3294" t="s">
        <v>2640</v>
      </c>
      <c r="D4" s="3295"/>
      <c r="E4" s="3296" t="s">
        <v>2641</v>
      </c>
      <c r="F4" s="3297"/>
      <c r="G4" s="3294" t="s">
        <v>2642</v>
      </c>
      <c r="H4" s="3295"/>
      <c r="I4" s="3294" t="s">
        <v>2643</v>
      </c>
      <c r="J4" s="3295"/>
      <c r="K4" s="609" t="s">
        <v>2644</v>
      </c>
      <c r="L4" s="1129"/>
      <c r="M4" s="1130"/>
      <c r="N4" s="1130"/>
      <c r="O4" s="1130"/>
      <c r="P4" s="3298" t="s">
        <v>2645</v>
      </c>
      <c r="Q4" s="3299"/>
      <c r="R4" s="3304" t="s">
        <v>2641</v>
      </c>
      <c r="S4" s="3305"/>
      <c r="T4" s="3304" t="s">
        <v>2642</v>
      </c>
      <c r="U4" s="3305"/>
      <c r="V4" s="3310" t="s">
        <v>2643</v>
      </c>
      <c r="W4" s="3310"/>
      <c r="X4" s="1812"/>
      <c r="Y4" s="3304" t="s">
        <v>2645</v>
      </c>
      <c r="Z4" s="3305"/>
      <c r="AA4" s="3291" t="s">
        <v>2641</v>
      </c>
      <c r="AB4" s="3292" t="s">
        <v>2642</v>
      </c>
      <c r="AC4" s="3291" t="s">
        <v>2643</v>
      </c>
    </row>
    <row r="5" spans="1:29" ht="15">
      <c r="A5" s="403"/>
      <c r="B5" s="404"/>
      <c r="C5" s="3313" t="s">
        <v>2536</v>
      </c>
      <c r="D5" s="3314"/>
      <c r="E5" s="3320" t="s">
        <v>2537</v>
      </c>
      <c r="F5" s="3321"/>
      <c r="G5" s="3313" t="s">
        <v>2538</v>
      </c>
      <c r="H5" s="3314"/>
      <c r="I5" s="3313" t="s">
        <v>2539</v>
      </c>
      <c r="J5" s="3314"/>
      <c r="K5" s="609"/>
      <c r="L5" s="1129"/>
      <c r="M5" s="1130"/>
      <c r="N5" s="1130"/>
      <c r="O5" s="1130"/>
      <c r="P5" s="3300"/>
      <c r="Q5" s="3301"/>
      <c r="R5" s="3306"/>
      <c r="S5" s="3307"/>
      <c r="T5" s="3306"/>
      <c r="U5" s="3307"/>
      <c r="V5" s="3310"/>
      <c r="W5" s="3310"/>
      <c r="X5" s="1812"/>
      <c r="Y5" s="3306"/>
      <c r="Z5" s="3307"/>
      <c r="AA5" s="3292"/>
      <c r="AB5" s="3292"/>
      <c r="AC5" s="3292"/>
    </row>
    <row r="6" spans="1:29" ht="15.75" thickBot="1">
      <c r="A6" s="405"/>
      <c r="B6" s="406"/>
      <c r="C6" s="3311" t="s">
        <v>2540</v>
      </c>
      <c r="D6" s="3312"/>
      <c r="E6" s="3318" t="s">
        <v>2540</v>
      </c>
      <c r="F6" s="3319"/>
      <c r="G6" s="3311" t="s">
        <v>2540</v>
      </c>
      <c r="H6" s="3312"/>
      <c r="I6" s="3311" t="s">
        <v>2540</v>
      </c>
      <c r="J6" s="3312"/>
      <c r="K6" s="609" t="s">
        <v>2541</v>
      </c>
      <c r="L6" s="1129"/>
      <c r="M6" s="1130"/>
      <c r="N6" s="1130"/>
      <c r="O6" s="1130"/>
      <c r="P6" s="3302"/>
      <c r="Q6" s="3303"/>
      <c r="R6" s="3306"/>
      <c r="S6" s="3307"/>
      <c r="T6" s="3308"/>
      <c r="U6" s="3309"/>
      <c r="V6" s="3310"/>
      <c r="W6" s="3310"/>
      <c r="X6" s="1812"/>
      <c r="Y6" s="3308"/>
      <c r="Z6" s="3309"/>
      <c r="AA6" s="3293"/>
      <c r="AB6" s="3293"/>
      <c r="AC6" s="3293"/>
    </row>
    <row r="7" spans="1:29" s="117" customFormat="1" ht="15.75" thickBot="1">
      <c r="A7" s="407" t="s">
        <v>2542</v>
      </c>
      <c r="B7" s="408"/>
      <c r="C7" s="409">
        <f>'数据-取费表'!B2</f>
        <v>43691</v>
      </c>
      <c r="D7" s="410">
        <v>100</v>
      </c>
      <c r="E7" s="411"/>
      <c r="F7" s="412">
        <f>SUMIF(48:48,YEAR(E7)&amp;"-"&amp;MONTH(E7),49:49)</f>
        <v>0</v>
      </c>
      <c r="G7" s="411"/>
      <c r="H7" s="410">
        <f>SUMIF(48:48,YEAR(G7)&amp;"-"&amp;MONTH(G7),49:49)</f>
        <v>0</v>
      </c>
      <c r="I7" s="411"/>
      <c r="J7" s="410">
        <f>SUMIF(48:48,YEAR(I7)&amp;"-"&amp;MONTH(I7),49:49)</f>
        <v>0</v>
      </c>
      <c r="K7" s="610"/>
      <c r="L7" s="1131"/>
      <c r="M7" s="1132"/>
      <c r="N7" s="1132"/>
      <c r="O7" s="1132"/>
      <c r="P7" s="3315" t="s">
        <v>2543</v>
      </c>
      <c r="Q7" s="3317"/>
      <c r="R7" s="769" t="s">
        <v>17</v>
      </c>
      <c r="S7" s="770">
        <f t="shared" ref="S7:S14" si="0">F7</f>
        <v>0</v>
      </c>
      <c r="T7" s="769" t="s">
        <v>17</v>
      </c>
      <c r="U7" s="770">
        <f t="shared" ref="U7:U14" si="1">H7</f>
        <v>0</v>
      </c>
      <c r="V7" s="769" t="s">
        <v>17</v>
      </c>
      <c r="W7" s="770">
        <f t="shared" ref="W7:W14" si="2">J7</f>
        <v>0</v>
      </c>
      <c r="X7" s="771"/>
      <c r="Y7" s="3315" t="s">
        <v>2543</v>
      </c>
      <c r="Z7" s="3316"/>
      <c r="AA7" s="772" t="e">
        <f>D7/F7</f>
        <v>#DIV/0!</v>
      </c>
      <c r="AB7" s="772" t="e">
        <f>D7/H7</f>
        <v>#DIV/0!</v>
      </c>
      <c r="AC7" s="772" t="e">
        <f>D7/J7</f>
        <v>#DIV/0!</v>
      </c>
    </row>
    <row r="8" spans="1:29" s="117" customFormat="1" ht="15.75" thickBot="1">
      <c r="A8" s="407" t="s">
        <v>2544</v>
      </c>
      <c r="B8" s="408"/>
      <c r="C8" s="413" t="s">
        <v>2646</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315" t="s">
        <v>2546</v>
      </c>
      <c r="Q8" s="3316"/>
      <c r="R8" s="769" t="s">
        <v>17</v>
      </c>
      <c r="S8" s="770">
        <f t="shared" si="0"/>
        <v>0</v>
      </c>
      <c r="T8" s="769" t="s">
        <v>17</v>
      </c>
      <c r="U8" s="770">
        <f t="shared" si="1"/>
        <v>0</v>
      </c>
      <c r="V8" s="769" t="s">
        <v>17</v>
      </c>
      <c r="W8" s="770">
        <f t="shared" si="2"/>
        <v>0</v>
      </c>
      <c r="X8" s="771"/>
      <c r="Y8" s="3315" t="s">
        <v>2546</v>
      </c>
      <c r="Z8" s="3316"/>
      <c r="AA8" s="772" t="e">
        <f t="shared" ref="AA8:AA36" si="3">D8/F8</f>
        <v>#DIV/0!</v>
      </c>
      <c r="AB8" s="772" t="e">
        <f t="shared" ref="AB8:AB36" si="4">D8/H8</f>
        <v>#DIV/0!</v>
      </c>
      <c r="AC8" s="772" t="e">
        <f t="shared" ref="AC8:AC36" si="5">D8/J8</f>
        <v>#DIV/0!</v>
      </c>
    </row>
    <row r="9" spans="1:29" s="117" customFormat="1">
      <c r="A9" s="68" t="s">
        <v>2547</v>
      </c>
      <c r="B9" s="639" t="s">
        <v>2548</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79" t="s">
        <v>2549</v>
      </c>
      <c r="Q9" s="1794" t="str">
        <f t="shared" ref="Q9:Q14" si="6">B9</f>
        <v>用途</v>
      </c>
      <c r="R9" s="769" t="s">
        <v>17</v>
      </c>
      <c r="S9" s="770">
        <f t="shared" si="0"/>
        <v>100</v>
      </c>
      <c r="T9" s="769" t="s">
        <v>17</v>
      </c>
      <c r="U9" s="770">
        <f t="shared" si="1"/>
        <v>100</v>
      </c>
      <c r="V9" s="769" t="s">
        <v>17</v>
      </c>
      <c r="W9" s="770">
        <f t="shared" si="2"/>
        <v>100</v>
      </c>
      <c r="X9" s="771"/>
      <c r="Y9" s="3077" t="s">
        <v>2550</v>
      </c>
      <c r="Z9" s="55" t="str">
        <f t="shared" ref="Z9:Z14" si="7">Q9</f>
        <v>用途</v>
      </c>
      <c r="AA9" s="772">
        <f t="shared" si="3"/>
        <v>1</v>
      </c>
      <c r="AB9" s="772">
        <f t="shared" si="4"/>
        <v>1</v>
      </c>
      <c r="AC9" s="772">
        <f t="shared" si="5"/>
        <v>1</v>
      </c>
    </row>
    <row r="10" spans="1:29" s="426" customFormat="1" ht="27">
      <c r="A10" s="640"/>
      <c r="B10" s="641" t="s">
        <v>2551</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79"/>
      <c r="Q10" s="1794" t="str">
        <f t="shared" si="6"/>
        <v>土地使用年限（年）</v>
      </c>
      <c r="R10" s="769" t="s">
        <v>17</v>
      </c>
      <c r="S10" s="770">
        <f t="shared" si="0"/>
        <v>100</v>
      </c>
      <c r="T10" s="769" t="s">
        <v>17</v>
      </c>
      <c r="U10" s="770">
        <f t="shared" si="1"/>
        <v>100</v>
      </c>
      <c r="V10" s="769" t="s">
        <v>17</v>
      </c>
      <c r="W10" s="770">
        <f t="shared" si="2"/>
        <v>100</v>
      </c>
      <c r="X10" s="771"/>
      <c r="Y10" s="3077"/>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79"/>
      <c r="Q11" s="1794">
        <f t="shared" si="6"/>
        <v>111</v>
      </c>
      <c r="R11" s="769" t="s">
        <v>17</v>
      </c>
      <c r="S11" s="770">
        <f t="shared" si="0"/>
        <v>100</v>
      </c>
      <c r="T11" s="769" t="s">
        <v>17</v>
      </c>
      <c r="U11" s="770">
        <f t="shared" si="1"/>
        <v>100</v>
      </c>
      <c r="V11" s="769" t="s">
        <v>17</v>
      </c>
      <c r="W11" s="770">
        <f t="shared" si="2"/>
        <v>100</v>
      </c>
      <c r="X11" s="771"/>
      <c r="Y11" s="3077"/>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79"/>
      <c r="Q12" s="1794">
        <f t="shared" si="6"/>
        <v>111</v>
      </c>
      <c r="R12" s="769" t="s">
        <v>17</v>
      </c>
      <c r="S12" s="770">
        <f t="shared" si="0"/>
        <v>100</v>
      </c>
      <c r="T12" s="769" t="s">
        <v>17</v>
      </c>
      <c r="U12" s="770">
        <f t="shared" si="1"/>
        <v>100</v>
      </c>
      <c r="V12" s="769" t="s">
        <v>17</v>
      </c>
      <c r="W12" s="770">
        <f t="shared" si="2"/>
        <v>100</v>
      </c>
      <c r="X12" s="771"/>
      <c r="Y12" s="3077"/>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79"/>
      <c r="Q13" s="1794">
        <f t="shared" si="6"/>
        <v>111</v>
      </c>
      <c r="R13" s="769" t="s">
        <v>17</v>
      </c>
      <c r="S13" s="770">
        <f t="shared" si="0"/>
        <v>100</v>
      </c>
      <c r="T13" s="769" t="s">
        <v>17</v>
      </c>
      <c r="U13" s="770">
        <f t="shared" si="1"/>
        <v>100</v>
      </c>
      <c r="V13" s="769" t="s">
        <v>17</v>
      </c>
      <c r="W13" s="770">
        <f t="shared" si="2"/>
        <v>100</v>
      </c>
      <c r="X13" s="771"/>
      <c r="Y13" s="3077"/>
      <c r="Z13" s="55">
        <f t="shared" si="7"/>
        <v>111</v>
      </c>
      <c r="AA13" s="772">
        <f t="shared" si="3"/>
        <v>1</v>
      </c>
      <c r="AB13" s="772">
        <f t="shared" si="4"/>
        <v>1</v>
      </c>
      <c r="AC13" s="772">
        <f t="shared" si="5"/>
        <v>1</v>
      </c>
    </row>
    <row r="14" spans="1:29" ht="85.5">
      <c r="A14" s="400" t="s">
        <v>2553</v>
      </c>
      <c r="B14" s="628" t="s">
        <v>2703</v>
      </c>
      <c r="C14" s="2691"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81" t="s">
        <v>2554</v>
      </c>
      <c r="Q14" s="1809" t="str">
        <f t="shared" si="6"/>
        <v>交通便捷度</v>
      </c>
      <c r="R14" s="773" t="s">
        <v>17</v>
      </c>
      <c r="S14" s="774">
        <f t="shared" si="0"/>
        <v>100</v>
      </c>
      <c r="T14" s="773" t="s">
        <v>17</v>
      </c>
      <c r="U14" s="774">
        <f t="shared" si="1"/>
        <v>100</v>
      </c>
      <c r="V14" s="773" t="s">
        <v>17</v>
      </c>
      <c r="W14" s="774">
        <f t="shared" si="2"/>
        <v>100</v>
      </c>
      <c r="X14" s="1812"/>
      <c r="Y14" s="3281" t="s">
        <v>2554</v>
      </c>
      <c r="Z14" s="1813" t="str">
        <f t="shared" si="7"/>
        <v>交通便捷度</v>
      </c>
      <c r="AA14" s="1810">
        <f t="shared" si="3"/>
        <v>1</v>
      </c>
      <c r="AB14" s="1810">
        <f t="shared" si="4"/>
        <v>1</v>
      </c>
      <c r="AC14" s="1810">
        <f t="shared" si="5"/>
        <v>1</v>
      </c>
    </row>
    <row r="15" spans="1:29" ht="15">
      <c r="A15" s="403"/>
      <c r="B15" s="646"/>
      <c r="C15" s="446"/>
      <c r="D15" s="447"/>
      <c r="E15" s="446"/>
      <c r="F15" s="448"/>
      <c r="G15" s="446"/>
      <c r="H15" s="449"/>
      <c r="I15" s="446"/>
      <c r="J15" s="447"/>
      <c r="K15" s="614"/>
      <c r="L15" s="1139"/>
      <c r="M15" s="1130"/>
      <c r="N15" s="1130"/>
      <c r="O15" s="1130"/>
      <c r="P15" s="3282"/>
      <c r="Q15" s="1809"/>
      <c r="R15" s="773"/>
      <c r="S15" s="774"/>
      <c r="T15" s="773"/>
      <c r="U15" s="774"/>
      <c r="V15" s="773"/>
      <c r="W15" s="774"/>
      <c r="X15" s="1812"/>
      <c r="Y15" s="3282"/>
      <c r="Z15" s="1813"/>
      <c r="AA15" s="1810">
        <v>1</v>
      </c>
      <c r="AB15" s="1810">
        <v>1</v>
      </c>
      <c r="AC15" s="1810">
        <v>1</v>
      </c>
    </row>
    <row r="16" spans="1:29" ht="42.75">
      <c r="A16" s="403"/>
      <c r="B16" s="630" t="s">
        <v>2682</v>
      </c>
      <c r="C16" s="2605"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82"/>
      <c r="Q16" s="1809" t="str">
        <f>B16</f>
        <v>公共配套设施</v>
      </c>
      <c r="R16" s="773" t="s">
        <v>17</v>
      </c>
      <c r="S16" s="774">
        <f>F16</f>
        <v>100</v>
      </c>
      <c r="T16" s="773" t="s">
        <v>17</v>
      </c>
      <c r="U16" s="774">
        <f>H16</f>
        <v>100</v>
      </c>
      <c r="V16" s="773" t="s">
        <v>17</v>
      </c>
      <c r="W16" s="774">
        <f>J16</f>
        <v>100</v>
      </c>
      <c r="X16" s="1812"/>
      <c r="Y16" s="3282"/>
      <c r="Z16" s="1813" t="str">
        <f>Q16</f>
        <v>公共配套设施</v>
      </c>
      <c r="AA16" s="1810">
        <f t="shared" si="3"/>
        <v>1</v>
      </c>
      <c r="AB16" s="1810">
        <f t="shared" si="4"/>
        <v>1</v>
      </c>
      <c r="AC16" s="1810">
        <f t="shared" si="5"/>
        <v>1</v>
      </c>
    </row>
    <row r="17" spans="1:29" ht="15">
      <c r="A17" s="403"/>
      <c r="B17" s="631"/>
      <c r="C17" s="2606"/>
      <c r="D17" s="447"/>
      <c r="E17" s="446"/>
      <c r="F17" s="448"/>
      <c r="G17" s="446"/>
      <c r="H17" s="447"/>
      <c r="I17" s="446"/>
      <c r="J17" s="447"/>
      <c r="K17" s="614"/>
      <c r="L17" s="1139"/>
      <c r="M17" s="1130"/>
      <c r="N17" s="1130"/>
      <c r="O17" s="1130"/>
      <c r="P17" s="3282"/>
      <c r="Q17" s="1809"/>
      <c r="R17" s="773"/>
      <c r="S17" s="774"/>
      <c r="T17" s="773"/>
      <c r="U17" s="774"/>
      <c r="V17" s="773"/>
      <c r="W17" s="774"/>
      <c r="X17" s="1812"/>
      <c r="Y17" s="3282"/>
      <c r="Z17" s="1813"/>
      <c r="AA17" s="1810">
        <v>1</v>
      </c>
      <c r="AB17" s="1810">
        <v>1</v>
      </c>
      <c r="AC17" s="1810">
        <v>1</v>
      </c>
    </row>
    <row r="18" spans="1:29" ht="28.5">
      <c r="A18" s="403"/>
      <c r="B18" s="632" t="s">
        <v>2683</v>
      </c>
      <c r="C18" s="2605"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82"/>
      <c r="Q18" s="1809" t="str">
        <f>B18</f>
        <v>基础设施水平</v>
      </c>
      <c r="R18" s="773" t="s">
        <v>17</v>
      </c>
      <c r="S18" s="774">
        <f>F18</f>
        <v>100</v>
      </c>
      <c r="T18" s="773" t="s">
        <v>17</v>
      </c>
      <c r="U18" s="774">
        <f>H18</f>
        <v>100</v>
      </c>
      <c r="V18" s="773" t="s">
        <v>17</v>
      </c>
      <c r="W18" s="774">
        <f>J18</f>
        <v>100</v>
      </c>
      <c r="X18" s="1812"/>
      <c r="Y18" s="3282"/>
      <c r="Z18" s="1813" t="str">
        <f>Q18</f>
        <v>基础设施水平</v>
      </c>
      <c r="AA18" s="1810">
        <f t="shared" ref="AA18" si="8">D18/F18</f>
        <v>1</v>
      </c>
      <c r="AB18" s="1810">
        <f t="shared" ref="AB18" si="9">D18/H18</f>
        <v>1</v>
      </c>
      <c r="AC18" s="1810">
        <f t="shared" ref="AC18" si="10">D18/J18</f>
        <v>1</v>
      </c>
    </row>
    <row r="19" spans="1:29" ht="15">
      <c r="A19" s="403"/>
      <c r="B19" s="632"/>
      <c r="C19" s="2606"/>
      <c r="D19" s="449"/>
      <c r="E19" s="2606"/>
      <c r="F19" s="452"/>
      <c r="G19" s="2606"/>
      <c r="H19" s="447"/>
      <c r="I19" s="446"/>
      <c r="J19" s="447"/>
      <c r="K19" s="1382"/>
      <c r="L19" s="1139"/>
      <c r="M19" s="1130"/>
      <c r="N19" s="1130"/>
      <c r="O19" s="1130"/>
      <c r="P19" s="3282"/>
      <c r="Q19" s="1809"/>
      <c r="R19" s="773"/>
      <c r="S19" s="774"/>
      <c r="T19" s="773"/>
      <c r="U19" s="774"/>
      <c r="V19" s="773"/>
      <c r="W19" s="774"/>
      <c r="X19" s="1812"/>
      <c r="Y19" s="3282"/>
      <c r="Z19" s="1813"/>
      <c r="AA19" s="1810">
        <v>1</v>
      </c>
      <c r="AB19" s="1810">
        <v>1</v>
      </c>
      <c r="AC19" s="1810">
        <v>1</v>
      </c>
    </row>
    <row r="20" spans="1:29" ht="57">
      <c r="A20" s="403"/>
      <c r="B20" s="630" t="s">
        <v>2704</v>
      </c>
      <c r="C20" s="2605"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82"/>
      <c r="Q20" s="1809" t="str">
        <f>B20</f>
        <v>自然及人文环境</v>
      </c>
      <c r="R20" s="773" t="s">
        <v>17</v>
      </c>
      <c r="S20" s="774">
        <f>F20</f>
        <v>100</v>
      </c>
      <c r="T20" s="773" t="s">
        <v>17</v>
      </c>
      <c r="U20" s="774">
        <f>H20</f>
        <v>100</v>
      </c>
      <c r="V20" s="773" t="s">
        <v>17</v>
      </c>
      <c r="W20" s="774">
        <f>J20</f>
        <v>100</v>
      </c>
      <c r="X20" s="1812"/>
      <c r="Y20" s="3282"/>
      <c r="Z20" s="1813" t="str">
        <f>Q20</f>
        <v>自然及人文环境</v>
      </c>
      <c r="AA20" s="1810">
        <f t="shared" si="3"/>
        <v>1</v>
      </c>
      <c r="AB20" s="1810">
        <f t="shared" si="4"/>
        <v>1</v>
      </c>
      <c r="AC20" s="1810">
        <f t="shared" si="5"/>
        <v>1</v>
      </c>
    </row>
    <row r="21" spans="1:29" ht="15">
      <c r="A21" s="403"/>
      <c r="B21" s="631"/>
      <c r="C21" s="446"/>
      <c r="D21" s="447"/>
      <c r="E21" s="446"/>
      <c r="F21" s="448"/>
      <c r="G21" s="446"/>
      <c r="H21" s="447"/>
      <c r="I21" s="446"/>
      <c r="J21" s="447"/>
      <c r="K21" s="614"/>
      <c r="L21" s="1139"/>
      <c r="M21" s="1130"/>
      <c r="N21" s="1130"/>
      <c r="O21" s="1130"/>
      <c r="P21" s="3282"/>
      <c r="Q21" s="1809"/>
      <c r="R21" s="773"/>
      <c r="S21" s="774"/>
      <c r="T21" s="773"/>
      <c r="U21" s="774"/>
      <c r="V21" s="773"/>
      <c r="W21" s="774"/>
      <c r="X21" s="1812"/>
      <c r="Y21" s="3282"/>
      <c r="Z21" s="1813"/>
      <c r="AA21" s="1810">
        <v>1</v>
      </c>
      <c r="AB21" s="1810">
        <v>1</v>
      </c>
      <c r="AC21" s="1810">
        <v>1</v>
      </c>
    </row>
    <row r="22" spans="1:29" ht="15">
      <c r="A22" s="403"/>
      <c r="B22" s="630" t="s">
        <v>2705</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82"/>
      <c r="Q22" s="1809" t="str">
        <f>B22</f>
        <v>楼层</v>
      </c>
      <c r="R22" s="773" t="s">
        <v>17</v>
      </c>
      <c r="S22" s="774">
        <f>F22</f>
        <v>100</v>
      </c>
      <c r="T22" s="773" t="s">
        <v>17</v>
      </c>
      <c r="U22" s="774">
        <f>H22</f>
        <v>100</v>
      </c>
      <c r="V22" s="773" t="s">
        <v>17</v>
      </c>
      <c r="W22" s="774">
        <f>J22</f>
        <v>100</v>
      </c>
      <c r="X22" s="1812"/>
      <c r="Y22" s="3282"/>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82"/>
      <c r="Q23" s="1809">
        <f>B23</f>
        <v>111</v>
      </c>
      <c r="R23" s="773" t="s">
        <v>17</v>
      </c>
      <c r="S23" s="774">
        <f>F23</f>
        <v>100</v>
      </c>
      <c r="T23" s="773" t="s">
        <v>17</v>
      </c>
      <c r="U23" s="774">
        <f>H23</f>
        <v>100</v>
      </c>
      <c r="V23" s="773" t="s">
        <v>17</v>
      </c>
      <c r="W23" s="774">
        <f>J23</f>
        <v>100</v>
      </c>
      <c r="X23" s="1812"/>
      <c r="Y23" s="3282"/>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82"/>
      <c r="Q24" s="1809">
        <f t="shared" ref="Q24:Q36" si="11">B24</f>
        <v>111</v>
      </c>
      <c r="R24" s="773" t="s">
        <v>17</v>
      </c>
      <c r="S24" s="774">
        <f>F24</f>
        <v>100</v>
      </c>
      <c r="T24" s="773" t="s">
        <v>17</v>
      </c>
      <c r="U24" s="774">
        <f>H24</f>
        <v>100</v>
      </c>
      <c r="V24" s="773" t="s">
        <v>17</v>
      </c>
      <c r="W24" s="774">
        <f>J24</f>
        <v>100</v>
      </c>
      <c r="X24" s="1812"/>
      <c r="Y24" s="3282"/>
      <c r="Z24" s="1813">
        <f>Q24</f>
        <v>111</v>
      </c>
      <c r="AA24" s="1810">
        <f t="shared" si="3"/>
        <v>1</v>
      </c>
      <c r="AB24" s="1810">
        <f t="shared" si="4"/>
        <v>1</v>
      </c>
      <c r="AC24" s="1810">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82"/>
      <c r="Q25" s="1794">
        <f t="shared" si="11"/>
        <v>111</v>
      </c>
      <c r="R25" s="769" t="s">
        <v>17</v>
      </c>
      <c r="S25" s="770">
        <f>F25</f>
        <v>100</v>
      </c>
      <c r="T25" s="769" t="s">
        <v>17</v>
      </c>
      <c r="U25" s="770">
        <f>H25</f>
        <v>100</v>
      </c>
      <c r="V25" s="769" t="s">
        <v>17</v>
      </c>
      <c r="W25" s="770">
        <f>J25</f>
        <v>100</v>
      </c>
      <c r="X25" s="771"/>
      <c r="Y25" s="3282"/>
      <c r="Z25" s="55">
        <f>Q25</f>
        <v>111</v>
      </c>
      <c r="AA25" s="1810">
        <f>D25/F25</f>
        <v>1</v>
      </c>
      <c r="AB25" s="1810">
        <f>D25/H25</f>
        <v>1</v>
      </c>
      <c r="AC25" s="1810">
        <f>D25/J25</f>
        <v>1</v>
      </c>
    </row>
    <row r="26" spans="1:29" ht="28.5">
      <c r="A26" s="651" t="s">
        <v>2557</v>
      </c>
      <c r="B26" s="70" t="s">
        <v>2706</v>
      </c>
      <c r="C26" s="2692">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337" t="s">
        <v>2559</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286" t="s">
        <v>2559</v>
      </c>
      <c r="Z26" s="1813" t="str">
        <f t="shared" ref="Z26:Z36" si="15">Q26</f>
        <v>配套类型</v>
      </c>
      <c r="AA26" s="1810">
        <f t="shared" si="3"/>
        <v>1</v>
      </c>
      <c r="AB26" s="1810">
        <f t="shared" si="4"/>
        <v>1</v>
      </c>
      <c r="AC26" s="1810">
        <f t="shared" si="5"/>
        <v>1</v>
      </c>
    </row>
    <row r="27" spans="1:29" s="470" customFormat="1" ht="15">
      <c r="A27" s="652"/>
      <c r="B27" s="653" t="s">
        <v>2707</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86"/>
      <c r="Q27" s="775" t="str">
        <f t="shared" si="11"/>
        <v>项目停车位配比</v>
      </c>
      <c r="R27" s="776" t="s">
        <v>17</v>
      </c>
      <c r="S27" s="777">
        <f t="shared" si="12"/>
        <v>100</v>
      </c>
      <c r="T27" s="776" t="s">
        <v>17</v>
      </c>
      <c r="U27" s="777">
        <f t="shared" si="13"/>
        <v>100</v>
      </c>
      <c r="V27" s="776" t="s">
        <v>17</v>
      </c>
      <c r="W27" s="777">
        <f t="shared" si="14"/>
        <v>100</v>
      </c>
      <c r="X27" s="778"/>
      <c r="Y27" s="3286"/>
      <c r="Z27" s="779" t="str">
        <f t="shared" si="15"/>
        <v>项目停车位配比</v>
      </c>
      <c r="AA27" s="1810">
        <f t="shared" si="3"/>
        <v>1</v>
      </c>
      <c r="AB27" s="1810">
        <f t="shared" si="4"/>
        <v>1</v>
      </c>
      <c r="AC27" s="1810">
        <f t="shared" si="5"/>
        <v>1</v>
      </c>
    </row>
    <row r="28" spans="1:29" ht="15">
      <c r="A28" s="655"/>
      <c r="B28" s="653" t="s">
        <v>2708</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86"/>
      <c r="Q28" s="1809" t="str">
        <f t="shared" si="11"/>
        <v>公共部分装修</v>
      </c>
      <c r="R28" s="773" t="s">
        <v>17</v>
      </c>
      <c r="S28" s="774">
        <f t="shared" si="12"/>
        <v>100</v>
      </c>
      <c r="T28" s="773" t="s">
        <v>17</v>
      </c>
      <c r="U28" s="774">
        <f t="shared" si="13"/>
        <v>100</v>
      </c>
      <c r="V28" s="773" t="s">
        <v>17</v>
      </c>
      <c r="W28" s="774">
        <f t="shared" si="14"/>
        <v>100</v>
      </c>
      <c r="X28" s="1812"/>
      <c r="Y28" s="3286"/>
      <c r="Z28" s="1813" t="str">
        <f t="shared" si="15"/>
        <v>公共部分装修</v>
      </c>
      <c r="AA28" s="1810">
        <f t="shared" si="3"/>
        <v>1</v>
      </c>
      <c r="AB28" s="1810">
        <f t="shared" si="4"/>
        <v>1</v>
      </c>
      <c r="AC28" s="1810">
        <f t="shared" si="5"/>
        <v>1</v>
      </c>
    </row>
    <row r="29" spans="1:29" ht="15">
      <c r="A29" s="655"/>
      <c r="B29" s="653" t="s">
        <v>2709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86"/>
      <c r="Q29" s="1809" t="str">
        <f t="shared" si="11"/>
        <v>成新率</v>
      </c>
      <c r="R29" s="773" t="s">
        <v>17</v>
      </c>
      <c r="S29" s="774" t="e">
        <f t="shared" si="12"/>
        <v>#N/A</v>
      </c>
      <c r="T29" s="773" t="s">
        <v>17</v>
      </c>
      <c r="U29" s="774" t="e">
        <f t="shared" si="13"/>
        <v>#N/A</v>
      </c>
      <c r="V29" s="773" t="s">
        <v>17</v>
      </c>
      <c r="W29" s="774" t="e">
        <f t="shared" si="14"/>
        <v>#N/A</v>
      </c>
      <c r="X29" s="1812"/>
      <c r="Y29" s="3286"/>
      <c r="Z29" s="1813" t="str">
        <f t="shared" si="15"/>
        <v>成新率</v>
      </c>
      <c r="AA29" s="1810" t="e">
        <f t="shared" si="3"/>
        <v>#N/A</v>
      </c>
      <c r="AB29" s="1810" t="e">
        <f t="shared" si="4"/>
        <v>#N/A</v>
      </c>
      <c r="AC29" s="1810" t="e">
        <f t="shared" si="5"/>
        <v>#N/A</v>
      </c>
    </row>
    <row r="30" spans="1:29" ht="15">
      <c r="A30" s="655"/>
      <c r="B30" s="653" t="s">
        <v>2710</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86"/>
      <c r="Q30" s="1809" t="str">
        <f t="shared" si="11"/>
        <v>物业等级</v>
      </c>
      <c r="R30" s="773" t="s">
        <v>17</v>
      </c>
      <c r="S30" s="774">
        <f t="shared" si="12"/>
        <v>100</v>
      </c>
      <c r="T30" s="773" t="s">
        <v>17</v>
      </c>
      <c r="U30" s="774">
        <f t="shared" si="13"/>
        <v>100</v>
      </c>
      <c r="V30" s="773" t="s">
        <v>17</v>
      </c>
      <c r="W30" s="774">
        <f t="shared" si="14"/>
        <v>100</v>
      </c>
      <c r="X30" s="1812"/>
      <c r="Y30" s="3286"/>
      <c r="Z30" s="1813" t="str">
        <f t="shared" si="15"/>
        <v>物业等级</v>
      </c>
      <c r="AA30" s="1810">
        <f t="shared" si="3"/>
        <v>1</v>
      </c>
      <c r="AB30" s="1810">
        <f t="shared" si="4"/>
        <v>1</v>
      </c>
      <c r="AC30" s="1810">
        <f t="shared" si="5"/>
        <v>1</v>
      </c>
    </row>
    <row r="31" spans="1:29" s="117" customFormat="1" ht="15">
      <c r="A31" s="657"/>
      <c r="B31" s="653" t="s">
        <v>2711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86"/>
      <c r="Q31" s="1794" t="str">
        <f t="shared" si="11"/>
        <v>停车位面积</v>
      </c>
      <c r="R31" s="769" t="s">
        <v>17</v>
      </c>
      <c r="S31" s="770" t="e">
        <f t="shared" si="12"/>
        <v>#N/A</v>
      </c>
      <c r="T31" s="769" t="s">
        <v>17</v>
      </c>
      <c r="U31" s="770" t="e">
        <f t="shared" si="13"/>
        <v>#N/A</v>
      </c>
      <c r="V31" s="769" t="s">
        <v>17</v>
      </c>
      <c r="W31" s="770" t="e">
        <f t="shared" si="14"/>
        <v>#N/A</v>
      </c>
      <c r="X31" s="771"/>
      <c r="Y31" s="3286"/>
      <c r="Z31" s="55" t="str">
        <f t="shared" si="15"/>
        <v>停车位面积</v>
      </c>
      <c r="AA31" s="772" t="e">
        <f t="shared" si="3"/>
        <v>#N/A</v>
      </c>
      <c r="AB31" s="772" t="e">
        <f t="shared" si="4"/>
        <v>#N/A</v>
      </c>
      <c r="AC31" s="772" t="e">
        <f t="shared" si="5"/>
        <v>#N/A</v>
      </c>
    </row>
    <row r="32" spans="1:29" ht="15">
      <c r="A32" s="655"/>
      <c r="B32" s="653" t="s">
        <v>2712</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86" t="s">
        <v>2559</v>
      </c>
      <c r="Q32" s="1809" t="str">
        <f t="shared" si="11"/>
        <v>车位类型</v>
      </c>
      <c r="R32" s="773" t="s">
        <v>17</v>
      </c>
      <c r="S32" s="774">
        <f t="shared" si="12"/>
        <v>100</v>
      </c>
      <c r="T32" s="773" t="s">
        <v>17</v>
      </c>
      <c r="U32" s="774">
        <f t="shared" si="13"/>
        <v>100</v>
      </c>
      <c r="V32" s="773" t="s">
        <v>17</v>
      </c>
      <c r="W32" s="774">
        <f t="shared" si="14"/>
        <v>100</v>
      </c>
      <c r="X32" s="1812"/>
      <c r="Y32" s="3286" t="s">
        <v>2559</v>
      </c>
      <c r="Z32" s="1813" t="str">
        <f t="shared" si="15"/>
        <v>车位类型</v>
      </c>
      <c r="AA32" s="1810">
        <f t="shared" si="3"/>
        <v>1</v>
      </c>
      <c r="AB32" s="1810">
        <f t="shared" si="4"/>
        <v>1</v>
      </c>
      <c r="AC32" s="1810">
        <f t="shared" si="5"/>
        <v>1</v>
      </c>
    </row>
    <row r="33" spans="1:29" ht="15">
      <c r="A33" s="655"/>
      <c r="B33" s="653" t="s">
        <v>2713</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86"/>
      <c r="Q33" s="1809" t="str">
        <f t="shared" si="11"/>
        <v>是否直接入户</v>
      </c>
      <c r="R33" s="773" t="s">
        <v>17</v>
      </c>
      <c r="S33" s="774">
        <f t="shared" si="12"/>
        <v>100</v>
      </c>
      <c r="T33" s="773" t="s">
        <v>17</v>
      </c>
      <c r="U33" s="774">
        <f t="shared" si="13"/>
        <v>100</v>
      </c>
      <c r="V33" s="773" t="s">
        <v>17</v>
      </c>
      <c r="W33" s="774">
        <f t="shared" si="14"/>
        <v>100</v>
      </c>
      <c r="X33" s="1812"/>
      <c r="Y33" s="3286"/>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86"/>
      <c r="Q34" s="1809">
        <f t="shared" si="11"/>
        <v>111</v>
      </c>
      <c r="R34" s="773" t="s">
        <v>17</v>
      </c>
      <c r="S34" s="774">
        <f t="shared" si="12"/>
        <v>100</v>
      </c>
      <c r="T34" s="773" t="s">
        <v>17</v>
      </c>
      <c r="U34" s="774">
        <f t="shared" si="13"/>
        <v>100</v>
      </c>
      <c r="V34" s="773" t="s">
        <v>17</v>
      </c>
      <c r="W34" s="774">
        <f t="shared" si="14"/>
        <v>100</v>
      </c>
      <c r="X34" s="1812"/>
      <c r="Y34" s="3286"/>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86"/>
      <c r="Q35" s="775">
        <f t="shared" si="11"/>
        <v>111</v>
      </c>
      <c r="R35" s="776" t="s">
        <v>17</v>
      </c>
      <c r="S35" s="777">
        <f t="shared" si="12"/>
        <v>100</v>
      </c>
      <c r="T35" s="776" t="s">
        <v>17</v>
      </c>
      <c r="U35" s="777">
        <f t="shared" si="13"/>
        <v>100</v>
      </c>
      <c r="V35" s="776" t="s">
        <v>17</v>
      </c>
      <c r="W35" s="777">
        <f t="shared" si="14"/>
        <v>100</v>
      </c>
      <c r="X35" s="778"/>
      <c r="Y35" s="3286"/>
      <c r="Z35" s="779">
        <f t="shared" si="15"/>
        <v>111</v>
      </c>
      <c r="AA35" s="1810">
        <f t="shared" si="3"/>
        <v>1</v>
      </c>
      <c r="AB35" s="1810">
        <f t="shared" si="4"/>
        <v>1</v>
      </c>
      <c r="AC35" s="181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86"/>
      <c r="Q36" s="1809">
        <f t="shared" si="11"/>
        <v>111</v>
      </c>
      <c r="R36" s="773" t="s">
        <v>17</v>
      </c>
      <c r="S36" s="774">
        <f t="shared" si="12"/>
        <v>100</v>
      </c>
      <c r="T36" s="773" t="s">
        <v>17</v>
      </c>
      <c r="U36" s="774">
        <f t="shared" si="13"/>
        <v>100</v>
      </c>
      <c r="V36" s="773" t="s">
        <v>17</v>
      </c>
      <c r="W36" s="774">
        <f t="shared" si="14"/>
        <v>100</v>
      </c>
      <c r="X36" s="1812"/>
      <c r="Y36" s="3286"/>
      <c r="Z36" s="1813">
        <f t="shared" si="15"/>
        <v>111</v>
      </c>
      <c r="AA36" s="1810">
        <f t="shared" si="3"/>
        <v>1</v>
      </c>
      <c r="AB36" s="1810">
        <f t="shared" si="4"/>
        <v>1</v>
      </c>
      <c r="AC36" s="1810">
        <f t="shared" si="5"/>
        <v>1</v>
      </c>
    </row>
    <row r="37" spans="1:29" ht="15">
      <c r="A37" s="478" t="s">
        <v>2714</v>
      </c>
      <c r="B37" s="2693" t="s">
        <v>2715</v>
      </c>
      <c r="C37" s="1406" t="s">
        <v>1</v>
      </c>
      <c r="D37" s="1407"/>
      <c r="E37" s="1408"/>
      <c r="F37" s="1409"/>
      <c r="G37" s="1410"/>
      <c r="H37" s="1411"/>
      <c r="I37" s="1408"/>
      <c r="J37" s="1411"/>
      <c r="K37" s="618"/>
      <c r="L37" s="1142"/>
      <c r="M37" s="1143"/>
      <c r="N37" s="1130"/>
      <c r="O37" s="1143"/>
      <c r="P37" s="3279" t="str">
        <f>A37</f>
        <v>成交单价</v>
      </c>
      <c r="Q37" s="3279"/>
      <c r="R37" s="3280">
        <f>E37</f>
        <v>0</v>
      </c>
      <c r="S37" s="3280"/>
      <c r="T37" s="3280">
        <f>G37</f>
        <v>0</v>
      </c>
      <c r="U37" s="3280"/>
      <c r="V37" s="3280">
        <f>I37</f>
        <v>0</v>
      </c>
      <c r="W37" s="3280"/>
      <c r="X37" s="758"/>
      <c r="Y37" s="780"/>
      <c r="Z37" s="758"/>
      <c r="AA37" s="758"/>
      <c r="AB37" s="758"/>
      <c r="AC37" s="758"/>
    </row>
    <row r="38" spans="1:29" ht="15.75" thickBot="1">
      <c r="A38" s="485" t="s">
        <v>2716</v>
      </c>
      <c r="B38" s="486" t="str">
        <f>B37</f>
        <v>元/车位</v>
      </c>
      <c r="C38" s="1412" t="e">
        <f>R39</f>
        <v>#DIV/0!</v>
      </c>
      <c r="D38" s="1413"/>
      <c r="E38" s="1414" t="e">
        <f>R38</f>
        <v>#DIV/0!</v>
      </c>
      <c r="F38" s="1414"/>
      <c r="G38" s="1412" t="e">
        <f>T38</f>
        <v>#DIV/0!</v>
      </c>
      <c r="H38" s="1413"/>
      <c r="I38" s="1414" t="e">
        <f>V38</f>
        <v>#DIV/0!</v>
      </c>
      <c r="J38" s="1413"/>
      <c r="K38" s="619"/>
      <c r="L38" s="1142"/>
      <c r="M38" s="1143"/>
      <c r="N38" s="1143"/>
      <c r="O38" s="1143"/>
      <c r="P38" s="3279" t="str">
        <f>A38</f>
        <v>比较价值（元/平方米）</v>
      </c>
      <c r="Q38" s="3279"/>
      <c r="R38" s="3280" t="e">
        <f>IF(F1="售价",ROUND(PRODUCT(R37,AA7:AA36),0),ROUND(PRODUCT(R37,AA7:AA36),1))</f>
        <v>#DIV/0!</v>
      </c>
      <c r="S38" s="3280"/>
      <c r="T38" s="3280" t="e">
        <f>IF(F1="售价",ROUND(PRODUCT(T37,AB7:AB36),0),ROUND(PRODUCT(T37,AB7:AB36),1))</f>
        <v>#DIV/0!</v>
      </c>
      <c r="U38" s="3280"/>
      <c r="V38" s="3280" t="e">
        <f>IF(F1="售价",ROUND(PRODUCT(V37,AC7:AC36),0),ROUND(PRODUCT(V37,AC7:AC36),1))</f>
        <v>#DIV/0!</v>
      </c>
      <c r="W38" s="3280"/>
      <c r="X38" s="758"/>
      <c r="Y38" s="758"/>
      <c r="Z38" s="758"/>
      <c r="AA38" s="758"/>
      <c r="AB38" s="758"/>
      <c r="AC38" s="758"/>
    </row>
    <row r="39" spans="1:29" ht="15.75" thickBot="1">
      <c r="A39" s="491" t="s">
        <v>2717</v>
      </c>
      <c r="B39" s="492"/>
      <c r="C39" s="1416" t="e">
        <f>R39</f>
        <v>#DIV/0!</v>
      </c>
      <c r="D39" s="1416"/>
      <c r="E39" s="1416"/>
      <c r="F39" s="1416"/>
      <c r="G39" s="1416"/>
      <c r="H39" s="1416"/>
      <c r="I39" s="1416"/>
      <c r="J39" s="1416"/>
      <c r="K39" s="620"/>
      <c r="L39" s="1142"/>
      <c r="M39" s="1143"/>
      <c r="N39" s="1143"/>
      <c r="O39" s="1143"/>
      <c r="P39" s="3276" t="str">
        <f>A39</f>
        <v>估价对象XX用房的比较价值（楼面单价，元/平方米）</v>
      </c>
      <c r="Q39" s="3277"/>
      <c r="R39" s="3278" t="e">
        <f>IF(F1="售价",ROUND(AVERAGE(R38:V38),0),ROUND(AVERAGE(R38:V38),1))</f>
        <v>#DIV/0!</v>
      </c>
      <c r="S39" s="3278"/>
      <c r="T39" s="3278"/>
      <c r="U39" s="3278"/>
      <c r="V39" s="3278"/>
      <c r="W39" s="3278"/>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2718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2719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2721</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2722</v>
      </c>
      <c r="B48" s="505"/>
      <c r="C48" s="1573" t="str">
        <f>YEAR(C7)&amp;"-"&amp;MONTH(C7)</f>
        <v>2019-8</v>
      </c>
      <c r="D48" s="1574">
        <f>EDATE(C48,-1)</f>
        <v>43647</v>
      </c>
      <c r="E48" s="1574">
        <f t="shared" ref="E48:O48" si="16">EDATE(D48,-1)</f>
        <v>43617</v>
      </c>
      <c r="F48" s="1574">
        <f t="shared" si="16"/>
        <v>43586</v>
      </c>
      <c r="G48" s="1574">
        <f t="shared" si="16"/>
        <v>43556</v>
      </c>
      <c r="H48" s="1574">
        <f t="shared" si="16"/>
        <v>43525</v>
      </c>
      <c r="I48" s="1574">
        <f t="shared" si="16"/>
        <v>43497</v>
      </c>
      <c r="J48" s="1574">
        <f t="shared" si="16"/>
        <v>43466</v>
      </c>
      <c r="K48" s="1574">
        <f t="shared" si="16"/>
        <v>43435</v>
      </c>
      <c r="L48" s="1574">
        <f t="shared" si="16"/>
        <v>43405</v>
      </c>
      <c r="M48" s="1574">
        <f t="shared" si="16"/>
        <v>43374</v>
      </c>
      <c r="N48" s="1574">
        <f t="shared" si="16"/>
        <v>43344</v>
      </c>
      <c r="O48" s="1574">
        <f t="shared" si="16"/>
        <v>43313</v>
      </c>
      <c r="P48" s="1437"/>
      <c r="Q48" s="1438"/>
      <c r="R48" s="1438"/>
      <c r="S48" s="1438"/>
      <c r="T48" s="1438"/>
      <c r="U48" s="1438"/>
      <c r="V48" s="1438"/>
      <c r="W48" s="1438"/>
      <c r="X48" s="1438"/>
      <c r="Y48" s="1438"/>
      <c r="Z48" s="1438"/>
      <c r="AA48" s="1438"/>
      <c r="AB48" s="1438"/>
      <c r="AC48" s="1438"/>
    </row>
    <row r="49" spans="1:29" s="117" customFormat="1" ht="15">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7" customFormat="1" ht="15.75" thickBot="1">
      <c r="A50" s="514" t="s">
        <v>2579</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7" customFormat="1" ht="15">
      <c r="A51" s="520" t="s">
        <v>2544</v>
      </c>
      <c r="B51" s="509"/>
      <c r="C51" s="521" t="s">
        <v>2646</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7" customFormat="1" ht="15.75"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2582</v>
      </c>
      <c r="B53" s="527" t="s">
        <v>2548</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2551</v>
      </c>
      <c r="C55" s="538" t="s">
        <v>2583</v>
      </c>
      <c r="D55" s="538" t="s">
        <v>2584</v>
      </c>
      <c r="E55" s="538" t="s">
        <v>2585</v>
      </c>
      <c r="F55" s="538" t="s">
        <v>2586</v>
      </c>
      <c r="G55" s="538" t="s">
        <v>2587</v>
      </c>
      <c r="H55" s="538" t="s">
        <v>2588</v>
      </c>
      <c r="I55" s="538" t="s">
        <v>2589</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2553</v>
      </c>
      <c r="B63" s="527" t="s">
        <v>2596</v>
      </c>
      <c r="C63" s="572" t="s">
        <v>2591</v>
      </c>
      <c r="D63" s="572" t="s">
        <v>2592</v>
      </c>
      <c r="E63" s="572" t="s">
        <v>2593</v>
      </c>
      <c r="F63" s="572" t="s">
        <v>2594</v>
      </c>
      <c r="G63" s="572" t="s">
        <v>2595</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2597</v>
      </c>
      <c r="C65" s="577" t="s">
        <v>2591</v>
      </c>
      <c r="D65" s="577" t="s">
        <v>2592</v>
      </c>
      <c r="E65" s="577" t="s">
        <v>2593</v>
      </c>
      <c r="F65" s="577" t="s">
        <v>2594</v>
      </c>
      <c r="G65" s="577" t="s">
        <v>2595</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2683</v>
      </c>
      <c r="C67" s="659" t="s">
        <v>2669</v>
      </c>
      <c r="D67" s="659" t="s">
        <v>2670</v>
      </c>
      <c r="E67" s="659" t="s">
        <v>2671</v>
      </c>
      <c r="F67" s="659" t="s">
        <v>2672</v>
      </c>
      <c r="G67" s="659" t="s">
        <v>2673</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2603</v>
      </c>
      <c r="C69" s="577" t="s">
        <v>2591</v>
      </c>
      <c r="D69" s="577" t="s">
        <v>2592</v>
      </c>
      <c r="E69" s="577" t="s">
        <v>2593</v>
      </c>
      <c r="F69" s="577" t="s">
        <v>2594</v>
      </c>
      <c r="G69" s="577" t="s">
        <v>2595</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2723</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7"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7"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7"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7"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2557</v>
      </c>
      <c r="B79" s="527" t="s">
        <v>2724</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2725</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2610</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2726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2727</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2728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2729</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2730</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4"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24" sqref="J24"/>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2701</v>
      </c>
      <c r="B1" s="1618"/>
      <c r="C1" s="1619" t="s">
        <v>2524</v>
      </c>
      <c r="D1" s="1620"/>
      <c r="E1" s="1629"/>
      <c r="F1" s="2582"/>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2321</v>
      </c>
      <c r="B2" s="1417" t="e">
        <f ca="1">IF(C2="——",ROUND(C37*D3/10000,0),ROUND(C37*D3/10000,0)-D2)</f>
        <v>#DIV/0!</v>
      </c>
      <c r="C2" s="2584"/>
      <c r="D2" s="1123" t="e">
        <f ca="1">SUMIF(INDIRECT("'"&amp;F2&amp;"'"&amp;"!A:A"),"承租人权益价值",INDIRECT("'"&amp;F2&amp;"'"&amp;"!c:c"))</f>
        <v>#REF!</v>
      </c>
      <c r="E2" s="2585" t="s">
        <v>2322</v>
      </c>
      <c r="F2" s="2586"/>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2323</v>
      </c>
      <c r="B3" s="608" t="e">
        <f ca="1">IF(C2="——",C37,ROUND(B2*10000/D3,0))</f>
        <v>#DIV/0!</v>
      </c>
      <c r="C3" s="399" t="s">
        <v>2638</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2639</v>
      </c>
      <c r="B4" s="401"/>
      <c r="C4" s="3294" t="s">
        <v>2640</v>
      </c>
      <c r="D4" s="3295"/>
      <c r="E4" s="3296" t="s">
        <v>2641</v>
      </c>
      <c r="F4" s="3297"/>
      <c r="G4" s="3294" t="s">
        <v>2642</v>
      </c>
      <c r="H4" s="3295"/>
      <c r="I4" s="3294" t="s">
        <v>2643</v>
      </c>
      <c r="J4" s="3295"/>
      <c r="K4" s="609" t="s">
        <v>2644</v>
      </c>
      <c r="L4" s="1129"/>
      <c r="M4" s="1130"/>
      <c r="N4" s="1130"/>
      <c r="O4" s="1130"/>
      <c r="P4" s="3298" t="s">
        <v>2645</v>
      </c>
      <c r="Q4" s="3299"/>
      <c r="R4" s="3304" t="s">
        <v>2641</v>
      </c>
      <c r="S4" s="3305"/>
      <c r="T4" s="3304" t="s">
        <v>2642</v>
      </c>
      <c r="U4" s="3305"/>
      <c r="V4" s="3310" t="s">
        <v>2643</v>
      </c>
      <c r="W4" s="3310"/>
      <c r="X4" s="1812"/>
      <c r="Y4" s="3304" t="s">
        <v>2645</v>
      </c>
      <c r="Z4" s="3305"/>
      <c r="AA4" s="3291" t="s">
        <v>2641</v>
      </c>
      <c r="AB4" s="3292" t="s">
        <v>2642</v>
      </c>
      <c r="AC4" s="3291" t="s">
        <v>2643</v>
      </c>
    </row>
    <row r="5" spans="1:29" ht="15">
      <c r="A5" s="403"/>
      <c r="B5" s="404"/>
      <c r="C5" s="3313" t="s">
        <v>2536</v>
      </c>
      <c r="D5" s="3314"/>
      <c r="E5" s="3320" t="s">
        <v>2537</v>
      </c>
      <c r="F5" s="3321"/>
      <c r="G5" s="3313" t="s">
        <v>2538</v>
      </c>
      <c r="H5" s="3314"/>
      <c r="I5" s="3313" t="s">
        <v>2539</v>
      </c>
      <c r="J5" s="3314"/>
      <c r="K5" s="609"/>
      <c r="L5" s="1129"/>
      <c r="M5" s="1130"/>
      <c r="N5" s="1130"/>
      <c r="O5" s="1130"/>
      <c r="P5" s="3300"/>
      <c r="Q5" s="3301"/>
      <c r="R5" s="3306"/>
      <c r="S5" s="3307"/>
      <c r="T5" s="3306"/>
      <c r="U5" s="3307"/>
      <c r="V5" s="3310"/>
      <c r="W5" s="3310"/>
      <c r="X5" s="1812"/>
      <c r="Y5" s="3306"/>
      <c r="Z5" s="3307"/>
      <c r="AA5" s="3292"/>
      <c r="AB5" s="3292"/>
      <c r="AC5" s="3292"/>
    </row>
    <row r="6" spans="1:29" ht="15.75" thickBot="1">
      <c r="A6" s="405"/>
      <c r="B6" s="406"/>
      <c r="C6" s="3311" t="s">
        <v>2540</v>
      </c>
      <c r="D6" s="3312"/>
      <c r="E6" s="3318" t="s">
        <v>2540</v>
      </c>
      <c r="F6" s="3319"/>
      <c r="G6" s="3311" t="s">
        <v>2540</v>
      </c>
      <c r="H6" s="3312"/>
      <c r="I6" s="3311" t="s">
        <v>2540</v>
      </c>
      <c r="J6" s="3312"/>
      <c r="K6" s="609" t="s">
        <v>2541</v>
      </c>
      <c r="L6" s="1129"/>
      <c r="M6" s="1130"/>
      <c r="N6" s="1130"/>
      <c r="O6" s="1130"/>
      <c r="P6" s="3302"/>
      <c r="Q6" s="3303"/>
      <c r="R6" s="3306"/>
      <c r="S6" s="3307"/>
      <c r="T6" s="3308"/>
      <c r="U6" s="3309"/>
      <c r="V6" s="3310"/>
      <c r="W6" s="3310"/>
      <c r="X6" s="1812"/>
      <c r="Y6" s="3308"/>
      <c r="Z6" s="3309"/>
      <c r="AA6" s="3293"/>
      <c r="AB6" s="3293"/>
      <c r="AC6" s="3293"/>
    </row>
    <row r="7" spans="1:29" s="117" customFormat="1" ht="15.75" thickBot="1">
      <c r="A7" s="407" t="s">
        <v>2542</v>
      </c>
      <c r="B7" s="408"/>
      <c r="C7" s="409">
        <f>'数据-取费表'!B2</f>
        <v>43691</v>
      </c>
      <c r="D7" s="410">
        <v>100</v>
      </c>
      <c r="E7" s="411"/>
      <c r="F7" s="412">
        <f>SUMIF(46:46,YEAR(E7)&amp;"-"&amp;MONTH(E7),47:47)</f>
        <v>0</v>
      </c>
      <c r="G7" s="2694"/>
      <c r="H7" s="410">
        <f>SUMIF(46:46,YEAR(G7)&amp;"-"&amp;MONTH(G7),47:47)</f>
        <v>0</v>
      </c>
      <c r="I7" s="411"/>
      <c r="J7" s="410">
        <f>SUMIF(46:46,YEAR(I7)&amp;"-"&amp;MONTH(I7),47:47)</f>
        <v>0</v>
      </c>
      <c r="K7" s="610"/>
      <c r="L7" s="1131"/>
      <c r="M7" s="1132"/>
      <c r="N7" s="1132"/>
      <c r="O7" s="1132"/>
      <c r="P7" s="3315" t="s">
        <v>2543</v>
      </c>
      <c r="Q7" s="3317"/>
      <c r="R7" s="769" t="s">
        <v>17</v>
      </c>
      <c r="S7" s="770">
        <f t="shared" ref="S7:S14" si="0">F7</f>
        <v>0</v>
      </c>
      <c r="T7" s="769" t="s">
        <v>17</v>
      </c>
      <c r="U7" s="770">
        <f t="shared" ref="U7:U14" si="1">H7</f>
        <v>0</v>
      </c>
      <c r="V7" s="769" t="s">
        <v>17</v>
      </c>
      <c r="W7" s="770">
        <f t="shared" ref="W7:W14" si="2">J7</f>
        <v>0</v>
      </c>
      <c r="X7" s="771"/>
      <c r="Y7" s="3315" t="s">
        <v>2543</v>
      </c>
      <c r="Z7" s="3316"/>
      <c r="AA7" s="772" t="e">
        <f>D7/F7</f>
        <v>#DIV/0!</v>
      </c>
      <c r="AB7" s="772" t="e">
        <f>D7/H7</f>
        <v>#DIV/0!</v>
      </c>
      <c r="AC7" s="772" t="e">
        <f>D7/J7</f>
        <v>#DIV/0!</v>
      </c>
    </row>
    <row r="8" spans="1:29" s="117" customFormat="1" ht="15.75" thickBot="1">
      <c r="A8" s="407" t="s">
        <v>2544</v>
      </c>
      <c r="B8" s="408"/>
      <c r="C8" s="413" t="s">
        <v>2646</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315" t="s">
        <v>2546</v>
      </c>
      <c r="Q8" s="3316"/>
      <c r="R8" s="769" t="s">
        <v>17</v>
      </c>
      <c r="S8" s="770">
        <f t="shared" si="0"/>
        <v>0</v>
      </c>
      <c r="T8" s="769" t="s">
        <v>17</v>
      </c>
      <c r="U8" s="770">
        <f t="shared" si="1"/>
        <v>0</v>
      </c>
      <c r="V8" s="769" t="s">
        <v>17</v>
      </c>
      <c r="W8" s="770">
        <f t="shared" si="2"/>
        <v>0</v>
      </c>
      <c r="X8" s="771"/>
      <c r="Y8" s="3315" t="s">
        <v>2546</v>
      </c>
      <c r="Z8" s="3316"/>
      <c r="AA8" s="772" t="e">
        <f t="shared" ref="AA8:AA34" si="3">D8/F8</f>
        <v>#DIV/0!</v>
      </c>
      <c r="AB8" s="772" t="e">
        <f t="shared" ref="AB8:AB34" si="4">D8/H8</f>
        <v>#DIV/0!</v>
      </c>
      <c r="AC8" s="772" t="e">
        <f t="shared" ref="AC8:AC34" si="5">D8/J8</f>
        <v>#DIV/0!</v>
      </c>
    </row>
    <row r="9" spans="1:29" s="117" customFormat="1">
      <c r="A9" s="414" t="s">
        <v>2547</v>
      </c>
      <c r="B9" s="71" t="s">
        <v>2548</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79" t="s">
        <v>2549</v>
      </c>
      <c r="Q9" s="1794" t="str">
        <f t="shared" ref="Q9:Q14" si="6">B9</f>
        <v>用途</v>
      </c>
      <c r="R9" s="769" t="s">
        <v>17</v>
      </c>
      <c r="S9" s="770">
        <f t="shared" si="0"/>
        <v>100</v>
      </c>
      <c r="T9" s="769" t="s">
        <v>17</v>
      </c>
      <c r="U9" s="770">
        <f t="shared" si="1"/>
        <v>100</v>
      </c>
      <c r="V9" s="769" t="s">
        <v>17</v>
      </c>
      <c r="W9" s="770">
        <f t="shared" si="2"/>
        <v>100</v>
      </c>
      <c r="X9" s="771"/>
      <c r="Y9" s="3077" t="s">
        <v>2550</v>
      </c>
      <c r="Z9" s="55" t="str">
        <f t="shared" ref="Z9:Z14" si="7">Q9</f>
        <v>用途</v>
      </c>
      <c r="AA9" s="772">
        <f t="shared" si="3"/>
        <v>1</v>
      </c>
      <c r="AB9" s="772">
        <f t="shared" si="4"/>
        <v>1</v>
      </c>
      <c r="AC9" s="772">
        <f t="shared" si="5"/>
        <v>1</v>
      </c>
    </row>
    <row r="10" spans="1:29" s="426" customFormat="1" ht="27">
      <c r="A10" s="420"/>
      <c r="B10" s="421" t="s">
        <v>2551</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79"/>
      <c r="Q10" s="1794" t="str">
        <f t="shared" si="6"/>
        <v>土地使用年限（年）</v>
      </c>
      <c r="R10" s="769" t="s">
        <v>17</v>
      </c>
      <c r="S10" s="770">
        <f t="shared" si="0"/>
        <v>100</v>
      </c>
      <c r="T10" s="769" t="s">
        <v>17</v>
      </c>
      <c r="U10" s="770">
        <f t="shared" si="1"/>
        <v>100</v>
      </c>
      <c r="V10" s="769" t="s">
        <v>17</v>
      </c>
      <c r="W10" s="770">
        <f t="shared" si="2"/>
        <v>100</v>
      </c>
      <c r="X10" s="771"/>
      <c r="Y10" s="3077"/>
      <c r="Z10" s="55" t="str">
        <f t="shared" si="7"/>
        <v>土地使用年限（年）</v>
      </c>
      <c r="AA10" s="772">
        <f t="shared" si="3"/>
        <v>1</v>
      </c>
      <c r="AB10" s="772">
        <f t="shared" si="4"/>
        <v>1</v>
      </c>
      <c r="AC10" s="772">
        <f t="shared" si="5"/>
        <v>1</v>
      </c>
    </row>
    <row r="11" spans="1:29" ht="15">
      <c r="A11" s="427"/>
      <c r="B11" s="2598">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79"/>
      <c r="Q11" s="1794">
        <f t="shared" si="6"/>
        <v>111</v>
      </c>
      <c r="R11" s="769" t="s">
        <v>17</v>
      </c>
      <c r="S11" s="770">
        <f t="shared" si="0"/>
        <v>100</v>
      </c>
      <c r="T11" s="769" t="s">
        <v>17</v>
      </c>
      <c r="U11" s="770">
        <f t="shared" si="1"/>
        <v>100</v>
      </c>
      <c r="V11" s="769" t="s">
        <v>17</v>
      </c>
      <c r="W11" s="770">
        <f t="shared" si="2"/>
        <v>100</v>
      </c>
      <c r="X11" s="771"/>
      <c r="Y11" s="3077"/>
      <c r="Z11" s="55">
        <f t="shared" si="7"/>
        <v>111</v>
      </c>
      <c r="AA11" s="772">
        <f t="shared" si="3"/>
        <v>1</v>
      </c>
      <c r="AB11" s="772">
        <f t="shared" si="4"/>
        <v>1</v>
      </c>
      <c r="AC11" s="772">
        <f t="shared" si="5"/>
        <v>1</v>
      </c>
    </row>
    <row r="12" spans="1:29" s="117" customFormat="1" ht="15">
      <c r="A12" s="430"/>
      <c r="B12" s="2598">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79"/>
      <c r="Q12" s="1794">
        <f t="shared" si="6"/>
        <v>111</v>
      </c>
      <c r="R12" s="769" t="s">
        <v>17</v>
      </c>
      <c r="S12" s="770">
        <f t="shared" si="0"/>
        <v>100</v>
      </c>
      <c r="T12" s="769" t="s">
        <v>17</v>
      </c>
      <c r="U12" s="770">
        <f t="shared" si="1"/>
        <v>100</v>
      </c>
      <c r="V12" s="769" t="s">
        <v>17</v>
      </c>
      <c r="W12" s="770">
        <f t="shared" si="2"/>
        <v>100</v>
      </c>
      <c r="X12" s="771"/>
      <c r="Y12" s="3077"/>
      <c r="Z12" s="55">
        <f t="shared" si="7"/>
        <v>111</v>
      </c>
      <c r="AA12" s="772">
        <f>D12/F12</f>
        <v>1</v>
      </c>
      <c r="AB12" s="772">
        <f>D12/H12</f>
        <v>1</v>
      </c>
      <c r="AC12" s="772">
        <f>D12/J12</f>
        <v>1</v>
      </c>
    </row>
    <row r="13" spans="1:29" ht="15.75" thickBot="1">
      <c r="A13" s="427"/>
      <c r="B13" s="2598">
        <v>111</v>
      </c>
      <c r="C13" s="433"/>
      <c r="D13" s="434">
        <v>100</v>
      </c>
      <c r="E13" s="468"/>
      <c r="F13" s="424">
        <f>SUMIF(59:59,E13,60:60)-SUMIF(59:59,C13,60:60)+100</f>
        <v>100</v>
      </c>
      <c r="G13" s="2695"/>
      <c r="H13" s="437">
        <f>SUMIF(59:59,G13,60:60)-SUMIF(59:59,C13,60:60)+100</f>
        <v>100</v>
      </c>
      <c r="I13" s="468"/>
      <c r="J13" s="434">
        <f>SUMIF(59:59,I13,60:60)-SUMIF(59:59,C13,60:60)+100</f>
        <v>100</v>
      </c>
      <c r="K13" s="612"/>
      <c r="L13" s="1139"/>
      <c r="M13" s="1130"/>
      <c r="N13" s="1130"/>
      <c r="O13" s="1138"/>
      <c r="P13" s="3279"/>
      <c r="Q13" s="1794">
        <f t="shared" si="6"/>
        <v>111</v>
      </c>
      <c r="R13" s="769" t="s">
        <v>17</v>
      </c>
      <c r="S13" s="770">
        <f t="shared" si="0"/>
        <v>100</v>
      </c>
      <c r="T13" s="769" t="s">
        <v>17</v>
      </c>
      <c r="U13" s="770">
        <f t="shared" si="1"/>
        <v>100</v>
      </c>
      <c r="V13" s="769" t="s">
        <v>17</v>
      </c>
      <c r="W13" s="770">
        <f t="shared" si="2"/>
        <v>100</v>
      </c>
      <c r="X13" s="771"/>
      <c r="Y13" s="3077"/>
      <c r="Z13" s="55">
        <f t="shared" si="7"/>
        <v>111</v>
      </c>
      <c r="AA13" s="772">
        <f t="shared" si="3"/>
        <v>1</v>
      </c>
      <c r="AB13" s="772">
        <f t="shared" si="4"/>
        <v>1</v>
      </c>
      <c r="AC13" s="772">
        <f t="shared" si="5"/>
        <v>1</v>
      </c>
    </row>
    <row r="14" spans="1:29" ht="85.5">
      <c r="A14" s="439" t="s">
        <v>2553</v>
      </c>
      <c r="B14" s="69" t="s">
        <v>2703</v>
      </c>
      <c r="C14" s="2691"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81" t="s">
        <v>2554</v>
      </c>
      <c r="Q14" s="1809" t="str">
        <f t="shared" si="6"/>
        <v>交通便捷度</v>
      </c>
      <c r="R14" s="773" t="s">
        <v>17</v>
      </c>
      <c r="S14" s="774">
        <f t="shared" si="0"/>
        <v>100</v>
      </c>
      <c r="T14" s="773" t="s">
        <v>17</v>
      </c>
      <c r="U14" s="774">
        <f t="shared" si="1"/>
        <v>100</v>
      </c>
      <c r="V14" s="773" t="s">
        <v>17</v>
      </c>
      <c r="W14" s="774">
        <f t="shared" si="2"/>
        <v>100</v>
      </c>
      <c r="X14" s="1812"/>
      <c r="Y14" s="3281" t="s">
        <v>2554</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282"/>
      <c r="Q15" s="1809"/>
      <c r="R15" s="773"/>
      <c r="S15" s="774"/>
      <c r="T15" s="773"/>
      <c r="U15" s="774"/>
      <c r="V15" s="773"/>
      <c r="W15" s="774"/>
      <c r="X15" s="1812"/>
      <c r="Y15" s="3282"/>
      <c r="Z15" s="1813"/>
      <c r="AA15" s="1810">
        <v>1</v>
      </c>
      <c r="AB15" s="1810">
        <v>1</v>
      </c>
      <c r="AC15" s="1810">
        <v>1</v>
      </c>
    </row>
    <row r="16" spans="1:29" ht="42.75">
      <c r="A16" s="427"/>
      <c r="B16" s="450" t="s">
        <v>2682</v>
      </c>
      <c r="C16" s="2605"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82"/>
      <c r="Q16" s="1809" t="str">
        <f>B16</f>
        <v>公共配套设施</v>
      </c>
      <c r="R16" s="773" t="s">
        <v>17</v>
      </c>
      <c r="S16" s="774">
        <f>F16</f>
        <v>100</v>
      </c>
      <c r="T16" s="773" t="s">
        <v>17</v>
      </c>
      <c r="U16" s="774">
        <f>H16</f>
        <v>100</v>
      </c>
      <c r="V16" s="773" t="s">
        <v>17</v>
      </c>
      <c r="W16" s="774">
        <f>J16</f>
        <v>100</v>
      </c>
      <c r="X16" s="1812"/>
      <c r="Y16" s="3282"/>
      <c r="Z16" s="1813" t="str">
        <f>Q16</f>
        <v>公共配套设施</v>
      </c>
      <c r="AA16" s="1810">
        <f t="shared" si="3"/>
        <v>1</v>
      </c>
      <c r="AB16" s="1810">
        <f t="shared" si="4"/>
        <v>1</v>
      </c>
      <c r="AC16" s="1810">
        <f t="shared" si="5"/>
        <v>1</v>
      </c>
    </row>
    <row r="17" spans="1:29" ht="15">
      <c r="A17" s="427"/>
      <c r="B17" s="455"/>
      <c r="C17" s="2606"/>
      <c r="D17" s="447"/>
      <c r="E17" s="446"/>
      <c r="F17" s="448"/>
      <c r="G17" s="446"/>
      <c r="H17" s="447"/>
      <c r="I17" s="446"/>
      <c r="J17" s="447"/>
      <c r="K17" s="614"/>
      <c r="L17" s="1139"/>
      <c r="M17" s="1130"/>
      <c r="N17" s="1130"/>
      <c r="O17" s="1138"/>
      <c r="P17" s="3282"/>
      <c r="Q17" s="1809"/>
      <c r="R17" s="773"/>
      <c r="S17" s="774"/>
      <c r="T17" s="773"/>
      <c r="U17" s="774"/>
      <c r="V17" s="773"/>
      <c r="W17" s="774"/>
      <c r="X17" s="1812"/>
      <c r="Y17" s="3282"/>
      <c r="Z17" s="1813"/>
      <c r="AA17" s="1810">
        <v>1</v>
      </c>
      <c r="AB17" s="1810">
        <v>1</v>
      </c>
      <c r="AC17" s="1810">
        <v>1</v>
      </c>
    </row>
    <row r="18" spans="1:29" ht="28.5">
      <c r="A18" s="427"/>
      <c r="B18" s="1383" t="s">
        <v>2683</v>
      </c>
      <c r="C18" s="2605"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82"/>
      <c r="Q18" s="1809" t="str">
        <f>B18</f>
        <v>基础设施水平</v>
      </c>
      <c r="R18" s="773" t="s">
        <v>17</v>
      </c>
      <c r="S18" s="774">
        <f>F18</f>
        <v>100</v>
      </c>
      <c r="T18" s="773" t="s">
        <v>17</v>
      </c>
      <c r="U18" s="774">
        <f>H18</f>
        <v>100</v>
      </c>
      <c r="V18" s="773" t="s">
        <v>17</v>
      </c>
      <c r="W18" s="774">
        <f>J18</f>
        <v>100</v>
      </c>
      <c r="X18" s="1812"/>
      <c r="Y18" s="3282"/>
      <c r="Z18" s="1813" t="str">
        <f>Q18</f>
        <v>基础设施水平</v>
      </c>
      <c r="AA18" s="1810">
        <f t="shared" ref="AA18" si="8">D18/F18</f>
        <v>1</v>
      </c>
      <c r="AB18" s="1810">
        <f t="shared" ref="AB18" si="9">D18/H18</f>
        <v>1</v>
      </c>
      <c r="AC18" s="1810">
        <f t="shared" ref="AC18" si="10">D18/J18</f>
        <v>1</v>
      </c>
    </row>
    <row r="19" spans="1:29" ht="15">
      <c r="A19" s="427"/>
      <c r="B19" s="1383"/>
      <c r="C19" s="2606"/>
      <c r="D19" s="449"/>
      <c r="E19" s="2606"/>
      <c r="F19" s="452"/>
      <c r="G19" s="2606"/>
      <c r="H19" s="447"/>
      <c r="I19" s="446"/>
      <c r="J19" s="447"/>
      <c r="K19" s="1382"/>
      <c r="L19" s="1139"/>
      <c r="M19" s="1130"/>
      <c r="N19" s="1130"/>
      <c r="O19" s="1138"/>
      <c r="P19" s="3282"/>
      <c r="Q19" s="1809"/>
      <c r="R19" s="773"/>
      <c r="S19" s="774"/>
      <c r="T19" s="773"/>
      <c r="U19" s="774"/>
      <c r="V19" s="773"/>
      <c r="W19" s="774"/>
      <c r="X19" s="1812"/>
      <c r="Y19" s="3282"/>
      <c r="Z19" s="1813"/>
      <c r="AA19" s="1810">
        <v>1</v>
      </c>
      <c r="AB19" s="1810">
        <v>1</v>
      </c>
      <c r="AC19" s="1810">
        <v>1</v>
      </c>
    </row>
    <row r="20" spans="1:29" ht="57">
      <c r="A20" s="427"/>
      <c r="B20" s="450" t="s">
        <v>2704</v>
      </c>
      <c r="C20" s="2605"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82"/>
      <c r="Q20" s="1809" t="str">
        <f>B20</f>
        <v>自然及人文环境</v>
      </c>
      <c r="R20" s="773" t="s">
        <v>17</v>
      </c>
      <c r="S20" s="774">
        <f>F20</f>
        <v>100</v>
      </c>
      <c r="T20" s="773" t="s">
        <v>17</v>
      </c>
      <c r="U20" s="774">
        <f>H20</f>
        <v>100</v>
      </c>
      <c r="V20" s="773" t="s">
        <v>17</v>
      </c>
      <c r="W20" s="774">
        <f>J20</f>
        <v>100</v>
      </c>
      <c r="X20" s="1812"/>
      <c r="Y20" s="3282"/>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282"/>
      <c r="Q21" s="1809"/>
      <c r="R21" s="773"/>
      <c r="S21" s="774"/>
      <c r="T21" s="773"/>
      <c r="U21" s="774"/>
      <c r="V21" s="773"/>
      <c r="W21" s="774"/>
      <c r="X21" s="1812"/>
      <c r="Y21" s="3282"/>
      <c r="Z21" s="1813"/>
      <c r="AA21" s="1810">
        <v>1</v>
      </c>
      <c r="AB21" s="1810">
        <v>1</v>
      </c>
      <c r="AC21" s="1810">
        <v>1</v>
      </c>
    </row>
    <row r="22" spans="1:29" ht="15">
      <c r="A22" s="427"/>
      <c r="B22" s="450" t="s">
        <v>2705</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82"/>
      <c r="Q22" s="1809" t="str">
        <f>B22</f>
        <v>楼层</v>
      </c>
      <c r="R22" s="773" t="s">
        <v>17</v>
      </c>
      <c r="S22" s="774">
        <f>F22</f>
        <v>100</v>
      </c>
      <c r="T22" s="773" t="s">
        <v>17</v>
      </c>
      <c r="U22" s="774">
        <f>H22</f>
        <v>100</v>
      </c>
      <c r="V22" s="773" t="s">
        <v>17</v>
      </c>
      <c r="W22" s="774">
        <f>J22</f>
        <v>100</v>
      </c>
      <c r="X22" s="1812"/>
      <c r="Y22" s="3282"/>
      <c r="Z22" s="1813" t="str">
        <f>Q22</f>
        <v>楼层</v>
      </c>
      <c r="AA22" s="1810">
        <f t="shared" si="3"/>
        <v>1</v>
      </c>
      <c r="AB22" s="1810">
        <f t="shared" si="4"/>
        <v>1</v>
      </c>
      <c r="AC22" s="1810">
        <f t="shared" si="5"/>
        <v>1</v>
      </c>
    </row>
    <row r="23" spans="1:29" ht="15">
      <c r="A23" s="403"/>
      <c r="B23" s="2598">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82"/>
      <c r="Q23" s="1809">
        <f>B23</f>
        <v>111</v>
      </c>
      <c r="R23" s="773" t="s">
        <v>17</v>
      </c>
      <c r="S23" s="774">
        <f>F23</f>
        <v>100</v>
      </c>
      <c r="T23" s="773" t="s">
        <v>17</v>
      </c>
      <c r="U23" s="774">
        <f>H23</f>
        <v>100</v>
      </c>
      <c r="V23" s="773" t="s">
        <v>17</v>
      </c>
      <c r="W23" s="774">
        <f>J23</f>
        <v>100</v>
      </c>
      <c r="X23" s="1812"/>
      <c r="Y23" s="3282"/>
      <c r="Z23" s="1813">
        <f>Q23</f>
        <v>111</v>
      </c>
      <c r="AA23" s="1810">
        <f t="shared" si="3"/>
        <v>1</v>
      </c>
      <c r="AB23" s="1810">
        <f t="shared" si="4"/>
        <v>1</v>
      </c>
      <c r="AC23" s="1810">
        <f t="shared" si="5"/>
        <v>1</v>
      </c>
    </row>
    <row r="24" spans="1:29" ht="15">
      <c r="A24" s="427"/>
      <c r="B24" s="2598">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82"/>
      <c r="Q24" s="1809">
        <f t="shared" ref="Q24:Q34" si="11">B24</f>
        <v>111</v>
      </c>
      <c r="R24" s="773" t="s">
        <v>17</v>
      </c>
      <c r="S24" s="774">
        <f>F24</f>
        <v>100</v>
      </c>
      <c r="T24" s="773" t="s">
        <v>17</v>
      </c>
      <c r="U24" s="774">
        <f>H24</f>
        <v>100</v>
      </c>
      <c r="V24" s="773" t="s">
        <v>17</v>
      </c>
      <c r="W24" s="774">
        <f>J24</f>
        <v>100</v>
      </c>
      <c r="X24" s="1812"/>
      <c r="Y24" s="3282"/>
      <c r="Z24" s="1813">
        <f>Q24</f>
        <v>111</v>
      </c>
      <c r="AA24" s="1810">
        <f t="shared" si="3"/>
        <v>1</v>
      </c>
      <c r="AB24" s="1810">
        <f t="shared" si="4"/>
        <v>1</v>
      </c>
      <c r="AC24" s="1810">
        <f t="shared" si="5"/>
        <v>1</v>
      </c>
    </row>
    <row r="25" spans="1:29" s="117" customFormat="1" ht="15.75" thickBot="1">
      <c r="A25" s="430"/>
      <c r="B25" s="2598">
        <v>111</v>
      </c>
      <c r="C25" s="2696"/>
      <c r="D25" s="664">
        <v>100</v>
      </c>
      <c r="E25" s="2696"/>
      <c r="F25" s="665">
        <f>SUMIF(75:75,E25,76:76)-SUMIF(75:75,C25,76:76)+100</f>
        <v>100</v>
      </c>
      <c r="G25" s="2696"/>
      <c r="H25" s="664">
        <f>SUMIF(75:75,G25,76:76)-SUMIF(75:75,C25,76:76)+100</f>
        <v>100</v>
      </c>
      <c r="I25" s="2696"/>
      <c r="J25" s="664">
        <f>SUMIF(75:75,I25,76:76)-SUMIF(75:75,C25,76:76)+100</f>
        <v>100</v>
      </c>
      <c r="K25" s="612"/>
      <c r="L25" s="1131"/>
      <c r="M25" s="1132"/>
      <c r="N25" s="1132"/>
      <c r="O25" s="1133"/>
      <c r="P25" s="3282"/>
      <c r="Q25" s="1794">
        <f t="shared" si="11"/>
        <v>111</v>
      </c>
      <c r="R25" s="769" t="s">
        <v>17</v>
      </c>
      <c r="S25" s="770">
        <f>F25</f>
        <v>100</v>
      </c>
      <c r="T25" s="769" t="s">
        <v>17</v>
      </c>
      <c r="U25" s="770">
        <f>H25</f>
        <v>100</v>
      </c>
      <c r="V25" s="769" t="s">
        <v>17</v>
      </c>
      <c r="W25" s="770">
        <f>J25</f>
        <v>100</v>
      </c>
      <c r="X25" s="771"/>
      <c r="Y25" s="3282"/>
      <c r="Z25" s="55">
        <f>Q25</f>
        <v>111</v>
      </c>
      <c r="AA25" s="1810">
        <f>D25/F25</f>
        <v>1</v>
      </c>
      <c r="AB25" s="1810">
        <f>D25/H25</f>
        <v>1</v>
      </c>
      <c r="AC25" s="1810">
        <f>D25/J25</f>
        <v>1</v>
      </c>
    </row>
    <row r="26" spans="1:29" ht="28.5">
      <c r="A26" s="465" t="s">
        <v>2557</v>
      </c>
      <c r="B26" s="71" t="s">
        <v>2708</v>
      </c>
      <c r="C26" s="2677"/>
      <c r="D26" s="466">
        <v>100</v>
      </c>
      <c r="E26" s="2677"/>
      <c r="F26" s="666">
        <f>SUMIF(77:77,E26,78:78)-SUMIF(77:77,C26,78:78)+100</f>
        <v>100</v>
      </c>
      <c r="G26" s="2677"/>
      <c r="H26" s="466">
        <f>SUMIF(77:77,G26,78:78)-SUMIF(77:77,C26,78:78)+100</f>
        <v>100</v>
      </c>
      <c r="I26" s="2677"/>
      <c r="J26" s="466">
        <f>SUMIF(77:77,I26,78:78)-SUMIF(77:77,C26,78:78)+100</f>
        <v>100</v>
      </c>
      <c r="K26" s="611"/>
      <c r="L26" s="1139"/>
      <c r="M26" s="1130"/>
      <c r="N26" s="1130"/>
      <c r="O26" s="1138"/>
      <c r="P26" s="3337" t="s">
        <v>2559</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286" t="s">
        <v>2559</v>
      </c>
      <c r="Z26" s="1813" t="str">
        <f t="shared" ref="Z26:Z34" si="15">Q26</f>
        <v>公共部分装修</v>
      </c>
      <c r="AA26" s="1810">
        <f t="shared" si="3"/>
        <v>1</v>
      </c>
      <c r="AB26" s="1810">
        <f t="shared" si="4"/>
        <v>1</v>
      </c>
      <c r="AC26" s="1810">
        <f t="shared" si="5"/>
        <v>1</v>
      </c>
    </row>
    <row r="27" spans="1:29" s="470" customFormat="1" ht="15">
      <c r="A27" s="467"/>
      <c r="B27" s="421" t="s">
        <v>2709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86"/>
      <c r="Q27" s="775" t="str">
        <f t="shared" si="11"/>
        <v>成新率</v>
      </c>
      <c r="R27" s="776" t="s">
        <v>17</v>
      </c>
      <c r="S27" s="777" t="e">
        <f t="shared" si="12"/>
        <v>#N/A</v>
      </c>
      <c r="T27" s="776" t="s">
        <v>17</v>
      </c>
      <c r="U27" s="777" t="e">
        <f t="shared" si="13"/>
        <v>#N/A</v>
      </c>
      <c r="V27" s="776" t="s">
        <v>17</v>
      </c>
      <c r="W27" s="777" t="e">
        <f t="shared" si="14"/>
        <v>#N/A</v>
      </c>
      <c r="X27" s="778"/>
      <c r="Y27" s="3286"/>
      <c r="Z27" s="779" t="str">
        <f t="shared" si="15"/>
        <v>成新率</v>
      </c>
      <c r="AA27" s="1810" t="e">
        <f t="shared" si="3"/>
        <v>#N/A</v>
      </c>
      <c r="AB27" s="1810" t="e">
        <f t="shared" si="4"/>
        <v>#N/A</v>
      </c>
      <c r="AC27" s="1810" t="e">
        <f t="shared" si="5"/>
        <v>#N/A</v>
      </c>
    </row>
    <row r="28" spans="1:29" ht="15">
      <c r="A28" s="471"/>
      <c r="B28" s="421" t="s">
        <v>2710</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86"/>
      <c r="Q28" s="1809" t="str">
        <f t="shared" si="11"/>
        <v>物业等级</v>
      </c>
      <c r="R28" s="773" t="s">
        <v>17</v>
      </c>
      <c r="S28" s="774">
        <f t="shared" si="12"/>
        <v>100</v>
      </c>
      <c r="T28" s="773" t="s">
        <v>17</v>
      </c>
      <c r="U28" s="774">
        <f t="shared" si="13"/>
        <v>100</v>
      </c>
      <c r="V28" s="773" t="s">
        <v>17</v>
      </c>
      <c r="W28" s="774">
        <f t="shared" si="14"/>
        <v>100</v>
      </c>
      <c r="X28" s="1812"/>
      <c r="Y28" s="3286"/>
      <c r="Z28" s="1813" t="str">
        <f t="shared" si="15"/>
        <v>物业等级</v>
      </c>
      <c r="AA28" s="1810">
        <f t="shared" si="3"/>
        <v>1</v>
      </c>
      <c r="AB28" s="1810">
        <f t="shared" si="4"/>
        <v>1</v>
      </c>
      <c r="AC28" s="1810">
        <f t="shared" si="5"/>
        <v>1</v>
      </c>
    </row>
    <row r="29" spans="1:29" ht="15">
      <c r="A29" s="471"/>
      <c r="B29" s="421" t="s">
        <v>2731</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86"/>
      <c r="Q29" s="1809" t="str">
        <f t="shared" si="11"/>
        <v>有无电梯</v>
      </c>
      <c r="R29" s="773" t="s">
        <v>17</v>
      </c>
      <c r="S29" s="774">
        <f t="shared" si="12"/>
        <v>100</v>
      </c>
      <c r="T29" s="773" t="s">
        <v>17</v>
      </c>
      <c r="U29" s="774">
        <f t="shared" si="13"/>
        <v>100</v>
      </c>
      <c r="V29" s="773" t="s">
        <v>17</v>
      </c>
      <c r="W29" s="774">
        <f t="shared" si="14"/>
        <v>100</v>
      </c>
      <c r="X29" s="1812"/>
      <c r="Y29" s="3286"/>
      <c r="Z29" s="1813" t="str">
        <f t="shared" si="15"/>
        <v>有无电梯</v>
      </c>
      <c r="AA29" s="1810">
        <f t="shared" si="3"/>
        <v>1</v>
      </c>
      <c r="AB29" s="1810">
        <f t="shared" si="4"/>
        <v>1</v>
      </c>
      <c r="AC29" s="1810">
        <f t="shared" si="5"/>
        <v>1</v>
      </c>
    </row>
    <row r="30" spans="1:29" ht="15">
      <c r="A30" s="471"/>
      <c r="B30" s="421" t="s">
        <v>2732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86"/>
      <c r="Q30" s="1809" t="str">
        <f t="shared" si="11"/>
        <v>建筑面积</v>
      </c>
      <c r="R30" s="773" t="s">
        <v>17</v>
      </c>
      <c r="S30" s="774" t="e">
        <f t="shared" si="12"/>
        <v>#N/A</v>
      </c>
      <c r="T30" s="773" t="s">
        <v>17</v>
      </c>
      <c r="U30" s="774" t="e">
        <f t="shared" si="13"/>
        <v>#N/A</v>
      </c>
      <c r="V30" s="773" t="s">
        <v>17</v>
      </c>
      <c r="W30" s="774" t="e">
        <f t="shared" si="14"/>
        <v>#N/A</v>
      </c>
      <c r="X30" s="1812"/>
      <c r="Y30" s="3286"/>
      <c r="Z30" s="1813" t="str">
        <f t="shared" si="15"/>
        <v>建筑面积</v>
      </c>
      <c r="AA30" s="1810" t="e">
        <f t="shared" si="3"/>
        <v>#N/A</v>
      </c>
      <c r="AB30" s="1810" t="e">
        <f t="shared" si="4"/>
        <v>#N/A</v>
      </c>
      <c r="AC30" s="1810" t="e">
        <f t="shared" si="5"/>
        <v>#N/A</v>
      </c>
    </row>
    <row r="31" spans="1:29" s="117" customFormat="1" ht="15">
      <c r="A31" s="472"/>
      <c r="B31" s="421" t="s">
        <v>2733</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86"/>
      <c r="Q31" s="1794" t="str">
        <f t="shared" si="11"/>
        <v>是否封闭</v>
      </c>
      <c r="R31" s="769" t="s">
        <v>17</v>
      </c>
      <c r="S31" s="770">
        <f t="shared" si="12"/>
        <v>100</v>
      </c>
      <c r="T31" s="769" t="s">
        <v>17</v>
      </c>
      <c r="U31" s="770">
        <f t="shared" si="13"/>
        <v>100</v>
      </c>
      <c r="V31" s="769" t="s">
        <v>17</v>
      </c>
      <c r="W31" s="770">
        <f t="shared" si="14"/>
        <v>100</v>
      </c>
      <c r="X31" s="771"/>
      <c r="Y31" s="3286"/>
      <c r="Z31" s="55" t="str">
        <f t="shared" si="15"/>
        <v>是否封闭</v>
      </c>
      <c r="AA31" s="772">
        <f t="shared" si="3"/>
        <v>1</v>
      </c>
      <c r="AB31" s="772">
        <f t="shared" si="4"/>
        <v>1</v>
      </c>
      <c r="AC31" s="772">
        <f t="shared" si="5"/>
        <v>1</v>
      </c>
    </row>
    <row r="32" spans="1:29" ht="15">
      <c r="A32" s="471"/>
      <c r="B32" s="2598">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86" t="s">
        <v>2559</v>
      </c>
      <c r="Q32" s="1809">
        <f t="shared" si="11"/>
        <v>111</v>
      </c>
      <c r="R32" s="773" t="s">
        <v>17</v>
      </c>
      <c r="S32" s="774">
        <f t="shared" si="12"/>
        <v>100</v>
      </c>
      <c r="T32" s="773" t="s">
        <v>17</v>
      </c>
      <c r="U32" s="774">
        <f t="shared" si="13"/>
        <v>100</v>
      </c>
      <c r="V32" s="773" t="s">
        <v>17</v>
      </c>
      <c r="W32" s="774">
        <f t="shared" si="14"/>
        <v>100</v>
      </c>
      <c r="X32" s="1812"/>
      <c r="Y32" s="3286" t="s">
        <v>2559</v>
      </c>
      <c r="Z32" s="1813">
        <f t="shared" si="15"/>
        <v>111</v>
      </c>
      <c r="AA32" s="1810">
        <f t="shared" si="3"/>
        <v>1</v>
      </c>
      <c r="AB32" s="1810">
        <f t="shared" si="4"/>
        <v>1</v>
      </c>
      <c r="AC32" s="1810">
        <f t="shared" si="5"/>
        <v>1</v>
      </c>
    </row>
    <row r="33" spans="1:29" ht="15">
      <c r="A33" s="471"/>
      <c r="B33" s="2598">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86"/>
      <c r="Q33" s="1809">
        <f t="shared" si="11"/>
        <v>111</v>
      </c>
      <c r="R33" s="773" t="s">
        <v>17</v>
      </c>
      <c r="S33" s="774">
        <f t="shared" si="12"/>
        <v>100</v>
      </c>
      <c r="T33" s="773" t="s">
        <v>17</v>
      </c>
      <c r="U33" s="774">
        <f t="shared" si="13"/>
        <v>100</v>
      </c>
      <c r="V33" s="773" t="s">
        <v>17</v>
      </c>
      <c r="W33" s="774">
        <f t="shared" si="14"/>
        <v>100</v>
      </c>
      <c r="X33" s="1812"/>
      <c r="Y33" s="3286"/>
      <c r="Z33" s="1813">
        <f t="shared" si="15"/>
        <v>111</v>
      </c>
      <c r="AA33" s="1810">
        <f t="shared" si="3"/>
        <v>1</v>
      </c>
      <c r="AB33" s="1810">
        <f t="shared" si="4"/>
        <v>1</v>
      </c>
      <c r="AC33" s="1810">
        <f t="shared" si="5"/>
        <v>1</v>
      </c>
    </row>
    <row r="34" spans="1:29" ht="15.75" thickBot="1">
      <c r="A34" s="477"/>
      <c r="B34" s="2600">
        <v>111</v>
      </c>
      <c r="C34" s="436"/>
      <c r="D34" s="437">
        <v>100</v>
      </c>
      <c r="E34" s="2695"/>
      <c r="F34" s="438">
        <f>SUMIF(95:95,E34,96:96)-SUMIF(95:95,C34,96:96)+100</f>
        <v>100</v>
      </c>
      <c r="G34" s="2695"/>
      <c r="H34" s="437">
        <f>SUMIF(95:95,G34,96:96)-SUMIF(95:95,C34,96:96)+100</f>
        <v>100</v>
      </c>
      <c r="I34" s="2695"/>
      <c r="J34" s="437">
        <f>SUMIF(95:95,I34,96:96)-SUMIF(95:95,C34,96:96)+100</f>
        <v>100</v>
      </c>
      <c r="K34" s="612"/>
      <c r="L34" s="1139"/>
      <c r="M34" s="1130"/>
      <c r="N34" s="1130"/>
      <c r="O34" s="1138"/>
      <c r="P34" s="3286"/>
      <c r="Q34" s="1809">
        <f t="shared" si="11"/>
        <v>111</v>
      </c>
      <c r="R34" s="773" t="s">
        <v>17</v>
      </c>
      <c r="S34" s="774">
        <f t="shared" si="12"/>
        <v>100</v>
      </c>
      <c r="T34" s="773" t="s">
        <v>17</v>
      </c>
      <c r="U34" s="774">
        <f t="shared" si="13"/>
        <v>100</v>
      </c>
      <c r="V34" s="773" t="s">
        <v>17</v>
      </c>
      <c r="W34" s="774">
        <f t="shared" si="14"/>
        <v>100</v>
      </c>
      <c r="X34" s="1812"/>
      <c r="Y34" s="3286"/>
      <c r="Z34" s="1813">
        <f t="shared" si="15"/>
        <v>111</v>
      </c>
      <c r="AA34" s="1810">
        <f t="shared" si="3"/>
        <v>1</v>
      </c>
      <c r="AB34" s="1810">
        <f t="shared" si="4"/>
        <v>1</v>
      </c>
      <c r="AC34" s="1810">
        <f t="shared" si="5"/>
        <v>1</v>
      </c>
    </row>
    <row r="35" spans="1:29" ht="15">
      <c r="A35" s="478" t="s">
        <v>2571</v>
      </c>
      <c r="B35" s="479"/>
      <c r="C35" s="1406" t="s">
        <v>1</v>
      </c>
      <c r="D35" s="1407"/>
      <c r="E35" s="1408"/>
      <c r="F35" s="1409"/>
      <c r="G35" s="1410"/>
      <c r="H35" s="1411"/>
      <c r="I35" s="1408"/>
      <c r="J35" s="1411"/>
      <c r="K35" s="782"/>
      <c r="L35" s="1142"/>
      <c r="M35" s="1143"/>
      <c r="N35" s="1130"/>
      <c r="O35" s="1143"/>
      <c r="P35" s="3279" t="str">
        <f>A35</f>
        <v>成交单价（元/平方米）</v>
      </c>
      <c r="Q35" s="3279"/>
      <c r="R35" s="3280">
        <f>E35</f>
        <v>0</v>
      </c>
      <c r="S35" s="3280"/>
      <c r="T35" s="3280">
        <f>G35</f>
        <v>0</v>
      </c>
      <c r="U35" s="3280"/>
      <c r="V35" s="3280">
        <f>I35</f>
        <v>0</v>
      </c>
      <c r="W35" s="3280"/>
      <c r="X35" s="758"/>
      <c r="Y35" s="780"/>
      <c r="Z35" s="758"/>
      <c r="AA35" s="758"/>
      <c r="AB35" s="758"/>
      <c r="AC35" s="758"/>
    </row>
    <row r="36" spans="1:29" ht="15.75" thickBot="1">
      <c r="A36" s="485" t="s">
        <v>2663</v>
      </c>
      <c r="B36" s="486"/>
      <c r="C36" s="1412" t="e">
        <f>R37</f>
        <v>#DIV/0!</v>
      </c>
      <c r="D36" s="1413"/>
      <c r="E36" s="1414" t="e">
        <f>R36</f>
        <v>#DIV/0!</v>
      </c>
      <c r="F36" s="1414"/>
      <c r="G36" s="1412" t="e">
        <f>T36</f>
        <v>#DIV/0!</v>
      </c>
      <c r="H36" s="1413"/>
      <c r="I36" s="1414" t="e">
        <f>V36</f>
        <v>#DIV/0!</v>
      </c>
      <c r="J36" s="1413"/>
      <c r="K36" s="783"/>
      <c r="L36" s="1142"/>
      <c r="M36" s="1143"/>
      <c r="N36" s="1130"/>
      <c r="O36" s="1143"/>
      <c r="P36" s="3279" t="str">
        <f>A36</f>
        <v>比较价值（元/平方米）</v>
      </c>
      <c r="Q36" s="3279"/>
      <c r="R36" s="3280" t="e">
        <f>IF(F1="售价",ROUND(PRODUCT(R35,AA7:AA34),0),ROUND(PRODUCT(R35,AA7:AA34),1))</f>
        <v>#DIV/0!</v>
      </c>
      <c r="S36" s="3280"/>
      <c r="T36" s="3280" t="e">
        <f>IF(F1="售价",ROUND(PRODUCT(T35,AB7:AB34),0),ROUND(PRODUCT(T35,AB7:AB34),1))</f>
        <v>#DIV/0!</v>
      </c>
      <c r="U36" s="3280"/>
      <c r="V36" s="3280" t="e">
        <f>IF(F1="售价",ROUND(PRODUCT(V35,AC7:AC34),0),ROUND(PRODUCT(V35,AC7:AC34),1))</f>
        <v>#DIV/0!</v>
      </c>
      <c r="W36" s="3280"/>
      <c r="X36" s="758"/>
      <c r="Y36" s="758"/>
      <c r="Z36" s="758"/>
      <c r="AA36" s="758"/>
      <c r="AB36" s="758"/>
      <c r="AC36" s="758"/>
    </row>
    <row r="37" spans="1:29" ht="15.75" thickBot="1">
      <c r="A37" s="491" t="s">
        <v>2664</v>
      </c>
      <c r="B37" s="492"/>
      <c r="C37" s="1416" t="e">
        <f>R37</f>
        <v>#DIV/0!</v>
      </c>
      <c r="D37" s="1416"/>
      <c r="E37" s="1416"/>
      <c r="F37" s="1416"/>
      <c r="G37" s="1416"/>
      <c r="H37" s="1416"/>
      <c r="I37" s="1416"/>
      <c r="J37" s="1416"/>
      <c r="K37" s="784"/>
      <c r="L37" s="1142"/>
      <c r="M37" s="1143"/>
      <c r="N37" s="1143"/>
      <c r="O37" s="1143"/>
      <c r="P37" s="3276" t="str">
        <f>A37</f>
        <v>估价对象XX用房的比较价值（楼面单价，元/平方米）</v>
      </c>
      <c r="Q37" s="3277"/>
      <c r="R37" s="3278" t="e">
        <f>IF(F1="售价",ROUND(AVERAGE(R36:V36),0),ROUND(AVERAGE(R36:V36),1))</f>
        <v>#DIV/0!</v>
      </c>
      <c r="S37" s="3278"/>
      <c r="T37" s="3278"/>
      <c r="U37" s="3278"/>
      <c r="V37" s="3278"/>
      <c r="W37" s="3278"/>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2666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2667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2668</v>
      </c>
      <c r="B45" s="758"/>
      <c r="C45" s="763"/>
      <c r="D45" s="763"/>
      <c r="E45" s="763"/>
      <c r="F45" s="764"/>
      <c r="G45" s="764"/>
      <c r="H45" s="763"/>
      <c r="I45" s="763"/>
      <c r="J45" s="763"/>
      <c r="K45" s="765"/>
      <c r="L45" s="766"/>
      <c r="M45" s="763"/>
      <c r="N45" s="763"/>
      <c r="O45" s="763"/>
      <c r="P45" s="502"/>
      <c r="Q45" s="503"/>
    </row>
    <row r="46" spans="1:29" s="507" customFormat="1" ht="15">
      <c r="A46" s="504" t="s">
        <v>2542</v>
      </c>
      <c r="B46" s="505"/>
      <c r="C46" s="1573" t="str">
        <f>YEAR(C7)&amp;"-"&amp;MONTH(C7)</f>
        <v>2019-8</v>
      </c>
      <c r="D46" s="1574">
        <f>EDATE(C46,-1)</f>
        <v>43647</v>
      </c>
      <c r="E46" s="1574">
        <f t="shared" ref="E46:O46" si="16">EDATE(D46,-1)</f>
        <v>43617</v>
      </c>
      <c r="F46" s="1574">
        <f t="shared" si="16"/>
        <v>43586</v>
      </c>
      <c r="G46" s="1574">
        <f t="shared" si="16"/>
        <v>43556</v>
      </c>
      <c r="H46" s="1574">
        <f t="shared" si="16"/>
        <v>43525</v>
      </c>
      <c r="I46" s="1574">
        <f t="shared" si="16"/>
        <v>43497</v>
      </c>
      <c r="J46" s="1574">
        <f t="shared" si="16"/>
        <v>43466</v>
      </c>
      <c r="K46" s="1574">
        <f t="shared" si="16"/>
        <v>43435</v>
      </c>
      <c r="L46" s="1574">
        <f t="shared" si="16"/>
        <v>43405</v>
      </c>
      <c r="M46" s="1574">
        <f t="shared" si="16"/>
        <v>43374</v>
      </c>
      <c r="N46" s="1574">
        <f t="shared" si="16"/>
        <v>43344</v>
      </c>
      <c r="O46" s="1574">
        <f t="shared" si="16"/>
        <v>43313</v>
      </c>
      <c r="P46" s="506"/>
    </row>
    <row r="47" spans="1:29" s="117" customFormat="1" ht="15">
      <c r="A47" s="508"/>
      <c r="B47" s="509"/>
      <c r="C47" s="1572">
        <v>100</v>
      </c>
      <c r="D47" s="511"/>
      <c r="E47" s="511"/>
      <c r="F47" s="511"/>
      <c r="G47" s="511"/>
      <c r="H47" s="511"/>
      <c r="I47" s="511"/>
      <c r="J47" s="511"/>
      <c r="K47" s="511"/>
      <c r="L47" s="511"/>
      <c r="M47" s="512"/>
      <c r="N47" s="511"/>
      <c r="O47" s="513"/>
      <c r="P47" s="503"/>
    </row>
    <row r="48" spans="1:29" s="117" customFormat="1" ht="15.75" thickBot="1">
      <c r="A48" s="514" t="s">
        <v>2579</v>
      </c>
      <c r="B48" s="515"/>
      <c r="C48" s="516"/>
      <c r="D48" s="517"/>
      <c r="E48" s="517"/>
      <c r="F48" s="517"/>
      <c r="G48" s="517"/>
      <c r="H48" s="517"/>
      <c r="I48" s="517"/>
      <c r="J48" s="517"/>
      <c r="K48" s="517"/>
      <c r="L48" s="517"/>
      <c r="M48" s="518"/>
      <c r="N48" s="517"/>
      <c r="O48" s="519"/>
      <c r="P48" s="503"/>
      <c r="Q48" s="503"/>
    </row>
    <row r="49" spans="1:17" s="117" customFormat="1" ht="15">
      <c r="A49" s="520" t="s">
        <v>2544</v>
      </c>
      <c r="B49" s="509"/>
      <c r="C49" s="521" t="s">
        <v>2646</v>
      </c>
      <c r="D49" s="522"/>
      <c r="E49" s="522"/>
      <c r="F49" s="522"/>
      <c r="G49" s="522"/>
      <c r="H49" s="522"/>
      <c r="I49" s="522"/>
      <c r="J49" s="522"/>
      <c r="K49" s="522"/>
      <c r="L49" s="523"/>
      <c r="M49" s="524"/>
      <c r="N49" s="1150"/>
      <c r="O49" s="1150"/>
      <c r="P49" s="525"/>
      <c r="Q49" s="503"/>
    </row>
    <row r="50" spans="1:17" s="117"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2582</v>
      </c>
      <c r="B51" s="527" t="s">
        <v>2548</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2551</v>
      </c>
      <c r="C53" s="538" t="s">
        <v>2583</v>
      </c>
      <c r="D53" s="538" t="s">
        <v>2584</v>
      </c>
      <c r="E53" s="538" t="s">
        <v>2585</v>
      </c>
      <c r="F53" s="538" t="s">
        <v>2586</v>
      </c>
      <c r="G53" s="538" t="s">
        <v>2587</v>
      </c>
      <c r="H53" s="538" t="s">
        <v>2588</v>
      </c>
      <c r="I53" s="538" t="s">
        <v>2589</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9">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2553</v>
      </c>
      <c r="B61" s="527" t="s">
        <v>2596</v>
      </c>
      <c r="C61" s="572" t="s">
        <v>2591</v>
      </c>
      <c r="D61" s="572" t="s">
        <v>2592</v>
      </c>
      <c r="E61" s="572" t="s">
        <v>2593</v>
      </c>
      <c r="F61" s="572" t="s">
        <v>2594</v>
      </c>
      <c r="G61" s="572" t="s">
        <v>2595</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2734</v>
      </c>
      <c r="C63" s="577" t="s">
        <v>2591</v>
      </c>
      <c r="D63" s="577" t="s">
        <v>2592</v>
      </c>
      <c r="E63" s="577" t="s">
        <v>2593</v>
      </c>
      <c r="F63" s="577" t="s">
        <v>2594</v>
      </c>
      <c r="G63" s="577" t="s">
        <v>2595</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2683</v>
      </c>
      <c r="C65" s="659" t="s">
        <v>2669</v>
      </c>
      <c r="D65" s="659" t="s">
        <v>2670</v>
      </c>
      <c r="E65" s="659" t="s">
        <v>2671</v>
      </c>
      <c r="F65" s="659" t="s">
        <v>2672</v>
      </c>
      <c r="G65" s="659" t="s">
        <v>2673</v>
      </c>
      <c r="H65" s="538"/>
      <c r="I65" s="538"/>
      <c r="J65" s="538"/>
      <c r="K65" s="538"/>
      <c r="L65" s="538"/>
      <c r="M65" s="1381"/>
      <c r="N65" s="1152"/>
      <c r="O65" s="1152"/>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75" thickTop="1">
      <c r="A67" s="533"/>
      <c r="B67" s="537" t="s">
        <v>2603</v>
      </c>
      <c r="C67" s="577" t="s">
        <v>2591</v>
      </c>
      <c r="D67" s="577" t="s">
        <v>2592</v>
      </c>
      <c r="E67" s="577" t="s">
        <v>2593</v>
      </c>
      <c r="F67" s="577" t="s">
        <v>2594</v>
      </c>
      <c r="G67" s="577" t="s">
        <v>2595</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2723</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7" customFormat="1" ht="15.75" thickTop="1">
      <c r="A71" s="578"/>
      <c r="B71" s="537">
        <f>B23</f>
        <v>111</v>
      </c>
      <c r="C71" s="548"/>
      <c r="D71" s="548"/>
      <c r="E71" s="548"/>
      <c r="F71" s="548"/>
      <c r="G71" s="553"/>
      <c r="H71" s="553"/>
      <c r="I71" s="553"/>
      <c r="J71" s="553"/>
      <c r="K71" s="553"/>
      <c r="L71" s="579"/>
      <c r="M71" s="580"/>
      <c r="N71" s="1150"/>
      <c r="O71" s="1150"/>
      <c r="P71" s="45"/>
      <c r="Q71" s="503"/>
    </row>
    <row r="72" spans="1:17" s="117" customFormat="1" ht="15.75" thickBot="1">
      <c r="A72" s="578"/>
      <c r="B72" s="542"/>
      <c r="C72" s="559"/>
      <c r="D72" s="535"/>
      <c r="E72" s="535"/>
      <c r="F72" s="535"/>
      <c r="G72" s="535"/>
      <c r="H72" s="535"/>
      <c r="I72" s="535"/>
      <c r="J72" s="535"/>
      <c r="K72" s="535"/>
      <c r="L72" s="535"/>
      <c r="M72" s="536"/>
      <c r="N72" s="1152"/>
      <c r="O72" s="1152"/>
      <c r="P72" s="45"/>
      <c r="Q72" s="503"/>
    </row>
    <row r="73" spans="1:17" s="117" customFormat="1" ht="15.75" thickTop="1">
      <c r="A73" s="578"/>
      <c r="B73" s="537">
        <f>B24</f>
        <v>111</v>
      </c>
      <c r="C73" s="548"/>
      <c r="D73" s="548"/>
      <c r="E73" s="548"/>
      <c r="F73" s="548"/>
      <c r="G73" s="553"/>
      <c r="H73" s="553"/>
      <c r="I73" s="553"/>
      <c r="J73" s="553"/>
      <c r="K73" s="553"/>
      <c r="L73" s="553"/>
      <c r="M73" s="580"/>
      <c r="N73" s="1150"/>
      <c r="O73" s="1150"/>
      <c r="P73" s="45"/>
      <c r="Q73" s="503"/>
    </row>
    <row r="74" spans="1:17" s="117"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2557</v>
      </c>
      <c r="B77" s="527" t="s">
        <v>2610</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2726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2727</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2735</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2736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2737</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4"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W43"/>
  <sheetViews>
    <sheetView showGridLines="0" zoomScale="85" zoomScaleNormal="85" workbookViewId="0">
      <pane xSplit="9" ySplit="4" topLeftCell="O5" activePane="bottomRight" state="frozen"/>
      <selection pane="topRight" activeCell="J1" sqref="J1"/>
      <selection pane="bottomLeft" activeCell="A5" sqref="A5"/>
      <selection pane="bottomRight" activeCell="C30" sqref="C30"/>
    </sheetView>
  </sheetViews>
  <sheetFormatPr defaultRowHeight="12"/>
  <cols>
    <col min="1" max="1" width="2.625" style="2969" customWidth="1"/>
    <col min="2" max="4" width="12.625" style="2969" customWidth="1"/>
    <col min="5" max="8" width="10.625" style="2969" customWidth="1"/>
    <col min="9" max="9" width="12.625" style="2969" customWidth="1"/>
    <col min="10" max="10" width="10.625" style="3011" customWidth="1"/>
    <col min="11" max="11" width="10.625" style="3012" customWidth="1"/>
    <col min="12" max="12" width="26.625" style="3013" customWidth="1"/>
    <col min="13" max="13" width="20.625" style="2969" customWidth="1"/>
    <col min="14" max="14" width="12.625" style="2969" customWidth="1"/>
    <col min="15" max="15" width="9" style="2969"/>
    <col min="16" max="18" width="12.125" style="2970" customWidth="1"/>
    <col min="19" max="19" width="9" style="2969"/>
    <col min="20" max="20" width="10.75" style="2969" bestFit="1" customWidth="1"/>
    <col min="21" max="21" width="13.875" style="2969" bestFit="1" customWidth="1"/>
    <col min="22" max="22" width="11.625" style="2969" bestFit="1" customWidth="1"/>
    <col min="23" max="23" width="12.75" style="2969" bestFit="1" customWidth="1"/>
    <col min="24" max="16384" width="9" style="2969"/>
  </cols>
  <sheetData>
    <row r="1" spans="2:23" s="2961" customFormat="1" ht="30" customHeight="1">
      <c r="B1" s="3338" t="s">
        <v>3117</v>
      </c>
      <c r="C1" s="3338"/>
      <c r="D1" s="3338"/>
      <c r="E1" s="3338"/>
      <c r="F1" s="3338"/>
      <c r="G1" s="3338"/>
      <c r="H1" s="3338"/>
      <c r="I1" s="3338"/>
      <c r="J1" s="3338"/>
      <c r="K1" s="3338"/>
      <c r="L1" s="3338"/>
      <c r="M1" s="3338"/>
      <c r="N1" s="3338"/>
      <c r="P1" s="2962"/>
      <c r="Q1" s="2962"/>
      <c r="R1" s="2962"/>
    </row>
    <row r="2" spans="2:23" ht="20.100000000000001" customHeight="1" thickBot="1">
      <c r="B2" s="2963" t="s">
        <v>3118</v>
      </c>
      <c r="C2" s="2964"/>
      <c r="D2" s="2964"/>
      <c r="E2" s="2964"/>
      <c r="F2" s="2964"/>
      <c r="G2" s="2964"/>
      <c r="H2" s="2964"/>
      <c r="I2" s="2965">
        <v>43586</v>
      </c>
      <c r="J2" s="2966"/>
      <c r="K2" s="2967"/>
      <c r="L2" s="2968"/>
      <c r="M2" s="2964"/>
      <c r="N2" s="2964"/>
    </row>
    <row r="3" spans="2:23" ht="24.95" customHeight="1" thickTop="1">
      <c r="B3" s="3339" t="s">
        <v>3119</v>
      </c>
      <c r="C3" s="3341" t="s">
        <v>3120</v>
      </c>
      <c r="D3" s="3343" t="s">
        <v>3121</v>
      </c>
      <c r="E3" s="3343"/>
      <c r="F3" s="3343"/>
      <c r="G3" s="3343"/>
      <c r="H3" s="3343"/>
      <c r="I3" s="3343"/>
      <c r="J3" s="3344" t="s">
        <v>3122</v>
      </c>
      <c r="K3" s="3344" t="s">
        <v>3123</v>
      </c>
      <c r="L3" s="3346" t="s">
        <v>3124</v>
      </c>
      <c r="M3" s="3348" t="s">
        <v>3125</v>
      </c>
      <c r="N3" s="3350" t="s">
        <v>3126</v>
      </c>
      <c r="P3" s="3341" t="s">
        <v>3127</v>
      </c>
      <c r="Q3" s="3341" t="s">
        <v>3128</v>
      </c>
      <c r="R3" s="3341" t="s">
        <v>3129</v>
      </c>
      <c r="S3" s="3350" t="s">
        <v>3126</v>
      </c>
    </row>
    <row r="4" spans="2:23" ht="24.95" customHeight="1">
      <c r="B4" s="3340"/>
      <c r="C4" s="3342"/>
      <c r="D4" s="2971" t="s">
        <v>3130</v>
      </c>
      <c r="E4" s="2971" t="s">
        <v>3131</v>
      </c>
      <c r="F4" s="2971" t="s">
        <v>3132</v>
      </c>
      <c r="G4" s="2971" t="s">
        <v>3133</v>
      </c>
      <c r="H4" s="2971" t="s">
        <v>3134</v>
      </c>
      <c r="I4" s="2971" t="s">
        <v>3135</v>
      </c>
      <c r="J4" s="3345"/>
      <c r="K4" s="3345"/>
      <c r="L4" s="3347"/>
      <c r="M4" s="3349"/>
      <c r="N4" s="3351"/>
      <c r="P4" s="3342"/>
      <c r="Q4" s="3342"/>
      <c r="R4" s="3342"/>
      <c r="S4" s="3351"/>
    </row>
    <row r="5" spans="2:23" ht="24.95" customHeight="1">
      <c r="B5" s="2972" t="s">
        <v>3136</v>
      </c>
      <c r="C5" s="2973">
        <v>4525.71</v>
      </c>
      <c r="D5" s="2974">
        <v>3280.89</v>
      </c>
      <c r="E5" s="2974">
        <v>547.66</v>
      </c>
      <c r="F5" s="2973"/>
      <c r="G5" s="2974">
        <v>697.16</v>
      </c>
      <c r="H5" s="2973"/>
      <c r="I5" s="2973">
        <v>4525.71</v>
      </c>
      <c r="J5" s="2975">
        <v>1</v>
      </c>
      <c r="K5" s="3352">
        <v>0.95122848685626715</v>
      </c>
      <c r="L5" s="2976" t="s">
        <v>3137</v>
      </c>
      <c r="M5" s="2977" t="s">
        <v>3138</v>
      </c>
      <c r="N5" s="2978"/>
      <c r="O5" s="2969">
        <f>ROUND(C5/$C$30,4)</f>
        <v>4.9000000000000002E-2</v>
      </c>
      <c r="P5" s="2979">
        <v>1</v>
      </c>
      <c r="Q5" s="2979">
        <v>0.42</v>
      </c>
      <c r="R5" s="2979">
        <v>1.42</v>
      </c>
      <c r="S5" s="3023">
        <f>O5*R5</f>
        <v>6.9580000000000003E-2</v>
      </c>
      <c r="T5" s="2970">
        <f>P5*I5*365/10000</f>
        <v>165.18841499999999</v>
      </c>
      <c r="U5" s="2970">
        <f>Q5*I5*365/10000</f>
        <v>69.379134300000004</v>
      </c>
      <c r="V5" s="2970"/>
      <c r="W5" s="2970"/>
    </row>
    <row r="6" spans="2:23" ht="24.95" customHeight="1">
      <c r="B6" s="2972" t="s">
        <v>3139</v>
      </c>
      <c r="C6" s="2973">
        <v>4259.95</v>
      </c>
      <c r="D6" s="2973"/>
      <c r="E6" s="2973"/>
      <c r="F6" s="2973"/>
      <c r="G6" s="2973"/>
      <c r="H6" s="2973"/>
      <c r="I6" s="2973">
        <v>0</v>
      </c>
      <c r="J6" s="2975">
        <v>0</v>
      </c>
      <c r="K6" s="3352"/>
      <c r="L6" s="2976"/>
      <c r="M6" s="2977"/>
      <c r="N6" s="2978"/>
      <c r="O6" s="2969">
        <f t="shared" ref="O6:O28" si="0">ROUND(C6/$C$30,4)</f>
        <v>4.6100000000000002E-2</v>
      </c>
      <c r="P6" s="2979" t="s">
        <v>3140</v>
      </c>
      <c r="Q6" s="2979" t="s">
        <v>3140</v>
      </c>
      <c r="R6" s="2979" t="s">
        <v>3140</v>
      </c>
      <c r="S6" s="3023"/>
      <c r="T6" s="2970"/>
      <c r="U6" s="2970"/>
      <c r="V6" s="2970"/>
      <c r="W6" s="2970"/>
    </row>
    <row r="7" spans="2:23" ht="24.95" customHeight="1">
      <c r="B7" s="2972" t="s">
        <v>3141</v>
      </c>
      <c r="C7" s="2973">
        <v>4219.32</v>
      </c>
      <c r="D7" s="2973">
        <v>3569.76</v>
      </c>
      <c r="E7" s="2973"/>
      <c r="F7" s="2973"/>
      <c r="G7" s="2973">
        <v>649.55999999999995</v>
      </c>
      <c r="H7" s="2973"/>
      <c r="I7" s="2973">
        <v>4219.32</v>
      </c>
      <c r="J7" s="2975">
        <v>1</v>
      </c>
      <c r="K7" s="3352"/>
      <c r="L7" s="2976" t="s">
        <v>3142</v>
      </c>
      <c r="M7" s="2977" t="s">
        <v>3143</v>
      </c>
      <c r="N7" s="2978"/>
      <c r="O7" s="2969">
        <f t="shared" si="0"/>
        <v>4.5699999999999998E-2</v>
      </c>
      <c r="P7" s="2979">
        <v>1.03</v>
      </c>
      <c r="Q7" s="2979">
        <v>0.44</v>
      </c>
      <c r="R7" s="2979">
        <v>1.47</v>
      </c>
      <c r="S7" s="3023">
        <f t="shared" ref="S7:S28" si="1">O7*R7</f>
        <v>6.7178999999999989E-2</v>
      </c>
      <c r="T7" s="2970">
        <f>P7*I7*365/10000</f>
        <v>158.62533539999998</v>
      </c>
      <c r="U7" s="2970">
        <f>Q7*I7*365/10000</f>
        <v>67.762279199999995</v>
      </c>
      <c r="V7" s="2970"/>
      <c r="W7" s="2970"/>
    </row>
    <row r="8" spans="2:23" ht="24.95" customHeight="1">
      <c r="B8" s="2980" t="s">
        <v>3144</v>
      </c>
      <c r="C8" s="2981">
        <v>3999.95</v>
      </c>
      <c r="D8" s="2982">
        <v>3264.23</v>
      </c>
      <c r="E8" s="2982">
        <v>547.66</v>
      </c>
      <c r="F8" s="2982">
        <v>171.4</v>
      </c>
      <c r="G8" s="2982"/>
      <c r="H8" s="2982"/>
      <c r="I8" s="2982">
        <v>3983.29</v>
      </c>
      <c r="J8" s="2983">
        <v>0.99583494793684924</v>
      </c>
      <c r="K8" s="3352"/>
      <c r="L8" s="2976" t="s">
        <v>3145</v>
      </c>
      <c r="M8" s="2977" t="s">
        <v>3146</v>
      </c>
      <c r="N8" s="2984"/>
      <c r="O8" s="2969">
        <f t="shared" si="0"/>
        <v>4.3299999999999998E-2</v>
      </c>
      <c r="P8" s="2979">
        <v>0.4</v>
      </c>
      <c r="Q8" s="2979">
        <v>0.13</v>
      </c>
      <c r="R8" s="2979">
        <v>0.53</v>
      </c>
      <c r="S8" s="3023">
        <f t="shared" si="1"/>
        <v>2.2949000000000001E-2</v>
      </c>
      <c r="T8" s="2970">
        <f t="shared" ref="T8:T29" si="2">P8*I8*365/10000</f>
        <v>58.156033999999998</v>
      </c>
      <c r="U8" s="2970">
        <f t="shared" ref="U8:U29" si="3">Q8*I8*365/10000</f>
        <v>18.900711050000002</v>
      </c>
      <c r="V8" s="2970"/>
      <c r="W8" s="2970"/>
    </row>
    <row r="9" spans="2:23" ht="24.95" customHeight="1">
      <c r="B9" s="2980" t="s">
        <v>3147</v>
      </c>
      <c r="C9" s="2982">
        <v>3764.6</v>
      </c>
      <c r="D9" s="2982">
        <v>3574.95</v>
      </c>
      <c r="E9" s="2982"/>
      <c r="F9" s="2982">
        <v>171.4</v>
      </c>
      <c r="G9" s="2982"/>
      <c r="H9" s="2982"/>
      <c r="I9" s="2982">
        <v>3746.35</v>
      </c>
      <c r="J9" s="2983">
        <v>0.99515220740583332</v>
      </c>
      <c r="K9" s="3352"/>
      <c r="L9" s="2976" t="s">
        <v>3145</v>
      </c>
      <c r="M9" s="2977" t="s">
        <v>3146</v>
      </c>
      <c r="N9" s="2984"/>
      <c r="O9" s="2969">
        <f t="shared" si="0"/>
        <v>4.07E-2</v>
      </c>
      <c r="P9" s="2979">
        <v>0.4</v>
      </c>
      <c r="Q9" s="2979">
        <v>0.13</v>
      </c>
      <c r="R9" s="2979">
        <v>0.53</v>
      </c>
      <c r="S9" s="3023">
        <f t="shared" si="1"/>
        <v>2.1571E-2</v>
      </c>
      <c r="T9" s="2970">
        <f t="shared" si="2"/>
        <v>54.696709999999996</v>
      </c>
      <c r="U9" s="2970">
        <f t="shared" si="3"/>
        <v>17.776430749999999</v>
      </c>
      <c r="V9" s="2970"/>
      <c r="W9" s="2970"/>
    </row>
    <row r="10" spans="2:23" ht="24.95" customHeight="1">
      <c r="B10" s="2980" t="s">
        <v>3148</v>
      </c>
      <c r="C10" s="2982">
        <v>3752.08</v>
      </c>
      <c r="D10" s="2982">
        <v>3562.5</v>
      </c>
      <c r="E10" s="2982"/>
      <c r="F10" s="2982">
        <v>171.4</v>
      </c>
      <c r="G10" s="2982"/>
      <c r="H10" s="2982"/>
      <c r="I10" s="2982">
        <v>3733.9</v>
      </c>
      <c r="J10" s="2983">
        <v>0.99515468753331493</v>
      </c>
      <c r="K10" s="3352"/>
      <c r="L10" s="2976" t="s">
        <v>3145</v>
      </c>
      <c r="M10" s="2977" t="s">
        <v>3146</v>
      </c>
      <c r="N10" s="2984"/>
      <c r="O10" s="2969">
        <f t="shared" si="0"/>
        <v>4.0599999999999997E-2</v>
      </c>
      <c r="P10" s="2979">
        <v>0.4</v>
      </c>
      <c r="Q10" s="2979">
        <v>0.13</v>
      </c>
      <c r="R10" s="2979">
        <v>0.53</v>
      </c>
      <c r="S10" s="3023">
        <f t="shared" si="1"/>
        <v>2.1517999999999999E-2</v>
      </c>
      <c r="T10" s="2970">
        <f t="shared" si="2"/>
        <v>54.514940000000003</v>
      </c>
      <c r="U10" s="2970">
        <f t="shared" si="3"/>
        <v>17.717355500000004</v>
      </c>
      <c r="V10" s="2970"/>
      <c r="W10" s="2970"/>
    </row>
    <row r="11" spans="2:23" s="2991" customFormat="1" ht="24.95" customHeight="1">
      <c r="B11" s="2985" t="s">
        <v>3149</v>
      </c>
      <c r="C11" s="2986">
        <v>4222.04</v>
      </c>
      <c r="D11" s="2986">
        <v>3572.51</v>
      </c>
      <c r="E11" s="2986"/>
      <c r="F11" s="2986"/>
      <c r="G11" s="2986">
        <v>649.53</v>
      </c>
      <c r="H11" s="2986"/>
      <c r="I11" s="2986">
        <v>4222.04</v>
      </c>
      <c r="J11" s="2987">
        <v>1</v>
      </c>
      <c r="K11" s="3352"/>
      <c r="L11" s="2988" t="s">
        <v>3150</v>
      </c>
      <c r="M11" s="2989" t="s">
        <v>3151</v>
      </c>
      <c r="N11" s="2990"/>
      <c r="O11" s="2969">
        <f t="shared" si="0"/>
        <v>4.5699999999999998E-2</v>
      </c>
      <c r="P11" s="2979">
        <v>0.38</v>
      </c>
      <c r="Q11" s="2979">
        <v>0.32</v>
      </c>
      <c r="R11" s="2979">
        <v>0.7</v>
      </c>
      <c r="S11" s="3023">
        <f t="shared" si="1"/>
        <v>3.1989999999999998E-2</v>
      </c>
      <c r="T11" s="2970">
        <f t="shared" si="2"/>
        <v>58.559694799999995</v>
      </c>
      <c r="U11" s="2970">
        <f t="shared" si="3"/>
        <v>49.3134272</v>
      </c>
      <c r="V11" s="2992"/>
      <c r="W11" s="2992"/>
    </row>
    <row r="12" spans="2:23" s="2991" customFormat="1" ht="24.95" customHeight="1">
      <c r="B12" s="2985" t="s">
        <v>3152</v>
      </c>
      <c r="C12" s="2986">
        <v>3419.78</v>
      </c>
      <c r="D12" s="2986">
        <v>2893.67</v>
      </c>
      <c r="E12" s="2986"/>
      <c r="F12" s="2993"/>
      <c r="G12" s="2986">
        <v>526.11</v>
      </c>
      <c r="H12" s="2986"/>
      <c r="I12" s="2986">
        <v>3419.78</v>
      </c>
      <c r="J12" s="2987">
        <v>1</v>
      </c>
      <c r="K12" s="3352"/>
      <c r="L12" s="2988" t="s">
        <v>3150</v>
      </c>
      <c r="M12" s="2989" t="s">
        <v>3151</v>
      </c>
      <c r="N12" s="2990"/>
      <c r="O12" s="2969">
        <f t="shared" si="0"/>
        <v>3.6999999999999998E-2</v>
      </c>
      <c r="P12" s="2979">
        <v>0.38</v>
      </c>
      <c r="Q12" s="2979">
        <v>0.32</v>
      </c>
      <c r="R12" s="2979">
        <v>0.7</v>
      </c>
      <c r="S12" s="3023">
        <f t="shared" si="1"/>
        <v>2.5899999999999996E-2</v>
      </c>
      <c r="T12" s="2970">
        <f t="shared" si="2"/>
        <v>47.432348600000012</v>
      </c>
      <c r="U12" s="2970">
        <f t="shared" si="3"/>
        <v>39.943030399999998</v>
      </c>
      <c r="V12" s="2992"/>
      <c r="W12" s="2992"/>
    </row>
    <row r="13" spans="2:23" s="2991" customFormat="1" ht="24.95" customHeight="1">
      <c r="B13" s="2985" t="s">
        <v>3153</v>
      </c>
      <c r="C13" s="2986">
        <v>4528.21</v>
      </c>
      <c r="D13" s="2986">
        <v>3283.42</v>
      </c>
      <c r="E13" s="2986">
        <v>547.66</v>
      </c>
      <c r="F13" s="2986"/>
      <c r="G13" s="2986">
        <v>697.13</v>
      </c>
      <c r="H13" s="2986"/>
      <c r="I13" s="2986">
        <v>4528.21</v>
      </c>
      <c r="J13" s="2987">
        <v>1</v>
      </c>
      <c r="K13" s="3352"/>
      <c r="L13" s="2988" t="s">
        <v>3150</v>
      </c>
      <c r="M13" s="2989" t="s">
        <v>3151</v>
      </c>
      <c r="N13" s="2990"/>
      <c r="O13" s="2969">
        <f t="shared" si="0"/>
        <v>4.9000000000000002E-2</v>
      </c>
      <c r="P13" s="2979">
        <v>0.38</v>
      </c>
      <c r="Q13" s="2979">
        <v>0.32</v>
      </c>
      <c r="R13" s="2979">
        <v>0.7</v>
      </c>
      <c r="S13" s="3023">
        <f t="shared" si="1"/>
        <v>3.4299999999999997E-2</v>
      </c>
      <c r="T13" s="2970">
        <f t="shared" si="2"/>
        <v>62.806272700000008</v>
      </c>
      <c r="U13" s="2970">
        <f t="shared" si="3"/>
        <v>52.889492799999992</v>
      </c>
      <c r="V13" s="2992"/>
      <c r="W13" s="2992"/>
    </row>
    <row r="14" spans="2:23" s="2991" customFormat="1" ht="24.95" customHeight="1">
      <c r="B14" s="2994" t="s">
        <v>3154</v>
      </c>
      <c r="C14" s="2995">
        <v>3754.8799999999997</v>
      </c>
      <c r="D14" s="2995">
        <v>3562.5</v>
      </c>
      <c r="E14" s="2995"/>
      <c r="F14" s="2995">
        <v>171.43</v>
      </c>
      <c r="G14" s="2995"/>
      <c r="H14" s="2995"/>
      <c r="I14" s="2995">
        <v>3733.93</v>
      </c>
      <c r="J14" s="2996">
        <v>0.99442059400034089</v>
      </c>
      <c r="K14" s="3352"/>
      <c r="L14" s="2988" t="s">
        <v>3145</v>
      </c>
      <c r="M14" s="2989" t="s">
        <v>3155</v>
      </c>
      <c r="N14" s="2990"/>
      <c r="O14" s="2969">
        <f t="shared" si="0"/>
        <v>4.0599999999999997E-2</v>
      </c>
      <c r="P14" s="2979">
        <v>0.4</v>
      </c>
      <c r="Q14" s="2979">
        <v>0.13</v>
      </c>
      <c r="R14" s="2979">
        <v>0.53</v>
      </c>
      <c r="S14" s="3023">
        <f t="shared" si="1"/>
        <v>2.1517999999999999E-2</v>
      </c>
      <c r="T14" s="2970">
        <f t="shared" si="2"/>
        <v>54.515378000000005</v>
      </c>
      <c r="U14" s="2970">
        <f t="shared" si="3"/>
        <v>17.717497850000001</v>
      </c>
      <c r="V14" s="2992"/>
      <c r="W14" s="2992"/>
    </row>
    <row r="15" spans="2:23" s="2991" customFormat="1" ht="24.95" customHeight="1">
      <c r="B15" s="2994" t="s">
        <v>3156</v>
      </c>
      <c r="C15" s="2995">
        <v>3019.87</v>
      </c>
      <c r="D15" s="2995">
        <v>2882.72</v>
      </c>
      <c r="E15" s="2995"/>
      <c r="F15" s="2995"/>
      <c r="G15" s="2995">
        <v>137.15</v>
      </c>
      <c r="H15" s="2995"/>
      <c r="I15" s="2995">
        <v>3019.87</v>
      </c>
      <c r="J15" s="2996">
        <v>1</v>
      </c>
      <c r="K15" s="3352"/>
      <c r="L15" s="2988" t="s">
        <v>3157</v>
      </c>
      <c r="M15" s="2989" t="s">
        <v>3158</v>
      </c>
      <c r="N15" s="2990"/>
      <c r="O15" s="2969">
        <f t="shared" si="0"/>
        <v>3.27E-2</v>
      </c>
      <c r="P15" s="2979">
        <v>0.99</v>
      </c>
      <c r="Q15" s="2979">
        <v>7.0000000000000007E-2</v>
      </c>
      <c r="R15" s="2979">
        <v>1.06</v>
      </c>
      <c r="S15" s="3023">
        <f t="shared" si="1"/>
        <v>3.4661999999999998E-2</v>
      </c>
      <c r="T15" s="2970">
        <f t="shared" si="2"/>
        <v>109.12300245</v>
      </c>
      <c r="U15" s="2970">
        <f t="shared" si="3"/>
        <v>7.7157678500000006</v>
      </c>
      <c r="V15" s="2992"/>
      <c r="W15" s="2992"/>
    </row>
    <row r="16" spans="2:23" s="2991" customFormat="1" ht="24.95" customHeight="1">
      <c r="B16" s="2994" t="s">
        <v>3159</v>
      </c>
      <c r="C16" s="2995">
        <v>4002.5099999999998</v>
      </c>
      <c r="D16" s="2995">
        <v>3283.42</v>
      </c>
      <c r="E16" s="2995">
        <v>547.66</v>
      </c>
      <c r="F16" s="2995"/>
      <c r="G16" s="2995">
        <v>171.43</v>
      </c>
      <c r="H16" s="2995"/>
      <c r="I16" s="2995">
        <v>4002.5099999999998</v>
      </c>
      <c r="J16" s="2996">
        <v>1</v>
      </c>
      <c r="K16" s="3352"/>
      <c r="L16" s="2988" t="s">
        <v>3157</v>
      </c>
      <c r="M16" s="2989" t="s">
        <v>3158</v>
      </c>
      <c r="N16" s="2990"/>
      <c r="O16" s="2969">
        <f t="shared" si="0"/>
        <v>4.3299999999999998E-2</v>
      </c>
      <c r="P16" s="2979">
        <v>0.99</v>
      </c>
      <c r="Q16" s="2979">
        <v>7.0000000000000007E-2</v>
      </c>
      <c r="R16" s="2979">
        <v>1.06</v>
      </c>
      <c r="S16" s="3023">
        <f t="shared" si="1"/>
        <v>4.5898000000000001E-2</v>
      </c>
      <c r="T16" s="2970">
        <f t="shared" si="2"/>
        <v>144.63069884999999</v>
      </c>
      <c r="U16" s="2970">
        <f t="shared" si="3"/>
        <v>10.22641305</v>
      </c>
      <c r="V16" s="2992"/>
      <c r="W16" s="2992"/>
    </row>
    <row r="17" spans="1:23" ht="24.95" customHeight="1">
      <c r="B17" s="2972" t="s">
        <v>3160</v>
      </c>
      <c r="C17" s="2973">
        <v>3354.66</v>
      </c>
      <c r="D17" s="2973">
        <v>2842.95</v>
      </c>
      <c r="E17" s="2973"/>
      <c r="F17" s="2973"/>
      <c r="G17" s="2973">
        <v>511.7</v>
      </c>
      <c r="H17" s="2973"/>
      <c r="I17" s="2973">
        <v>3354.6499999999996</v>
      </c>
      <c r="J17" s="2975">
        <v>0.99999701907197747</v>
      </c>
      <c r="K17" s="3352"/>
      <c r="L17" s="2976" t="s">
        <v>3161</v>
      </c>
      <c r="M17" s="2977" t="s">
        <v>3162</v>
      </c>
      <c r="N17" s="2984"/>
      <c r="O17" s="2969">
        <f t="shared" si="0"/>
        <v>3.6299999999999999E-2</v>
      </c>
      <c r="P17" s="2979">
        <v>1.03</v>
      </c>
      <c r="Q17" s="2979">
        <v>0.44</v>
      </c>
      <c r="R17" s="2979">
        <v>1.47</v>
      </c>
      <c r="S17" s="3023">
        <f t="shared" si="1"/>
        <v>5.3360999999999999E-2</v>
      </c>
      <c r="T17" s="2970">
        <f t="shared" si="2"/>
        <v>126.11806675</v>
      </c>
      <c r="U17" s="2970">
        <f t="shared" si="3"/>
        <v>53.875678999999991</v>
      </c>
      <c r="V17" s="2970"/>
      <c r="W17" s="2970"/>
    </row>
    <row r="18" spans="1:23" ht="24.95" customHeight="1">
      <c r="B18" s="2972" t="s">
        <v>3163</v>
      </c>
      <c r="C18" s="2973">
        <v>4273.95</v>
      </c>
      <c r="D18" s="2973">
        <v>3622.02</v>
      </c>
      <c r="E18" s="2973"/>
      <c r="F18" s="2973"/>
      <c r="G18" s="2973">
        <v>651.92999999999995</v>
      </c>
      <c r="H18" s="2973"/>
      <c r="I18" s="2973">
        <v>4273.95</v>
      </c>
      <c r="J18" s="2975">
        <v>1</v>
      </c>
      <c r="K18" s="3352"/>
      <c r="L18" s="2976" t="s">
        <v>3161</v>
      </c>
      <c r="M18" s="2977" t="s">
        <v>3162</v>
      </c>
      <c r="N18" s="2984"/>
      <c r="O18" s="2969">
        <f t="shared" si="0"/>
        <v>4.6300000000000001E-2</v>
      </c>
      <c r="P18" s="2979">
        <v>1.03</v>
      </c>
      <c r="Q18" s="2979">
        <v>0.44</v>
      </c>
      <c r="R18" s="2979">
        <v>1.47</v>
      </c>
      <c r="S18" s="3023">
        <f t="shared" si="1"/>
        <v>6.8060999999999997E-2</v>
      </c>
      <c r="T18" s="2970">
        <f t="shared" si="2"/>
        <v>160.67915024999999</v>
      </c>
      <c r="U18" s="2970">
        <f t="shared" si="3"/>
        <v>68.639636999999993</v>
      </c>
      <c r="V18" s="2970"/>
      <c r="W18" s="2970"/>
    </row>
    <row r="19" spans="1:23" ht="24.95" customHeight="1">
      <c r="B19" s="2972" t="s">
        <v>3164</v>
      </c>
      <c r="C19" s="2973">
        <v>4540.82</v>
      </c>
      <c r="D19" s="2973">
        <v>3325.81</v>
      </c>
      <c r="E19" s="2973">
        <v>521.57000000000005</v>
      </c>
      <c r="F19" s="2973"/>
      <c r="G19" s="2973">
        <v>693.44</v>
      </c>
      <c r="H19" s="2973"/>
      <c r="I19" s="2973">
        <v>4540.82</v>
      </c>
      <c r="J19" s="2975">
        <v>1</v>
      </c>
      <c r="K19" s="3352"/>
      <c r="L19" s="2976" t="s">
        <v>3161</v>
      </c>
      <c r="M19" s="2977" t="s">
        <v>3162</v>
      </c>
      <c r="N19" s="2984"/>
      <c r="O19" s="2969">
        <f t="shared" si="0"/>
        <v>4.9099999999999998E-2</v>
      </c>
      <c r="P19" s="2979">
        <v>1.03</v>
      </c>
      <c r="Q19" s="2979">
        <v>0.44</v>
      </c>
      <c r="R19" s="2979">
        <v>1.47</v>
      </c>
      <c r="S19" s="3023">
        <f t="shared" si="1"/>
        <v>7.2176999999999991E-2</v>
      </c>
      <c r="T19" s="2970">
        <f t="shared" si="2"/>
        <v>170.71212790000001</v>
      </c>
      <c r="U19" s="2970">
        <f t="shared" si="3"/>
        <v>72.925569199999998</v>
      </c>
      <c r="V19" s="2970"/>
      <c r="W19" s="2970"/>
    </row>
    <row r="20" spans="1:23" ht="24.95" customHeight="1">
      <c r="B20" s="2980" t="s">
        <v>3165</v>
      </c>
      <c r="C20" s="2982">
        <v>2980.0899999999997</v>
      </c>
      <c r="D20" s="2982">
        <v>2814.55</v>
      </c>
      <c r="E20" s="2982"/>
      <c r="F20" s="2982">
        <v>137.13999999999999</v>
      </c>
      <c r="G20" s="2982"/>
      <c r="H20" s="2982"/>
      <c r="I20" s="2982">
        <v>2951.69</v>
      </c>
      <c r="J20" s="2983">
        <v>0.99047008647389856</v>
      </c>
      <c r="K20" s="3352"/>
      <c r="L20" s="2976" t="s">
        <v>3145</v>
      </c>
      <c r="M20" s="2977" t="s">
        <v>3146</v>
      </c>
      <c r="N20" s="2984"/>
      <c r="O20" s="2969">
        <f t="shared" si="0"/>
        <v>3.2300000000000002E-2</v>
      </c>
      <c r="P20" s="2979">
        <v>0.4</v>
      </c>
      <c r="Q20" s="2979">
        <v>0.13</v>
      </c>
      <c r="R20" s="2979">
        <v>0.53</v>
      </c>
      <c r="S20" s="3023">
        <f t="shared" si="1"/>
        <v>1.7119000000000002E-2</v>
      </c>
      <c r="T20" s="2970">
        <f t="shared" si="2"/>
        <v>43.094674000000005</v>
      </c>
      <c r="U20" s="2970">
        <f t="shared" si="3"/>
        <v>14.005769050000003</v>
      </c>
      <c r="V20" s="2970"/>
      <c r="W20" s="2970"/>
    </row>
    <row r="21" spans="1:23" ht="24.95" customHeight="1">
      <c r="B21" s="2980" t="s">
        <v>3166</v>
      </c>
      <c r="C21" s="2982">
        <v>3782.45</v>
      </c>
      <c r="D21" s="2982">
        <v>3574.94</v>
      </c>
      <c r="E21" s="2982"/>
      <c r="F21" s="2982">
        <v>171.43</v>
      </c>
      <c r="G21" s="2982"/>
      <c r="H21" s="2982"/>
      <c r="I21" s="2982">
        <v>3746.37</v>
      </c>
      <c r="J21" s="2983">
        <v>0.99046120900474566</v>
      </c>
      <c r="K21" s="3352"/>
      <c r="L21" s="2976" t="s">
        <v>3145</v>
      </c>
      <c r="M21" s="2977" t="s">
        <v>3146</v>
      </c>
      <c r="N21" s="2984"/>
      <c r="O21" s="2969">
        <f t="shared" si="0"/>
        <v>4.0899999999999999E-2</v>
      </c>
      <c r="P21" s="2979">
        <v>0.4</v>
      </c>
      <c r="Q21" s="2979">
        <v>0.13</v>
      </c>
      <c r="R21" s="2979">
        <v>0.53</v>
      </c>
      <c r="S21" s="3023">
        <f t="shared" si="1"/>
        <v>2.1677000000000002E-2</v>
      </c>
      <c r="T21" s="2970">
        <f t="shared" si="2"/>
        <v>54.697002000000005</v>
      </c>
      <c r="U21" s="2970">
        <f t="shared" si="3"/>
        <v>17.77652565</v>
      </c>
      <c r="V21" s="2970"/>
      <c r="W21" s="2970"/>
    </row>
    <row r="22" spans="1:23" ht="24.95" customHeight="1">
      <c r="B22" s="2980" t="s">
        <v>3167</v>
      </c>
      <c r="C22" s="2982">
        <v>3767.28</v>
      </c>
      <c r="D22" s="2982">
        <v>3303.46</v>
      </c>
      <c r="E22" s="2982">
        <v>259.05</v>
      </c>
      <c r="F22" s="2982">
        <v>171.43</v>
      </c>
      <c r="G22" s="2982"/>
      <c r="H22" s="2982"/>
      <c r="I22" s="2982">
        <v>3733.94</v>
      </c>
      <c r="J22" s="2983">
        <v>0.99115011360981919</v>
      </c>
      <c r="K22" s="3352"/>
      <c r="L22" s="2976" t="s">
        <v>3145</v>
      </c>
      <c r="M22" s="2977" t="s">
        <v>3146</v>
      </c>
      <c r="N22" s="2984"/>
      <c r="O22" s="2969">
        <f t="shared" si="0"/>
        <v>4.0800000000000003E-2</v>
      </c>
      <c r="P22" s="2979">
        <v>0.4</v>
      </c>
      <c r="Q22" s="2979">
        <v>0.13</v>
      </c>
      <c r="R22" s="2979">
        <v>0.53</v>
      </c>
      <c r="S22" s="3023">
        <f t="shared" si="1"/>
        <v>2.1624000000000004E-2</v>
      </c>
      <c r="T22" s="2970">
        <f t="shared" si="2"/>
        <v>54.515523999999999</v>
      </c>
      <c r="U22" s="2970">
        <f t="shared" si="3"/>
        <v>17.717545300000001</v>
      </c>
      <c r="V22" s="2970"/>
      <c r="W22" s="2970"/>
    </row>
    <row r="23" spans="1:23" ht="24.95" customHeight="1">
      <c r="B23" s="2980" t="s">
        <v>3168</v>
      </c>
      <c r="C23" s="2982">
        <v>4515.9900000000007</v>
      </c>
      <c r="D23" s="2982">
        <v>3297.24</v>
      </c>
      <c r="E23" s="2982">
        <v>521.57000000000005</v>
      </c>
      <c r="F23" s="2982">
        <v>684.14</v>
      </c>
      <c r="G23" s="2982"/>
      <c r="H23" s="2982"/>
      <c r="I23" s="2982">
        <v>4502.95</v>
      </c>
      <c r="J23" s="2983">
        <v>0.99711248253428353</v>
      </c>
      <c r="K23" s="3352"/>
      <c r="L23" s="2988" t="s">
        <v>3169</v>
      </c>
      <c r="M23" s="2977" t="s">
        <v>3170</v>
      </c>
      <c r="N23" s="2984"/>
      <c r="O23" s="2969">
        <f t="shared" si="0"/>
        <v>4.8899999999999999E-2</v>
      </c>
      <c r="P23" s="2979">
        <v>0.91</v>
      </c>
      <c r="Q23" s="2979">
        <v>0.06</v>
      </c>
      <c r="R23" s="2979">
        <v>0.97</v>
      </c>
      <c r="S23" s="3023">
        <f t="shared" si="1"/>
        <v>4.7432999999999996E-2</v>
      </c>
      <c r="T23" s="2970">
        <f t="shared" si="2"/>
        <v>149.56548425</v>
      </c>
      <c r="U23" s="2970">
        <f t="shared" si="3"/>
        <v>9.861460499999998</v>
      </c>
      <c r="V23" s="2970"/>
      <c r="W23" s="2970"/>
    </row>
    <row r="24" spans="1:23" ht="24.95" customHeight="1">
      <c r="B24" s="2980" t="s">
        <v>3171</v>
      </c>
      <c r="C24" s="2982">
        <v>3397.9799999999996</v>
      </c>
      <c r="D24" s="2982">
        <v>2872.09</v>
      </c>
      <c r="E24" s="2982"/>
      <c r="F24" s="2982">
        <v>514.53</v>
      </c>
      <c r="G24" s="2982"/>
      <c r="H24" s="2982"/>
      <c r="I24" s="2982">
        <v>3386.62</v>
      </c>
      <c r="J24" s="2983">
        <v>0.99665683729745325</v>
      </c>
      <c r="K24" s="3352"/>
      <c r="L24" s="2988" t="s">
        <v>3169</v>
      </c>
      <c r="M24" s="2977" t="s">
        <v>3170</v>
      </c>
      <c r="N24" s="2984"/>
      <c r="O24" s="2969">
        <f t="shared" si="0"/>
        <v>3.6799999999999999E-2</v>
      </c>
      <c r="P24" s="2979">
        <v>0.91</v>
      </c>
      <c r="Q24" s="2979">
        <v>0.06</v>
      </c>
      <c r="R24" s="2979">
        <v>0.97</v>
      </c>
      <c r="S24" s="3023">
        <f t="shared" si="1"/>
        <v>3.5695999999999999E-2</v>
      </c>
      <c r="T24" s="2970">
        <f t="shared" si="2"/>
        <v>112.48658330000001</v>
      </c>
      <c r="U24" s="2970">
        <f t="shared" si="3"/>
        <v>7.4166977999999988</v>
      </c>
      <c r="V24" s="2970"/>
      <c r="W24" s="2970"/>
    </row>
    <row r="25" spans="1:23" ht="24.95" customHeight="1">
      <c r="B25" s="2980" t="s">
        <v>3172</v>
      </c>
      <c r="C25" s="2982">
        <v>3934.7799999999997</v>
      </c>
      <c r="D25" s="2982">
        <v>3276.24</v>
      </c>
      <c r="E25" s="2982"/>
      <c r="F25" s="2982">
        <v>645.58000000000004</v>
      </c>
      <c r="G25" s="2982"/>
      <c r="H25" s="2982"/>
      <c r="I25" s="2982">
        <v>3921.8199999999997</v>
      </c>
      <c r="J25" s="2983">
        <v>0.99670629615887041</v>
      </c>
      <c r="K25" s="3352"/>
      <c r="L25" s="2988" t="s">
        <v>3169</v>
      </c>
      <c r="M25" s="2977" t="s">
        <v>3170</v>
      </c>
      <c r="N25" s="2997" t="s">
        <v>3173</v>
      </c>
      <c r="O25" s="2969">
        <f t="shared" si="0"/>
        <v>4.2599999999999999E-2</v>
      </c>
      <c r="P25" s="2979">
        <v>0.91</v>
      </c>
      <c r="Q25" s="2979">
        <v>0.06</v>
      </c>
      <c r="R25" s="2979">
        <v>0.97</v>
      </c>
      <c r="S25" s="3023">
        <f t="shared" si="1"/>
        <v>4.1321999999999998E-2</v>
      </c>
      <c r="T25" s="2970">
        <f t="shared" si="2"/>
        <v>130.26325129999998</v>
      </c>
      <c r="U25" s="2970">
        <f t="shared" si="3"/>
        <v>8.5887858000000001</v>
      </c>
      <c r="V25" s="2970"/>
      <c r="W25" s="2970"/>
    </row>
    <row r="26" spans="1:23" ht="24.95" customHeight="1">
      <c r="B26" s="2980" t="s">
        <v>3174</v>
      </c>
      <c r="C26" s="2982">
        <v>3747.01</v>
      </c>
      <c r="D26" s="2982">
        <v>3303.46</v>
      </c>
      <c r="E26" s="2982">
        <v>259.05</v>
      </c>
      <c r="F26" s="2982">
        <v>171.43</v>
      </c>
      <c r="G26" s="2982"/>
      <c r="H26" s="2982"/>
      <c r="I26" s="2982">
        <v>3733.94</v>
      </c>
      <c r="J26" s="2983">
        <v>0.99651188547668668</v>
      </c>
      <c r="K26" s="3352"/>
      <c r="L26" s="2988" t="s">
        <v>3175</v>
      </c>
      <c r="M26" s="2977" t="s">
        <v>3176</v>
      </c>
      <c r="N26" s="2978"/>
      <c r="O26" s="2969">
        <f t="shared" si="0"/>
        <v>4.0599999999999997E-2</v>
      </c>
      <c r="P26" s="2979">
        <v>1.05</v>
      </c>
      <c r="Q26" s="2979">
        <v>7.0000000000000007E-2</v>
      </c>
      <c r="R26" s="2979">
        <v>1.1200000000000001</v>
      </c>
      <c r="S26" s="3023">
        <f t="shared" si="1"/>
        <v>4.5471999999999999E-2</v>
      </c>
      <c r="T26" s="2970">
        <f t="shared" si="2"/>
        <v>143.1032505</v>
      </c>
      <c r="U26" s="2970">
        <f t="shared" si="3"/>
        <v>9.540216700000002</v>
      </c>
      <c r="V26" s="2970"/>
      <c r="W26" s="2970"/>
    </row>
    <row r="27" spans="1:23" ht="24.95" customHeight="1">
      <c r="B27" s="2980" t="s">
        <v>3177</v>
      </c>
      <c r="C27" s="2982">
        <v>3014.35</v>
      </c>
      <c r="D27" s="2982">
        <v>2865.87</v>
      </c>
      <c r="E27" s="2982">
        <v>0</v>
      </c>
      <c r="F27" s="2982">
        <v>137.15</v>
      </c>
      <c r="G27" s="2982"/>
      <c r="H27" s="2982"/>
      <c r="I27" s="2982">
        <v>3003.02</v>
      </c>
      <c r="J27" s="2983">
        <v>0.99624131238907232</v>
      </c>
      <c r="K27" s="3352"/>
      <c r="L27" s="2988" t="s">
        <v>3175</v>
      </c>
      <c r="M27" s="2977" t="s">
        <v>3176</v>
      </c>
      <c r="N27" s="2978"/>
      <c r="O27" s="2969">
        <f t="shared" si="0"/>
        <v>3.2599999999999997E-2</v>
      </c>
      <c r="P27" s="2979">
        <v>1.05</v>
      </c>
      <c r="Q27" s="2979">
        <v>7.0000000000000007E-2</v>
      </c>
      <c r="R27" s="2979">
        <v>1.1200000000000001</v>
      </c>
      <c r="S27" s="3023">
        <f t="shared" si="1"/>
        <v>3.6512000000000003E-2</v>
      </c>
      <c r="T27" s="2970">
        <f t="shared" si="2"/>
        <v>115.09074150000001</v>
      </c>
      <c r="U27" s="2970">
        <f t="shared" si="3"/>
        <v>7.6727161000000006</v>
      </c>
      <c r="V27" s="2970"/>
      <c r="W27" s="2970"/>
    </row>
    <row r="28" spans="1:23" ht="24.95" customHeight="1">
      <c r="B28" s="2980" t="s">
        <v>3178</v>
      </c>
      <c r="C28" s="2982">
        <v>3622.8099999999995</v>
      </c>
      <c r="D28" s="2982">
        <v>3276.24</v>
      </c>
      <c r="E28" s="2982">
        <v>162.18</v>
      </c>
      <c r="F28" s="2982">
        <v>171.43</v>
      </c>
      <c r="G28" s="2982"/>
      <c r="H28" s="2982"/>
      <c r="I28" s="2982">
        <v>3609.8499999999995</v>
      </c>
      <c r="J28" s="2983">
        <v>0.99642266638327703</v>
      </c>
      <c r="K28" s="3352"/>
      <c r="L28" s="2988" t="s">
        <v>3175</v>
      </c>
      <c r="M28" s="2977" t="s">
        <v>3176</v>
      </c>
      <c r="N28" s="2978"/>
      <c r="O28" s="2969">
        <f t="shared" si="0"/>
        <v>3.9199999999999999E-2</v>
      </c>
      <c r="P28" s="2979">
        <v>1.05</v>
      </c>
      <c r="Q28" s="2979">
        <v>7.0000000000000007E-2</v>
      </c>
      <c r="R28" s="2979">
        <v>1.1200000000000001</v>
      </c>
      <c r="S28" s="3023">
        <f t="shared" si="1"/>
        <v>4.3904000000000006E-2</v>
      </c>
      <c r="T28" s="2970">
        <f t="shared" si="2"/>
        <v>138.34750124999999</v>
      </c>
      <c r="U28" s="2970">
        <f t="shared" si="3"/>
        <v>9.223166749999999</v>
      </c>
      <c r="V28" s="2970"/>
      <c r="W28" s="2970"/>
    </row>
    <row r="29" spans="1:23" ht="24.95" customHeight="1">
      <c r="B29" s="2972" t="s">
        <v>3179</v>
      </c>
      <c r="C29" s="2973"/>
      <c r="D29" s="2973"/>
      <c r="E29" s="2973"/>
      <c r="F29" s="2973"/>
      <c r="G29" s="2973"/>
      <c r="H29" s="2973"/>
      <c r="I29" s="2973"/>
      <c r="J29" s="2975"/>
      <c r="K29" s="2975"/>
      <c r="L29" s="2998" t="s">
        <v>3180</v>
      </c>
      <c r="M29" s="2999" t="s">
        <v>3181</v>
      </c>
      <c r="N29" s="3000"/>
      <c r="P29" s="3001"/>
      <c r="Q29" s="3001"/>
      <c r="R29" s="3001"/>
      <c r="S29" s="3002"/>
      <c r="T29" s="2970">
        <f t="shared" si="2"/>
        <v>0</v>
      </c>
      <c r="U29" s="2970">
        <f t="shared" si="3"/>
        <v>0</v>
      </c>
    </row>
    <row r="30" spans="1:23" ht="24.95" customHeight="1" thickBot="1">
      <c r="B30" s="3003" t="s">
        <v>3135</v>
      </c>
      <c r="C30" s="3004">
        <v>92401.07</v>
      </c>
      <c r="D30" s="3004">
        <f>SUM(D5:D29)</f>
        <v>75105.440000000002</v>
      </c>
      <c r="E30" s="3004">
        <f t="shared" ref="E30:G30" si="4">SUM(E5:E29)</f>
        <v>3914.0600000000004</v>
      </c>
      <c r="F30" s="3004">
        <f t="shared" si="4"/>
        <v>3489.89</v>
      </c>
      <c r="G30" s="3004">
        <f t="shared" si="4"/>
        <v>5385.1399999999994</v>
      </c>
      <c r="H30" s="3004">
        <v>0</v>
      </c>
      <c r="I30" s="3004">
        <v>87894.530000000013</v>
      </c>
      <c r="J30" s="3005"/>
      <c r="K30" s="3006"/>
      <c r="L30" s="3007"/>
      <c r="M30" s="3008"/>
      <c r="N30" s="3009"/>
      <c r="P30" s="3010">
        <f>SUM(P5:P29)/22</f>
        <v>0.76909090909090916</v>
      </c>
      <c r="Q30" s="3010"/>
      <c r="R30" s="3010">
        <v>0.95</v>
      </c>
      <c r="S30" s="3024">
        <f>SUM(S5:S28)</f>
        <v>0.90142299999999997</v>
      </c>
    </row>
    <row r="31" spans="1:23" ht="24.95" customHeight="1" thickTop="1">
      <c r="I31" s="2970">
        <f>SUM(D30:G30)</f>
        <v>87894.53</v>
      </c>
      <c r="T31" s="2970">
        <f>SUM(T5:T30)</f>
        <v>2366.9221868</v>
      </c>
      <c r="U31" s="2970">
        <f>SUM(U5:U30)</f>
        <v>666.58530880000001</v>
      </c>
      <c r="V31" s="2970">
        <f>T31+U31</f>
        <v>3033.5074955999999</v>
      </c>
    </row>
    <row r="32" spans="1:23" ht="24.95" customHeight="1">
      <c r="A32" s="3014"/>
      <c r="B32" s="3015"/>
      <c r="C32" s="3016"/>
      <c r="D32" s="3016"/>
      <c r="E32" s="3016"/>
      <c r="F32" s="3016"/>
      <c r="G32" s="3016"/>
      <c r="H32" s="3016"/>
      <c r="I32" s="3016"/>
      <c r="J32" s="3017"/>
      <c r="K32" s="3014"/>
      <c r="M32" s="3014"/>
      <c r="T32" s="2969">
        <f>R30*C30*365/10000</f>
        <v>3204.0071022500001</v>
      </c>
      <c r="U32" s="2969">
        <f>R30*I30*365/10000</f>
        <v>3047.7428277500003</v>
      </c>
    </row>
    <row r="33" spans="1:13" ht="24.95" customHeight="1">
      <c r="A33" s="3014"/>
      <c r="B33" s="3015"/>
      <c r="C33" s="3016"/>
      <c r="D33" s="3016"/>
      <c r="E33" s="3016"/>
      <c r="F33" s="3016"/>
      <c r="G33" s="3016"/>
      <c r="H33" s="3016">
        <f>I33/I31</f>
        <v>0.13846174500278913</v>
      </c>
      <c r="I33" s="3016">
        <f>I11+I12+I13</f>
        <v>12170.029999999999</v>
      </c>
      <c r="J33" s="3017"/>
      <c r="K33" s="3014"/>
      <c r="M33" s="3014"/>
    </row>
    <row r="34" spans="1:13" ht="24.95" customHeight="1"/>
    <row r="35" spans="1:13" ht="24.95" customHeight="1">
      <c r="J35" s="3018"/>
      <c r="K35" s="3019"/>
    </row>
    <row r="36" spans="1:13" ht="24.95" customHeight="1">
      <c r="I36" s="2970"/>
      <c r="J36" s="3018"/>
      <c r="K36" s="3019"/>
    </row>
    <row r="37" spans="1:13" ht="24.95" customHeight="1">
      <c r="I37" s="2970"/>
      <c r="J37" s="3018"/>
      <c r="K37" s="3019"/>
    </row>
    <row r="38" spans="1:13" ht="24.95" customHeight="1">
      <c r="I38" s="2970"/>
      <c r="J38" s="3018"/>
      <c r="K38" s="3019"/>
    </row>
    <row r="39" spans="1:13" ht="24.95" customHeight="1">
      <c r="I39" s="2970"/>
      <c r="J39" s="3018"/>
      <c r="K39" s="3019"/>
    </row>
    <row r="40" spans="1:13" ht="24.95" customHeight="1">
      <c r="I40" s="2970"/>
      <c r="J40" s="3018"/>
      <c r="K40" s="3019"/>
    </row>
    <row r="41" spans="1:13" ht="24.95" customHeight="1">
      <c r="I41" s="2970"/>
      <c r="J41" s="3018"/>
      <c r="K41" s="3019"/>
    </row>
    <row r="42" spans="1:13" ht="24.95" customHeight="1"/>
    <row r="43" spans="1:13" ht="24.95" customHeight="1"/>
  </sheetData>
  <autoFilter ref="A4:W33"/>
  <mergeCells count="14">
    <mergeCell ref="P3:P4"/>
    <mergeCell ref="Q3:Q4"/>
    <mergeCell ref="R3:R4"/>
    <mergeCell ref="S3:S4"/>
    <mergeCell ref="K5:K28"/>
    <mergeCell ref="B1:N1"/>
    <mergeCell ref="B3:B4"/>
    <mergeCell ref="C3:C4"/>
    <mergeCell ref="D3:I3"/>
    <mergeCell ref="J3:J4"/>
    <mergeCell ref="K3:K4"/>
    <mergeCell ref="L3:L4"/>
    <mergeCell ref="M3:M4"/>
    <mergeCell ref="N3:N4"/>
  </mergeCells>
  <phoneticPr fontId="144" type="noConversion"/>
  <printOptions horizontalCentered="1"/>
  <pageMargins left="0" right="0" top="0" bottom="0" header="0.31496062992126" footer="0.31496062992126"/>
  <pageSetup paperSize="9" scale="65"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2738</v>
      </c>
      <c r="B1" s="394"/>
      <c r="C1" s="395" t="s">
        <v>2739</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2321</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2323</v>
      </c>
      <c r="B3" s="608" t="e">
        <f>ROUND(IF(D3="",B2*10000/'数据-汇总表'!E3,B2*10000/D3),0)</f>
        <v>#DIV/0!</v>
      </c>
      <c r="C3" s="246" t="s">
        <v>2740</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2639</v>
      </c>
      <c r="B4" s="401"/>
      <c r="C4" s="3294" t="s">
        <v>2640</v>
      </c>
      <c r="D4" s="3295"/>
      <c r="E4" s="3296" t="s">
        <v>2641</v>
      </c>
      <c r="F4" s="3297"/>
      <c r="G4" s="3294" t="s">
        <v>2642</v>
      </c>
      <c r="H4" s="3295"/>
      <c r="I4" s="3294" t="s">
        <v>2643</v>
      </c>
      <c r="J4" s="3295"/>
      <c r="K4" s="609" t="s">
        <v>2644</v>
      </c>
      <c r="L4" s="1129"/>
      <c r="M4" s="1130"/>
      <c r="N4" s="1130"/>
      <c r="O4" s="1130"/>
      <c r="P4" s="3298" t="s">
        <v>2645</v>
      </c>
      <c r="Q4" s="3299"/>
      <c r="R4" s="3304" t="s">
        <v>2641</v>
      </c>
      <c r="S4" s="3305"/>
      <c r="T4" s="3304" t="s">
        <v>2642</v>
      </c>
      <c r="U4" s="3305"/>
      <c r="V4" s="3310" t="s">
        <v>2643</v>
      </c>
      <c r="W4" s="3310"/>
      <c r="X4" s="1812"/>
      <c r="Y4" s="3304" t="s">
        <v>2645</v>
      </c>
      <c r="Z4" s="3305"/>
      <c r="AA4" s="3291" t="s">
        <v>2641</v>
      </c>
      <c r="AB4" s="3292" t="s">
        <v>2642</v>
      </c>
      <c r="AC4" s="3291" t="s">
        <v>2643</v>
      </c>
    </row>
    <row r="5" spans="1:30" ht="15">
      <c r="A5" s="403"/>
      <c r="B5" s="404"/>
      <c r="C5" s="3313" t="s">
        <v>2536</v>
      </c>
      <c r="D5" s="3314"/>
      <c r="E5" s="3320" t="s">
        <v>2537</v>
      </c>
      <c r="F5" s="3321"/>
      <c r="G5" s="3313" t="s">
        <v>2538</v>
      </c>
      <c r="H5" s="3314"/>
      <c r="I5" s="3313" t="s">
        <v>2539</v>
      </c>
      <c r="J5" s="3314"/>
      <c r="K5" s="609"/>
      <c r="L5" s="1129"/>
      <c r="M5" s="1130"/>
      <c r="N5" s="1130"/>
      <c r="O5" s="1130"/>
      <c r="P5" s="3300"/>
      <c r="Q5" s="3301"/>
      <c r="R5" s="3306"/>
      <c r="S5" s="3307"/>
      <c r="T5" s="3306"/>
      <c r="U5" s="3307"/>
      <c r="V5" s="3310"/>
      <c r="W5" s="3310"/>
      <c r="X5" s="1812"/>
      <c r="Y5" s="3306"/>
      <c r="Z5" s="3307"/>
      <c r="AA5" s="3292"/>
      <c r="AB5" s="3292"/>
      <c r="AC5" s="3292"/>
    </row>
    <row r="6" spans="1:30" ht="15.75" thickBot="1">
      <c r="A6" s="405"/>
      <c r="B6" s="406"/>
      <c r="C6" s="3311" t="s">
        <v>2540</v>
      </c>
      <c r="D6" s="3312"/>
      <c r="E6" s="3318" t="s">
        <v>2540</v>
      </c>
      <c r="F6" s="3319"/>
      <c r="G6" s="3311" t="s">
        <v>2540</v>
      </c>
      <c r="H6" s="3312"/>
      <c r="I6" s="3311" t="s">
        <v>2540</v>
      </c>
      <c r="J6" s="3312"/>
      <c r="K6" s="609" t="s">
        <v>2541</v>
      </c>
      <c r="L6" s="1129"/>
      <c r="M6" s="1130"/>
      <c r="N6" s="1130"/>
      <c r="O6" s="1130"/>
      <c r="P6" s="3302"/>
      <c r="Q6" s="3303"/>
      <c r="R6" s="3306"/>
      <c r="S6" s="3307"/>
      <c r="T6" s="3308"/>
      <c r="U6" s="3309"/>
      <c r="V6" s="3310"/>
      <c r="W6" s="3310"/>
      <c r="X6" s="1812"/>
      <c r="Y6" s="3308"/>
      <c r="Z6" s="3309"/>
      <c r="AA6" s="3293"/>
      <c r="AB6" s="3293"/>
      <c r="AC6" s="3293"/>
    </row>
    <row r="7" spans="1:30" s="117" customFormat="1" ht="15.75" thickBot="1">
      <c r="A7" s="407" t="s">
        <v>2542</v>
      </c>
      <c r="B7" s="408"/>
      <c r="C7" s="409">
        <f>'数据-取费表'!B2</f>
        <v>43691</v>
      </c>
      <c r="D7" s="410">
        <v>100</v>
      </c>
      <c r="E7" s="411">
        <v>42309</v>
      </c>
      <c r="F7" s="412">
        <f>SUMIF(70:70,YEAR(E7)&amp;"-"&amp;INT((MONTH(E7)+2)/3),71:71)</f>
        <v>0</v>
      </c>
      <c r="G7" s="2694">
        <v>42309</v>
      </c>
      <c r="H7" s="410">
        <f>SUMIF(70:70,YEAR(G7)&amp;"-"&amp;INT((MONTH(G7)+2)/3),71:71)</f>
        <v>0</v>
      </c>
      <c r="I7" s="2694">
        <v>42036</v>
      </c>
      <c r="J7" s="410">
        <f>SUMIF(70:70,YEAR(I7)&amp;"-"&amp;INT((MONTH(I7)+2)/3),71:71)</f>
        <v>0</v>
      </c>
      <c r="K7" s="610"/>
      <c r="L7" s="1131"/>
      <c r="M7" s="1132"/>
      <c r="N7" s="1132"/>
      <c r="O7" s="1132"/>
      <c r="P7" s="3315" t="s">
        <v>2543</v>
      </c>
      <c r="Q7" s="3317"/>
      <c r="R7" s="769" t="s">
        <v>17</v>
      </c>
      <c r="S7" s="770">
        <f t="shared" ref="S7:S15" si="0">F7</f>
        <v>0</v>
      </c>
      <c r="T7" s="769" t="s">
        <v>17</v>
      </c>
      <c r="U7" s="770">
        <f t="shared" ref="U7:U15" si="1">H7</f>
        <v>0</v>
      </c>
      <c r="V7" s="769" t="s">
        <v>17</v>
      </c>
      <c r="W7" s="770">
        <f t="shared" ref="W7:W15" si="2">J7</f>
        <v>0</v>
      </c>
      <c r="X7" s="771"/>
      <c r="Y7" s="3315" t="s">
        <v>2543</v>
      </c>
      <c r="Z7" s="3316"/>
      <c r="AA7" s="772" t="e">
        <f>D7/F7</f>
        <v>#DIV/0!</v>
      </c>
      <c r="AB7" s="772" t="e">
        <f>D7/H7</f>
        <v>#DIV/0!</v>
      </c>
      <c r="AC7" s="772" t="e">
        <f>D7/J7</f>
        <v>#DIV/0!</v>
      </c>
    </row>
    <row r="8" spans="1:30" s="117" customFormat="1" ht="15.75" thickBot="1">
      <c r="A8" s="407" t="s">
        <v>2544</v>
      </c>
      <c r="B8" s="408"/>
      <c r="C8" s="413" t="s">
        <v>2545</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315" t="s">
        <v>2546</v>
      </c>
      <c r="Q8" s="3316"/>
      <c r="R8" s="769" t="s">
        <v>17</v>
      </c>
      <c r="S8" s="770">
        <f t="shared" si="0"/>
        <v>0</v>
      </c>
      <c r="T8" s="769" t="s">
        <v>17</v>
      </c>
      <c r="U8" s="770">
        <f t="shared" si="1"/>
        <v>0</v>
      </c>
      <c r="V8" s="769" t="s">
        <v>17</v>
      </c>
      <c r="W8" s="770">
        <f t="shared" si="2"/>
        <v>0</v>
      </c>
      <c r="X8" s="771"/>
      <c r="Y8" s="3315" t="s">
        <v>2546</v>
      </c>
      <c r="Z8" s="3316"/>
      <c r="AA8" s="772" t="e">
        <f t="shared" ref="AA8:AA45" si="3">D8/F8</f>
        <v>#DIV/0!</v>
      </c>
      <c r="AB8" s="772" t="e">
        <f t="shared" ref="AB8:AB45" si="4">D8/H8</f>
        <v>#DIV/0!</v>
      </c>
      <c r="AC8" s="772" t="e">
        <f t="shared" ref="AC8:AC45" si="5">D8/J8</f>
        <v>#DIV/0!</v>
      </c>
    </row>
    <row r="9" spans="1:30" s="117" customFormat="1">
      <c r="A9" s="414" t="s">
        <v>2547</v>
      </c>
      <c r="B9" s="71" t="s">
        <v>2548</v>
      </c>
      <c r="C9" s="2697"/>
      <c r="D9" s="134">
        <v>100</v>
      </c>
      <c r="E9" s="2697"/>
      <c r="F9" s="134">
        <f>SUMIF(75:75,E9,76:76)-SUMIF(75:75,C9,76:76)+100</f>
        <v>100</v>
      </c>
      <c r="G9" s="2697"/>
      <c r="H9" s="134">
        <f>SUMIF(75:75,G9,76:76)-SUMIF(75:75,C9,76:76)+100</f>
        <v>100</v>
      </c>
      <c r="I9" s="2697"/>
      <c r="J9" s="134">
        <f>SUMIF(75:75,I9,76:76)-SUMIF(75:75,C9,76:76)+100</f>
        <v>100</v>
      </c>
      <c r="K9" s="610"/>
      <c r="L9" s="1131"/>
      <c r="M9" s="1132"/>
      <c r="N9" s="1132"/>
      <c r="O9" s="1133"/>
      <c r="P9" s="3279" t="s">
        <v>2549</v>
      </c>
      <c r="Q9" s="1794" t="str">
        <f t="shared" ref="Q9:Q15" si="6">B9</f>
        <v>用途</v>
      </c>
      <c r="R9" s="769" t="s">
        <v>17</v>
      </c>
      <c r="S9" s="770">
        <f t="shared" si="0"/>
        <v>100</v>
      </c>
      <c r="T9" s="769" t="s">
        <v>17</v>
      </c>
      <c r="U9" s="770">
        <f t="shared" si="1"/>
        <v>100</v>
      </c>
      <c r="V9" s="769" t="s">
        <v>17</v>
      </c>
      <c r="W9" s="770">
        <f t="shared" si="2"/>
        <v>100</v>
      </c>
      <c r="X9" s="771"/>
      <c r="Y9" s="3077" t="s">
        <v>2550</v>
      </c>
      <c r="Z9" s="55" t="str">
        <f t="shared" ref="Z9:Z15" si="7">Q9</f>
        <v>用途</v>
      </c>
      <c r="AA9" s="772">
        <f t="shared" si="3"/>
        <v>1</v>
      </c>
      <c r="AB9" s="772">
        <f t="shared" si="4"/>
        <v>1</v>
      </c>
      <c r="AC9" s="772">
        <f t="shared" si="5"/>
        <v>1</v>
      </c>
    </row>
    <row r="10" spans="1:30" s="426" customFormat="1" ht="27">
      <c r="A10" s="420"/>
      <c r="B10" s="421" t="s">
        <v>2551</v>
      </c>
      <c r="C10" s="431"/>
      <c r="D10" s="135">
        <v>100</v>
      </c>
      <c r="E10" s="464"/>
      <c r="F10" s="135">
        <f>ROUND(100/'数据-取费表'!G16,0)</f>
        <v>123</v>
      </c>
      <c r="G10" s="462"/>
      <c r="H10" s="135">
        <f>ROUND(100/'数据-取费表'!G16,0)</f>
        <v>123</v>
      </c>
      <c r="I10" s="462"/>
      <c r="J10" s="135">
        <f>ROUND(100/'数据-取费表'!G16,0)</f>
        <v>123</v>
      </c>
      <c r="K10" s="671"/>
      <c r="L10" s="1134"/>
      <c r="M10" s="1135"/>
      <c r="N10" s="1135"/>
      <c r="O10" s="1136"/>
      <c r="P10" s="3279"/>
      <c r="Q10" s="1794" t="str">
        <f t="shared" si="6"/>
        <v>土地使用年限（年）</v>
      </c>
      <c r="R10" s="769" t="s">
        <v>17</v>
      </c>
      <c r="S10" s="770">
        <f t="shared" si="0"/>
        <v>123</v>
      </c>
      <c r="T10" s="769" t="s">
        <v>17</v>
      </c>
      <c r="U10" s="770">
        <f t="shared" si="1"/>
        <v>123</v>
      </c>
      <c r="V10" s="769" t="s">
        <v>17</v>
      </c>
      <c r="W10" s="770">
        <f t="shared" si="2"/>
        <v>123</v>
      </c>
      <c r="X10" s="771"/>
      <c r="Y10" s="3077"/>
      <c r="Z10" s="55" t="str">
        <f t="shared" si="7"/>
        <v>土地使用年限（年）</v>
      </c>
      <c r="AA10" s="772">
        <f t="shared" si="3"/>
        <v>0.81300813008130079</v>
      </c>
      <c r="AB10" s="772">
        <f t="shared" si="4"/>
        <v>0.81300813008130079</v>
      </c>
      <c r="AC10" s="772">
        <f t="shared" si="5"/>
        <v>0.81300813008130079</v>
      </c>
    </row>
    <row r="11" spans="1:30" ht="15">
      <c r="A11" s="427"/>
      <c r="B11" s="421" t="s">
        <v>2552</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7"/>
      <c r="M11" s="1130"/>
      <c r="N11" s="1130"/>
      <c r="O11" s="1138"/>
      <c r="P11" s="3279"/>
      <c r="Q11" s="1794" t="str">
        <f t="shared" si="6"/>
        <v>容积率</v>
      </c>
      <c r="R11" s="769" t="s">
        <v>17</v>
      </c>
      <c r="S11" s="770" t="e">
        <f t="shared" si="0"/>
        <v>#N/A</v>
      </c>
      <c r="T11" s="769" t="s">
        <v>17</v>
      </c>
      <c r="U11" s="770" t="e">
        <f t="shared" si="1"/>
        <v>#N/A</v>
      </c>
      <c r="V11" s="769" t="s">
        <v>17</v>
      </c>
      <c r="W11" s="770" t="e">
        <f t="shared" si="2"/>
        <v>#N/A</v>
      </c>
      <c r="X11" s="771"/>
      <c r="Y11" s="3077"/>
      <c r="Z11" s="55" t="str">
        <f t="shared" si="7"/>
        <v>容积率</v>
      </c>
      <c r="AA11" s="772" t="e">
        <f t="shared" si="3"/>
        <v>#N/A</v>
      </c>
      <c r="AB11" s="772" t="e">
        <f t="shared" si="4"/>
        <v>#N/A</v>
      </c>
      <c r="AC11" s="772" t="e">
        <f t="shared" si="5"/>
        <v>#N/A</v>
      </c>
    </row>
    <row r="12" spans="1:30" s="117" customFormat="1" ht="15">
      <c r="A12" s="430"/>
      <c r="B12" s="2598" t="s">
        <v>2741</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279"/>
      <c r="Q12" s="1794" t="str">
        <f t="shared" si="6"/>
        <v>配建</v>
      </c>
      <c r="R12" s="769" t="s">
        <v>17</v>
      </c>
      <c r="S12" s="770">
        <f t="shared" si="0"/>
        <v>100</v>
      </c>
      <c r="T12" s="769" t="s">
        <v>17</v>
      </c>
      <c r="U12" s="770">
        <f t="shared" si="1"/>
        <v>100</v>
      </c>
      <c r="V12" s="769" t="s">
        <v>17</v>
      </c>
      <c r="W12" s="770">
        <f t="shared" si="2"/>
        <v>100</v>
      </c>
      <c r="X12" s="771"/>
      <c r="Y12" s="3077"/>
      <c r="Z12" s="55" t="str">
        <f t="shared" si="7"/>
        <v>配建</v>
      </c>
      <c r="AA12" s="772">
        <f>D12/F12</f>
        <v>1</v>
      </c>
      <c r="AB12" s="772">
        <f>D12/H12</f>
        <v>1</v>
      </c>
      <c r="AC12" s="772">
        <f>D12/J12</f>
        <v>1</v>
      </c>
    </row>
    <row r="13" spans="1:30" ht="15">
      <c r="A13" s="427"/>
      <c r="B13" s="2598">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279"/>
      <c r="Q13" s="1794">
        <f t="shared" si="6"/>
        <v>111</v>
      </c>
      <c r="R13" s="769" t="s">
        <v>17</v>
      </c>
      <c r="S13" s="770">
        <f t="shared" si="0"/>
        <v>100</v>
      </c>
      <c r="T13" s="769" t="s">
        <v>17</v>
      </c>
      <c r="U13" s="770">
        <f t="shared" si="1"/>
        <v>100</v>
      </c>
      <c r="V13" s="769" t="s">
        <v>17</v>
      </c>
      <c r="W13" s="770">
        <f t="shared" si="2"/>
        <v>100</v>
      </c>
      <c r="X13" s="771"/>
      <c r="Y13" s="3077"/>
      <c r="Z13" s="55">
        <f t="shared" si="7"/>
        <v>111</v>
      </c>
      <c r="AA13" s="772">
        <f>D13/F13</f>
        <v>1</v>
      </c>
      <c r="AB13" s="772">
        <f>D13/H13</f>
        <v>1</v>
      </c>
      <c r="AC13" s="772">
        <f>D13/J13</f>
        <v>1</v>
      </c>
    </row>
    <row r="14" spans="1:30" ht="15.75" thickBot="1">
      <c r="A14" s="435"/>
      <c r="B14" s="2600">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79"/>
      <c r="Q14" s="1794">
        <f t="shared" si="6"/>
        <v>111</v>
      </c>
      <c r="R14" s="769" t="s">
        <v>17</v>
      </c>
      <c r="S14" s="770">
        <f t="shared" si="0"/>
        <v>100</v>
      </c>
      <c r="T14" s="769" t="s">
        <v>17</v>
      </c>
      <c r="U14" s="770">
        <f t="shared" si="1"/>
        <v>100</v>
      </c>
      <c r="V14" s="769" t="s">
        <v>17</v>
      </c>
      <c r="W14" s="770">
        <f t="shared" si="2"/>
        <v>100</v>
      </c>
      <c r="X14" s="771"/>
      <c r="Y14" s="3077"/>
      <c r="Z14" s="55">
        <f t="shared" si="7"/>
        <v>111</v>
      </c>
      <c r="AA14" s="772">
        <f>D14/F14</f>
        <v>1</v>
      </c>
      <c r="AB14" s="772">
        <f>D14/H14</f>
        <v>1</v>
      </c>
      <c r="AC14" s="772">
        <f>D14/J14</f>
        <v>1</v>
      </c>
    </row>
    <row r="15" spans="1:30" ht="99.75">
      <c r="A15" s="439" t="s">
        <v>2553</v>
      </c>
      <c r="B15" s="69" t="s">
        <v>2083</v>
      </c>
      <c r="C15" s="2601"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281" t="s">
        <v>2554</v>
      </c>
      <c r="Q15" s="1809" t="str">
        <f t="shared" si="6"/>
        <v>居住社区成熟度</v>
      </c>
      <c r="R15" s="773" t="s">
        <v>17</v>
      </c>
      <c r="S15" s="774">
        <f t="shared" si="0"/>
        <v>100</v>
      </c>
      <c r="T15" s="773" t="s">
        <v>17</v>
      </c>
      <c r="U15" s="774">
        <f t="shared" si="1"/>
        <v>100</v>
      </c>
      <c r="V15" s="773" t="s">
        <v>17</v>
      </c>
      <c r="W15" s="774">
        <f t="shared" si="2"/>
        <v>100</v>
      </c>
      <c r="X15" s="1812"/>
      <c r="Y15" s="3281" t="s">
        <v>2554</v>
      </c>
      <c r="Z15" s="1813" t="str">
        <f t="shared" si="7"/>
        <v>居住社区成熟度</v>
      </c>
      <c r="AA15" s="1810">
        <f t="shared" si="3"/>
        <v>1</v>
      </c>
      <c r="AB15" s="1810">
        <f t="shared" si="4"/>
        <v>1</v>
      </c>
      <c r="AC15" s="1810">
        <f t="shared" si="5"/>
        <v>1</v>
      </c>
    </row>
    <row r="16" spans="1:30" ht="15">
      <c r="A16" s="427"/>
      <c r="B16" s="445"/>
      <c r="C16" s="446"/>
      <c r="D16" s="447"/>
      <c r="E16" s="2603"/>
      <c r="F16" s="447"/>
      <c r="G16" s="2603"/>
      <c r="H16" s="449"/>
      <c r="I16" s="2602"/>
      <c r="J16" s="447"/>
      <c r="K16" s="671"/>
      <c r="L16" s="1139"/>
      <c r="M16" s="1130"/>
      <c r="N16" s="1130"/>
      <c r="O16" s="1138"/>
      <c r="P16" s="3282"/>
      <c r="Q16" s="1809"/>
      <c r="R16" s="773"/>
      <c r="S16" s="774"/>
      <c r="T16" s="773"/>
      <c r="U16" s="774"/>
      <c r="V16" s="773"/>
      <c r="W16" s="774"/>
      <c r="X16" s="1812"/>
      <c r="Y16" s="3282"/>
      <c r="Z16" s="1813"/>
      <c r="AA16" s="1810">
        <v>1</v>
      </c>
      <c r="AB16" s="1810">
        <v>1</v>
      </c>
      <c r="AC16" s="1810">
        <v>1</v>
      </c>
    </row>
    <row r="17" spans="1:29" ht="71.25">
      <c r="A17" s="427"/>
      <c r="B17" s="450" t="s">
        <v>2647</v>
      </c>
      <c r="C17" s="2662"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282"/>
      <c r="Q17" s="1809" t="str">
        <f>B17</f>
        <v>商业繁华度</v>
      </c>
      <c r="R17" s="773" t="s">
        <v>17</v>
      </c>
      <c r="S17" s="774">
        <f>F17</f>
        <v>100</v>
      </c>
      <c r="T17" s="773" t="s">
        <v>17</v>
      </c>
      <c r="U17" s="774">
        <f>H17</f>
        <v>100</v>
      </c>
      <c r="V17" s="773" t="s">
        <v>17</v>
      </c>
      <c r="W17" s="774">
        <f>J17</f>
        <v>100</v>
      </c>
      <c r="X17" s="1812"/>
      <c r="Y17" s="3282"/>
      <c r="Z17" s="1813" t="str">
        <f>Q17</f>
        <v>商业繁华度</v>
      </c>
      <c r="AA17" s="1810">
        <f t="shared" si="3"/>
        <v>1</v>
      </c>
      <c r="AB17" s="1810">
        <f t="shared" si="4"/>
        <v>1</v>
      </c>
      <c r="AC17" s="1810">
        <f t="shared" si="5"/>
        <v>1</v>
      </c>
    </row>
    <row r="18" spans="1:29" ht="15">
      <c r="A18" s="427"/>
      <c r="B18" s="455"/>
      <c r="C18" s="2606"/>
      <c r="D18" s="449"/>
      <c r="E18" s="2608"/>
      <c r="F18" s="449"/>
      <c r="G18" s="2608"/>
      <c r="H18" s="447"/>
      <c r="I18" s="2607"/>
      <c r="J18" s="447"/>
      <c r="K18" s="671"/>
      <c r="L18" s="1139"/>
      <c r="M18" s="1130"/>
      <c r="N18" s="1130"/>
      <c r="O18" s="1138"/>
      <c r="P18" s="3282"/>
      <c r="Q18" s="1809"/>
      <c r="R18" s="773"/>
      <c r="S18" s="774"/>
      <c r="T18" s="773"/>
      <c r="U18" s="774"/>
      <c r="V18" s="773"/>
      <c r="W18" s="774"/>
      <c r="X18" s="1812"/>
      <c r="Y18" s="3282"/>
      <c r="Z18" s="1813"/>
      <c r="AA18" s="1810">
        <v>1</v>
      </c>
      <c r="AB18" s="1810">
        <v>1</v>
      </c>
      <c r="AC18" s="1810">
        <v>1</v>
      </c>
    </row>
    <row r="19" spans="1:29" ht="71.25">
      <c r="A19" s="427"/>
      <c r="B19" s="450" t="s">
        <v>2681</v>
      </c>
      <c r="C19" s="2662"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82"/>
      <c r="Q19" s="1809" t="str">
        <f>B19</f>
        <v>办公集聚程度</v>
      </c>
      <c r="R19" s="773" t="s">
        <v>17</v>
      </c>
      <c r="S19" s="774">
        <f>F19</f>
        <v>100</v>
      </c>
      <c r="T19" s="773" t="s">
        <v>17</v>
      </c>
      <c r="U19" s="774">
        <f>H19</f>
        <v>100</v>
      </c>
      <c r="V19" s="773" t="s">
        <v>17</v>
      </c>
      <c r="W19" s="774">
        <f>J19</f>
        <v>100</v>
      </c>
      <c r="X19" s="1812"/>
      <c r="Y19" s="3282"/>
      <c r="Z19" s="1813" t="str">
        <f>Q19</f>
        <v>办公集聚程度</v>
      </c>
      <c r="AA19" s="1810">
        <f t="shared" si="3"/>
        <v>1</v>
      </c>
      <c r="AB19" s="1810">
        <f t="shared" si="4"/>
        <v>1</v>
      </c>
      <c r="AC19" s="1810">
        <f t="shared" si="5"/>
        <v>1</v>
      </c>
    </row>
    <row r="20" spans="1:29" ht="15">
      <c r="A20" s="427"/>
      <c r="B20" s="455"/>
      <c r="C20" s="446"/>
      <c r="D20" s="447"/>
      <c r="E20" s="2603"/>
      <c r="F20" s="447"/>
      <c r="G20" s="2603"/>
      <c r="H20" s="447"/>
      <c r="I20" s="2602"/>
      <c r="J20" s="447"/>
      <c r="K20" s="671"/>
      <c r="L20" s="1139"/>
      <c r="M20" s="1130"/>
      <c r="N20" s="1130"/>
      <c r="O20" s="1138"/>
      <c r="P20" s="3282"/>
      <c r="Q20" s="1809"/>
      <c r="R20" s="773"/>
      <c r="S20" s="774"/>
      <c r="T20" s="773"/>
      <c r="U20" s="774"/>
      <c r="V20" s="773"/>
      <c r="W20" s="774"/>
      <c r="X20" s="1812"/>
      <c r="Y20" s="3282"/>
      <c r="Z20" s="1813"/>
      <c r="AA20" s="1810">
        <v>1</v>
      </c>
      <c r="AB20" s="1810">
        <v>1</v>
      </c>
      <c r="AC20" s="1810">
        <v>1</v>
      </c>
    </row>
    <row r="21" spans="1:29" ht="85.5">
      <c r="A21" s="427"/>
      <c r="B21" s="450" t="s">
        <v>2703</v>
      </c>
      <c r="C21" s="2605"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282"/>
      <c r="Q21" s="1809" t="str">
        <f>B21</f>
        <v>交通便捷度</v>
      </c>
      <c r="R21" s="773" t="s">
        <v>17</v>
      </c>
      <c r="S21" s="774">
        <f>F21</f>
        <v>100</v>
      </c>
      <c r="T21" s="773" t="s">
        <v>17</v>
      </c>
      <c r="U21" s="774">
        <f>H21</f>
        <v>100</v>
      </c>
      <c r="V21" s="773" t="s">
        <v>17</v>
      </c>
      <c r="W21" s="774">
        <f>J21</f>
        <v>100</v>
      </c>
      <c r="X21" s="1812"/>
      <c r="Y21" s="3282"/>
      <c r="Z21" s="1813" t="str">
        <f>Q21</f>
        <v>交通便捷度</v>
      </c>
      <c r="AA21" s="1810">
        <f t="shared" si="3"/>
        <v>1</v>
      </c>
      <c r="AB21" s="1810">
        <f t="shared" si="4"/>
        <v>1</v>
      </c>
      <c r="AC21" s="1810">
        <f t="shared" si="5"/>
        <v>1</v>
      </c>
    </row>
    <row r="22" spans="1:29" ht="15">
      <c r="A22" s="427"/>
      <c r="B22" s="1383"/>
      <c r="C22" s="446"/>
      <c r="D22" s="449"/>
      <c r="E22" s="2603"/>
      <c r="F22" s="447"/>
      <c r="G22" s="2603"/>
      <c r="H22" s="447"/>
      <c r="I22" s="2602"/>
      <c r="J22" s="447"/>
      <c r="K22" s="671"/>
      <c r="L22" s="1139"/>
      <c r="M22" s="1130"/>
      <c r="N22" s="1130"/>
      <c r="O22" s="1138"/>
      <c r="P22" s="3282"/>
      <c r="Q22" s="1809"/>
      <c r="R22" s="773"/>
      <c r="S22" s="774"/>
      <c r="T22" s="773"/>
      <c r="U22" s="774"/>
      <c r="V22" s="773"/>
      <c r="W22" s="774"/>
      <c r="X22" s="1812"/>
      <c r="Y22" s="3282"/>
      <c r="Z22" s="1813"/>
      <c r="AA22" s="1810">
        <v>1</v>
      </c>
      <c r="AB22" s="1810">
        <v>1</v>
      </c>
      <c r="AC22" s="1810">
        <v>1</v>
      </c>
    </row>
    <row r="23" spans="1:29" ht="15">
      <c r="A23" s="403"/>
      <c r="B23" s="450" t="s">
        <v>2742</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82"/>
      <c r="Q23" s="1809" t="str">
        <f t="shared" ref="Q23:Q37" si="8">B23</f>
        <v>区域土地利用方向</v>
      </c>
      <c r="R23" s="773" t="s">
        <v>17</v>
      </c>
      <c r="S23" s="774">
        <f>F23</f>
        <v>100</v>
      </c>
      <c r="T23" s="773" t="s">
        <v>17</v>
      </c>
      <c r="U23" s="774">
        <f>H23</f>
        <v>100</v>
      </c>
      <c r="V23" s="773" t="s">
        <v>17</v>
      </c>
      <c r="W23" s="774">
        <f>J23</f>
        <v>100</v>
      </c>
      <c r="X23" s="1812"/>
      <c r="Y23" s="3282"/>
      <c r="Z23" s="1813" t="str">
        <f>Q23</f>
        <v>区域土地利用方向</v>
      </c>
      <c r="AA23" s="1810">
        <f t="shared" si="3"/>
        <v>1</v>
      </c>
      <c r="AB23" s="1810">
        <f t="shared" si="4"/>
        <v>1</v>
      </c>
      <c r="AC23" s="1810">
        <f t="shared" si="5"/>
        <v>1</v>
      </c>
    </row>
    <row r="24" spans="1:29" ht="15">
      <c r="A24" s="403"/>
      <c r="B24" s="455"/>
      <c r="C24" s="615"/>
      <c r="D24" s="447"/>
      <c r="E24" s="2603"/>
      <c r="F24" s="447"/>
      <c r="G24" s="2602"/>
      <c r="H24" s="447"/>
      <c r="I24" s="2602"/>
      <c r="J24" s="447"/>
      <c r="K24" s="811"/>
      <c r="L24" s="1139"/>
      <c r="M24" s="1130"/>
      <c r="N24" s="1130"/>
      <c r="O24" s="1138"/>
      <c r="P24" s="3282"/>
      <c r="Q24" s="1809"/>
      <c r="R24" s="773"/>
      <c r="S24" s="774"/>
      <c r="T24" s="773"/>
      <c r="U24" s="774"/>
      <c r="V24" s="773"/>
      <c r="W24" s="774"/>
      <c r="X24" s="1812"/>
      <c r="Y24" s="3282"/>
      <c r="Z24" s="1813"/>
      <c r="AA24" s="1810"/>
      <c r="AB24" s="1810"/>
      <c r="AC24" s="1810"/>
    </row>
    <row r="25" spans="1:29" ht="57">
      <c r="A25" s="403"/>
      <c r="B25" s="1383" t="s">
        <v>2743</v>
      </c>
      <c r="C25" s="2662"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282"/>
      <c r="Q25" s="1809" t="str">
        <f t="shared" si="8"/>
        <v>自然及人文环境状况</v>
      </c>
      <c r="R25" s="773" t="s">
        <v>17</v>
      </c>
      <c r="S25" s="774">
        <f>F25</f>
        <v>100</v>
      </c>
      <c r="T25" s="773" t="s">
        <v>17</v>
      </c>
      <c r="U25" s="774">
        <f>H25</f>
        <v>100</v>
      </c>
      <c r="V25" s="773" t="s">
        <v>17</v>
      </c>
      <c r="W25" s="774">
        <f>J25</f>
        <v>100</v>
      </c>
      <c r="X25" s="1812"/>
      <c r="Y25" s="3282"/>
      <c r="Z25" s="1813" t="str">
        <f>Q25</f>
        <v>自然及人文环境状况</v>
      </c>
      <c r="AA25" s="1810">
        <f t="shared" si="3"/>
        <v>1</v>
      </c>
      <c r="AB25" s="1810">
        <f t="shared" si="4"/>
        <v>1</v>
      </c>
      <c r="AC25" s="1810">
        <f t="shared" si="5"/>
        <v>1</v>
      </c>
    </row>
    <row r="26" spans="1:29" ht="15">
      <c r="A26" s="403"/>
      <c r="B26" s="455"/>
      <c r="C26" s="446"/>
      <c r="D26" s="447"/>
      <c r="E26" s="2609"/>
      <c r="F26" s="447"/>
      <c r="G26" s="2609"/>
      <c r="H26" s="447"/>
      <c r="I26" s="446"/>
      <c r="J26" s="447"/>
      <c r="K26" s="671"/>
      <c r="L26" s="1139"/>
      <c r="M26" s="1130"/>
      <c r="N26" s="1130"/>
      <c r="O26" s="1138"/>
      <c r="P26" s="3282"/>
      <c r="Q26" s="1809"/>
      <c r="R26" s="773"/>
      <c r="S26" s="774"/>
      <c r="T26" s="773"/>
      <c r="U26" s="774"/>
      <c r="V26" s="773"/>
      <c r="W26" s="774"/>
      <c r="X26" s="1812"/>
      <c r="Y26" s="3282"/>
      <c r="Z26" s="1813"/>
      <c r="AA26" s="1810">
        <v>1</v>
      </c>
      <c r="AB26" s="1810">
        <v>1</v>
      </c>
      <c r="AC26" s="1810">
        <v>1</v>
      </c>
    </row>
    <row r="27" spans="1:29" s="117" customFormat="1" ht="42.75">
      <c r="A27" s="648"/>
      <c r="B27" s="1383" t="s">
        <v>2648</v>
      </c>
      <c r="C27" s="2605"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282"/>
      <c r="Q27" s="1794" t="str">
        <f t="shared" si="8"/>
        <v>公共配套设施</v>
      </c>
      <c r="R27" s="769" t="s">
        <v>17</v>
      </c>
      <c r="S27" s="770">
        <f>F27</f>
        <v>100</v>
      </c>
      <c r="T27" s="769" t="s">
        <v>17</v>
      </c>
      <c r="U27" s="770">
        <f>H27</f>
        <v>100</v>
      </c>
      <c r="V27" s="769" t="s">
        <v>17</v>
      </c>
      <c r="W27" s="770">
        <f>J27</f>
        <v>100</v>
      </c>
      <c r="X27" s="771"/>
      <c r="Y27" s="3282"/>
      <c r="Z27" s="55" t="str">
        <f>Q27</f>
        <v>公共配套设施</v>
      </c>
      <c r="AA27" s="1810">
        <f>D27/F27</f>
        <v>1</v>
      </c>
      <c r="AB27" s="1810">
        <f>D27/H27</f>
        <v>1</v>
      </c>
      <c r="AC27" s="1810">
        <f>D27/J27</f>
        <v>1</v>
      </c>
    </row>
    <row r="28" spans="1:29" s="117" customFormat="1" ht="15">
      <c r="A28" s="648"/>
      <c r="B28" s="455"/>
      <c r="C28" s="2698"/>
      <c r="D28" s="447"/>
      <c r="E28" s="2609"/>
      <c r="F28" s="447"/>
      <c r="G28" s="2609"/>
      <c r="H28" s="447"/>
      <c r="I28" s="446"/>
      <c r="J28" s="447"/>
      <c r="K28" s="671"/>
      <c r="L28" s="1131"/>
      <c r="M28" s="1132"/>
      <c r="N28" s="1132"/>
      <c r="O28" s="1133"/>
      <c r="P28" s="3282"/>
      <c r="Q28" s="1794"/>
      <c r="R28" s="769"/>
      <c r="S28" s="770"/>
      <c r="T28" s="769"/>
      <c r="U28" s="770"/>
      <c r="V28" s="769"/>
      <c r="W28" s="770"/>
      <c r="X28" s="771"/>
      <c r="Y28" s="3282"/>
      <c r="Z28" s="55"/>
      <c r="AA28" s="1810">
        <v>1</v>
      </c>
      <c r="AB28" s="1810">
        <v>1</v>
      </c>
      <c r="AC28" s="1810">
        <v>1</v>
      </c>
    </row>
    <row r="29" spans="1:29" s="117" customFormat="1" ht="28.5">
      <c r="A29" s="648"/>
      <c r="B29" s="1383" t="s">
        <v>2649</v>
      </c>
      <c r="C29" s="2605"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282"/>
      <c r="Q29" s="1794" t="str">
        <f t="shared" ref="Q29" si="9">B29</f>
        <v>基础设施水平</v>
      </c>
      <c r="R29" s="769" t="s">
        <v>17</v>
      </c>
      <c r="S29" s="770">
        <f>F29</f>
        <v>100</v>
      </c>
      <c r="T29" s="769" t="s">
        <v>17</v>
      </c>
      <c r="U29" s="770">
        <f>H29</f>
        <v>100</v>
      </c>
      <c r="V29" s="769" t="s">
        <v>17</v>
      </c>
      <c r="W29" s="770">
        <f>J29</f>
        <v>100</v>
      </c>
      <c r="X29" s="771"/>
      <c r="Y29" s="3282"/>
      <c r="Z29" s="55" t="str">
        <f>Q29</f>
        <v>基础设施水平</v>
      </c>
      <c r="AA29" s="1810">
        <f>D29/F29</f>
        <v>1</v>
      </c>
      <c r="AB29" s="1810">
        <f>D29/H29</f>
        <v>1</v>
      </c>
      <c r="AC29" s="1810">
        <f>D29/J29</f>
        <v>1</v>
      </c>
    </row>
    <row r="30" spans="1:29" s="117" customFormat="1" ht="15">
      <c r="A30" s="648"/>
      <c r="B30" s="455"/>
      <c r="C30" s="2698"/>
      <c r="D30" s="447"/>
      <c r="E30" s="2699"/>
      <c r="F30" s="447"/>
      <c r="G30" s="2699"/>
      <c r="H30" s="447"/>
      <c r="I30" s="2699"/>
      <c r="J30" s="447"/>
      <c r="K30" s="671"/>
      <c r="L30" s="1131"/>
      <c r="M30" s="1132"/>
      <c r="N30" s="1132"/>
      <c r="O30" s="1133"/>
      <c r="P30" s="3282"/>
      <c r="Q30" s="1794"/>
      <c r="R30" s="769"/>
      <c r="S30" s="770"/>
      <c r="T30" s="769"/>
      <c r="U30" s="770"/>
      <c r="V30" s="769"/>
      <c r="W30" s="770"/>
      <c r="X30" s="771"/>
      <c r="Y30" s="3282"/>
      <c r="Z30" s="55"/>
      <c r="AA30" s="1810">
        <v>1</v>
      </c>
      <c r="AB30" s="1810">
        <v>1</v>
      </c>
      <c r="AC30" s="1810">
        <v>1</v>
      </c>
    </row>
    <row r="31" spans="1:29" ht="15">
      <c r="A31" s="427"/>
      <c r="B31" s="455" t="s">
        <v>2650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82"/>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282"/>
      <c r="Z31" s="1813" t="str">
        <f t="shared" ref="Z31:Z45" si="13">Q31</f>
        <v>临街状况</v>
      </c>
      <c r="AA31" s="1810">
        <f t="shared" si="3"/>
        <v>1</v>
      </c>
      <c r="AB31" s="1810">
        <f t="shared" si="4"/>
        <v>1</v>
      </c>
      <c r="AC31" s="1810">
        <f t="shared" si="5"/>
        <v>1</v>
      </c>
    </row>
    <row r="32" spans="1:29" ht="27">
      <c r="A32" s="427"/>
      <c r="B32" s="1383" t="s">
        <v>2685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282"/>
      <c r="Q32" s="1809" t="str">
        <f t="shared" si="8"/>
        <v>毗邻道路的类型与等级</v>
      </c>
      <c r="R32" s="773" t="s">
        <v>17</v>
      </c>
      <c r="S32" s="774">
        <f t="shared" si="10"/>
        <v>100</v>
      </c>
      <c r="T32" s="773" t="s">
        <v>17</v>
      </c>
      <c r="U32" s="774">
        <f t="shared" si="11"/>
        <v>100</v>
      </c>
      <c r="V32" s="773" t="s">
        <v>17</v>
      </c>
      <c r="W32" s="774">
        <f t="shared" si="12"/>
        <v>100</v>
      </c>
      <c r="X32" s="1812"/>
      <c r="Y32" s="3282"/>
      <c r="Z32" s="1813" t="str">
        <f t="shared" si="13"/>
        <v>毗邻道路的类型与等级</v>
      </c>
      <c r="AA32" s="1810">
        <f t="shared" si="3"/>
        <v>1</v>
      </c>
      <c r="AB32" s="1810">
        <f t="shared" si="4"/>
        <v>1</v>
      </c>
      <c r="AC32" s="1810">
        <f t="shared" si="5"/>
        <v>1</v>
      </c>
    </row>
    <row r="33" spans="1:29" ht="15">
      <c r="A33" s="427"/>
      <c r="B33" s="455"/>
      <c r="C33" s="446"/>
      <c r="D33" s="447"/>
      <c r="E33" s="2609"/>
      <c r="F33" s="447"/>
      <c r="G33" s="2609"/>
      <c r="H33" s="447"/>
      <c r="I33" s="446"/>
      <c r="J33" s="447"/>
      <c r="K33" s="612"/>
      <c r="L33" s="1139"/>
      <c r="M33" s="1130"/>
      <c r="N33" s="1130"/>
      <c r="O33" s="1138"/>
      <c r="P33" s="3282"/>
      <c r="Q33" s="1809"/>
      <c r="R33" s="773"/>
      <c r="S33" s="774"/>
      <c r="T33" s="773"/>
      <c r="U33" s="774"/>
      <c r="V33" s="773"/>
      <c r="W33" s="774"/>
      <c r="X33" s="1812"/>
      <c r="Y33" s="3282"/>
      <c r="Z33" s="1813"/>
      <c r="AA33" s="1810">
        <v>1</v>
      </c>
      <c r="AB33" s="1810">
        <v>1</v>
      </c>
      <c r="AC33" s="1810">
        <v>1</v>
      </c>
    </row>
    <row r="34" spans="1:29" ht="15">
      <c r="A34" s="427"/>
      <c r="B34" s="421" t="s">
        <v>2744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82"/>
      <c r="Q34" s="1809" t="str">
        <f t="shared" si="8"/>
        <v>土地级别</v>
      </c>
      <c r="R34" s="773" t="s">
        <v>17</v>
      </c>
      <c r="S34" s="774">
        <f t="shared" si="10"/>
        <v>100</v>
      </c>
      <c r="T34" s="773" t="s">
        <v>17</v>
      </c>
      <c r="U34" s="774">
        <f t="shared" si="11"/>
        <v>100</v>
      </c>
      <c r="V34" s="773" t="s">
        <v>17</v>
      </c>
      <c r="W34" s="774">
        <f t="shared" si="12"/>
        <v>100</v>
      </c>
      <c r="X34" s="1812"/>
      <c r="Y34" s="3282"/>
      <c r="Z34" s="1813" t="str">
        <f t="shared" si="13"/>
        <v>土地级别</v>
      </c>
      <c r="AA34" s="1810">
        <f t="shared" si="3"/>
        <v>1</v>
      </c>
      <c r="AB34" s="1810">
        <f t="shared" si="4"/>
        <v>1</v>
      </c>
      <c r="AC34" s="1810">
        <f t="shared" si="5"/>
        <v>1</v>
      </c>
    </row>
    <row r="35" spans="1:29" ht="15">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82"/>
      <c r="Q35" s="1809">
        <f t="shared" si="8"/>
        <v>111</v>
      </c>
      <c r="R35" s="773" t="s">
        <v>17</v>
      </c>
      <c r="S35" s="774">
        <f t="shared" si="10"/>
        <v>100</v>
      </c>
      <c r="T35" s="773" t="s">
        <v>17</v>
      </c>
      <c r="U35" s="774">
        <f t="shared" si="11"/>
        <v>100</v>
      </c>
      <c r="V35" s="773" t="s">
        <v>17</v>
      </c>
      <c r="W35" s="774">
        <f t="shared" si="12"/>
        <v>100</v>
      </c>
      <c r="X35" s="1812"/>
      <c r="Y35" s="3282"/>
      <c r="Z35" s="1813">
        <f t="shared" si="13"/>
        <v>111</v>
      </c>
      <c r="AA35" s="1810">
        <f t="shared" si="3"/>
        <v>1</v>
      </c>
      <c r="AB35" s="1810">
        <f t="shared" si="4"/>
        <v>1</v>
      </c>
      <c r="AC35" s="1810">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337" t="s">
        <v>2559</v>
      </c>
      <c r="Q36" s="1809">
        <f t="shared" si="8"/>
        <v>111</v>
      </c>
      <c r="R36" s="773" t="s">
        <v>17</v>
      </c>
      <c r="S36" s="774">
        <f t="shared" si="10"/>
        <v>100</v>
      </c>
      <c r="T36" s="773" t="s">
        <v>17</v>
      </c>
      <c r="U36" s="774">
        <f t="shared" si="11"/>
        <v>100</v>
      </c>
      <c r="V36" s="773" t="s">
        <v>17</v>
      </c>
      <c r="W36" s="774">
        <f t="shared" si="12"/>
        <v>100</v>
      </c>
      <c r="X36" s="1812"/>
      <c r="Y36" s="3286" t="s">
        <v>2559</v>
      </c>
      <c r="Z36" s="1813">
        <f t="shared" si="13"/>
        <v>111</v>
      </c>
      <c r="AA36" s="1810">
        <f t="shared" si="3"/>
        <v>1</v>
      </c>
      <c r="AB36" s="1810">
        <f t="shared" si="4"/>
        <v>1</v>
      </c>
      <c r="AC36" s="1810">
        <f t="shared" si="5"/>
        <v>1</v>
      </c>
    </row>
    <row r="37" spans="1:29" s="470" customFormat="1" ht="15.75"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86"/>
      <c r="Q37" s="1809">
        <f t="shared" si="8"/>
        <v>111</v>
      </c>
      <c r="R37" s="776" t="s">
        <v>17</v>
      </c>
      <c r="S37" s="777">
        <f t="shared" si="10"/>
        <v>100</v>
      </c>
      <c r="T37" s="776" t="s">
        <v>17</v>
      </c>
      <c r="U37" s="777">
        <f t="shared" si="11"/>
        <v>100</v>
      </c>
      <c r="V37" s="776" t="s">
        <v>17</v>
      </c>
      <c r="W37" s="777">
        <f t="shared" si="12"/>
        <v>100</v>
      </c>
      <c r="X37" s="778"/>
      <c r="Y37" s="3286"/>
      <c r="Z37" s="779">
        <f t="shared" si="13"/>
        <v>111</v>
      </c>
      <c r="AA37" s="1810">
        <f t="shared" si="3"/>
        <v>1</v>
      </c>
      <c r="AB37" s="1810">
        <f t="shared" si="4"/>
        <v>1</v>
      </c>
      <c r="AC37" s="1810">
        <f t="shared" si="5"/>
        <v>1</v>
      </c>
    </row>
    <row r="38" spans="1:29" ht="15">
      <c r="A38" s="471" t="s">
        <v>2557</v>
      </c>
      <c r="B38" s="455" t="s">
        <v>2745</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286"/>
      <c r="Q38" s="1809" t="str">
        <f>B38</f>
        <v>宗地面积</v>
      </c>
      <c r="R38" s="773" t="s">
        <v>17</v>
      </c>
      <c r="S38" s="774" t="e">
        <f t="shared" si="10"/>
        <v>#N/A</v>
      </c>
      <c r="T38" s="773" t="s">
        <v>17</v>
      </c>
      <c r="U38" s="774" t="e">
        <f t="shared" si="11"/>
        <v>#N/A</v>
      </c>
      <c r="V38" s="773" t="s">
        <v>17</v>
      </c>
      <c r="W38" s="774" t="e">
        <f t="shared" si="12"/>
        <v>#N/A</v>
      </c>
      <c r="X38" s="1812"/>
      <c r="Y38" s="3286"/>
      <c r="Z38" s="1813" t="str">
        <f t="shared" si="13"/>
        <v>宗地面积</v>
      </c>
      <c r="AA38" s="1810" t="e">
        <f t="shared" si="3"/>
        <v>#N/A</v>
      </c>
      <c r="AB38" s="1810" t="e">
        <f t="shared" si="4"/>
        <v>#N/A</v>
      </c>
      <c r="AC38" s="1810" t="e">
        <f t="shared" si="5"/>
        <v>#N/A</v>
      </c>
    </row>
    <row r="39" spans="1:29" ht="15">
      <c r="A39" s="471"/>
      <c r="B39" s="421" t="s">
        <v>2746</v>
      </c>
      <c r="C39" s="2611"/>
      <c r="D39" s="434">
        <v>100</v>
      </c>
      <c r="E39" s="2611"/>
      <c r="F39" s="434">
        <f>SUMIF(119:119,E39,120:120)-SUMIF(119:119,C39,120:120)+100</f>
        <v>100</v>
      </c>
      <c r="G39" s="2611"/>
      <c r="H39" s="434">
        <f>SUMIF(119:119,G39,120:120)-SUMIF(119:119,C39,120:120)+100</f>
        <v>100</v>
      </c>
      <c r="I39" s="2611"/>
      <c r="J39" s="434">
        <f>SUMIF(119:119,I39,120:120)-SUMIF(119:119,C39,120:120)+100</f>
        <v>100</v>
      </c>
      <c r="K39" s="611"/>
      <c r="L39" s="1139"/>
      <c r="M39" s="1130"/>
      <c r="N39" s="1130"/>
      <c r="O39" s="1138"/>
      <c r="P39" s="3286"/>
      <c r="Q39" s="1809" t="str">
        <f t="shared" ref="Q39:Q45" si="14">B39</f>
        <v>宗地形状</v>
      </c>
      <c r="R39" s="773" t="s">
        <v>17</v>
      </c>
      <c r="S39" s="774">
        <f t="shared" si="10"/>
        <v>100</v>
      </c>
      <c r="T39" s="773" t="s">
        <v>17</v>
      </c>
      <c r="U39" s="774">
        <f t="shared" si="11"/>
        <v>100</v>
      </c>
      <c r="V39" s="773" t="s">
        <v>17</v>
      </c>
      <c r="W39" s="774">
        <f t="shared" si="12"/>
        <v>100</v>
      </c>
      <c r="X39" s="1812"/>
      <c r="Y39" s="3286"/>
      <c r="Z39" s="1813" t="str">
        <f t="shared" si="13"/>
        <v>宗地形状</v>
      </c>
      <c r="AA39" s="1810">
        <f t="shared" si="3"/>
        <v>1</v>
      </c>
      <c r="AB39" s="1810">
        <f t="shared" si="4"/>
        <v>1</v>
      </c>
      <c r="AC39" s="1810">
        <f t="shared" si="5"/>
        <v>1</v>
      </c>
    </row>
    <row r="40" spans="1:29" ht="15">
      <c r="A40" s="471"/>
      <c r="B40" s="421" t="s">
        <v>2747</v>
      </c>
      <c r="C40" s="2611"/>
      <c r="D40" s="434">
        <v>100</v>
      </c>
      <c r="E40" s="2611"/>
      <c r="F40" s="434">
        <f>SUMIF(121:121,E40,122:122)-SUMIF(121:121,C40,122:122)+100</f>
        <v>100</v>
      </c>
      <c r="G40" s="2611"/>
      <c r="H40" s="434">
        <f>SUMIF(121:121,G40,122:122)-SUMIF(121:121,C40,122:122)+100</f>
        <v>100</v>
      </c>
      <c r="I40" s="2611"/>
      <c r="J40" s="434">
        <f>SUMIF(121:121,I40,122:122)-SUMIF(121:121,C40,122:122)+100</f>
        <v>100</v>
      </c>
      <c r="K40" s="611"/>
      <c r="L40" s="1139"/>
      <c r="M40" s="1130"/>
      <c r="N40" s="1130"/>
      <c r="O40" s="1138"/>
      <c r="P40" s="3286"/>
      <c r="Q40" s="1809" t="str">
        <f t="shared" si="14"/>
        <v>临街宽度及深度</v>
      </c>
      <c r="R40" s="773" t="s">
        <v>17</v>
      </c>
      <c r="S40" s="774">
        <f t="shared" si="10"/>
        <v>100</v>
      </c>
      <c r="T40" s="773" t="s">
        <v>17</v>
      </c>
      <c r="U40" s="774">
        <f t="shared" si="11"/>
        <v>100</v>
      </c>
      <c r="V40" s="773" t="s">
        <v>17</v>
      </c>
      <c r="W40" s="774">
        <f t="shared" si="12"/>
        <v>100</v>
      </c>
      <c r="X40" s="1812"/>
      <c r="Y40" s="3286"/>
      <c r="Z40" s="1813" t="str">
        <f t="shared" si="13"/>
        <v>临街宽度及深度</v>
      </c>
      <c r="AA40" s="1810">
        <f t="shared" si="3"/>
        <v>1</v>
      </c>
      <c r="AB40" s="1810">
        <f t="shared" si="4"/>
        <v>1</v>
      </c>
      <c r="AC40" s="1810">
        <f t="shared" si="5"/>
        <v>1</v>
      </c>
    </row>
    <row r="41" spans="1:29" s="117" customFormat="1" ht="15">
      <c r="A41" s="472"/>
      <c r="B41" s="421" t="s">
        <v>2748</v>
      </c>
      <c r="C41" s="2700"/>
      <c r="D41" s="135">
        <v>100</v>
      </c>
      <c r="E41" s="2700"/>
      <c r="F41" s="434">
        <f>SUMIF(123:123,E41,124:124)-SUMIF(123:123,C41,124:124)+100</f>
        <v>100</v>
      </c>
      <c r="G41" s="2700"/>
      <c r="H41" s="434">
        <f>SUMIF(123:123,G41,124:124)-SUMIF(123:123,C41,124:124)+100</f>
        <v>100</v>
      </c>
      <c r="I41" s="2700"/>
      <c r="J41" s="434">
        <f>SUMIF(123:123,I41,124:124)-SUMIF(123:123,C41,124:124)+100</f>
        <v>100</v>
      </c>
      <c r="K41" s="611"/>
      <c r="L41" s="1131"/>
      <c r="M41" s="1132"/>
      <c r="N41" s="1132"/>
      <c r="O41" s="1133"/>
      <c r="P41" s="3286"/>
      <c r="Q41" s="1809" t="str">
        <f t="shared" si="14"/>
        <v>宗地开发程度</v>
      </c>
      <c r="R41" s="769" t="s">
        <v>17</v>
      </c>
      <c r="S41" s="770">
        <f t="shared" si="10"/>
        <v>100</v>
      </c>
      <c r="T41" s="769" t="s">
        <v>17</v>
      </c>
      <c r="U41" s="770">
        <f t="shared" si="11"/>
        <v>100</v>
      </c>
      <c r="V41" s="769" t="s">
        <v>17</v>
      </c>
      <c r="W41" s="770">
        <f t="shared" si="12"/>
        <v>100</v>
      </c>
      <c r="X41" s="771"/>
      <c r="Y41" s="3286"/>
      <c r="Z41" s="55" t="str">
        <f t="shared" si="13"/>
        <v>宗地开发程度</v>
      </c>
      <c r="AA41" s="772">
        <f t="shared" si="3"/>
        <v>1</v>
      </c>
      <c r="AB41" s="772">
        <f t="shared" si="4"/>
        <v>1</v>
      </c>
      <c r="AC41" s="772">
        <f t="shared" si="5"/>
        <v>1</v>
      </c>
    </row>
    <row r="42" spans="1:29" ht="15">
      <c r="A42" s="471"/>
      <c r="B42" s="421" t="s">
        <v>2749</v>
      </c>
      <c r="C42" s="2611"/>
      <c r="D42" s="434">
        <v>100</v>
      </c>
      <c r="E42" s="2611"/>
      <c r="F42" s="434">
        <f>SUMIF(125:125,E42,126:126)-SUMIF(125:125,C42,126:126)+100</f>
        <v>100</v>
      </c>
      <c r="G42" s="2611"/>
      <c r="H42" s="434">
        <f>SUMIF(125:125,G42,126:126)-SUMIF(125:125,C42,126:126)+100</f>
        <v>100</v>
      </c>
      <c r="I42" s="2611"/>
      <c r="J42" s="434">
        <f>SUMIF(125:125,I42,126:126)-SUMIF(125:125,C42,126:126)+100</f>
        <v>100</v>
      </c>
      <c r="K42" s="611"/>
      <c r="L42" s="1139"/>
      <c r="M42" s="1130"/>
      <c r="N42" s="1130"/>
      <c r="O42" s="1138"/>
      <c r="P42" s="3286" t="s">
        <v>2559</v>
      </c>
      <c r="Q42" s="1809" t="str">
        <f t="shared" si="14"/>
        <v>工程地质条件</v>
      </c>
      <c r="R42" s="773" t="s">
        <v>17</v>
      </c>
      <c r="S42" s="774">
        <f t="shared" si="10"/>
        <v>100</v>
      </c>
      <c r="T42" s="773" t="s">
        <v>17</v>
      </c>
      <c r="U42" s="774">
        <f t="shared" si="11"/>
        <v>100</v>
      </c>
      <c r="V42" s="773" t="s">
        <v>17</v>
      </c>
      <c r="W42" s="774">
        <f t="shared" si="12"/>
        <v>100</v>
      </c>
      <c r="X42" s="1812"/>
      <c r="Y42" s="3286" t="s">
        <v>2559</v>
      </c>
      <c r="Z42" s="1813" t="str">
        <f t="shared" si="13"/>
        <v>工程地质条件</v>
      </c>
      <c r="AA42" s="1810">
        <f t="shared" si="3"/>
        <v>1</v>
      </c>
      <c r="AB42" s="1810">
        <f t="shared" si="4"/>
        <v>1</v>
      </c>
      <c r="AC42" s="1810">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86"/>
      <c r="Q43" s="1809">
        <f t="shared" si="14"/>
        <v>111</v>
      </c>
      <c r="R43" s="773" t="s">
        <v>17</v>
      </c>
      <c r="S43" s="774">
        <f t="shared" si="10"/>
        <v>100</v>
      </c>
      <c r="T43" s="773" t="s">
        <v>17</v>
      </c>
      <c r="U43" s="774">
        <f t="shared" si="11"/>
        <v>100</v>
      </c>
      <c r="V43" s="773" t="s">
        <v>17</v>
      </c>
      <c r="W43" s="774">
        <f t="shared" si="12"/>
        <v>100</v>
      </c>
      <c r="X43" s="1812"/>
      <c r="Y43" s="3286"/>
      <c r="Z43" s="1813">
        <f t="shared" si="13"/>
        <v>111</v>
      </c>
      <c r="AA43" s="1810">
        <f t="shared" si="3"/>
        <v>1</v>
      </c>
      <c r="AB43" s="1810">
        <f t="shared" si="4"/>
        <v>1</v>
      </c>
      <c r="AC43" s="1810">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86"/>
      <c r="Q44" s="1809">
        <f t="shared" si="14"/>
        <v>111</v>
      </c>
      <c r="R44" s="773" t="s">
        <v>17</v>
      </c>
      <c r="S44" s="774">
        <f t="shared" si="10"/>
        <v>100</v>
      </c>
      <c r="T44" s="773" t="s">
        <v>17</v>
      </c>
      <c r="U44" s="774">
        <f t="shared" si="11"/>
        <v>100</v>
      </c>
      <c r="V44" s="773" t="s">
        <v>17</v>
      </c>
      <c r="W44" s="774">
        <f t="shared" si="12"/>
        <v>100</v>
      </c>
      <c r="X44" s="1812"/>
      <c r="Y44" s="3286"/>
      <c r="Z44" s="1813">
        <f t="shared" si="13"/>
        <v>111</v>
      </c>
      <c r="AA44" s="1810">
        <f t="shared" si="3"/>
        <v>1</v>
      </c>
      <c r="AB44" s="1810">
        <f t="shared" si="4"/>
        <v>1</v>
      </c>
      <c r="AC44" s="1810">
        <f t="shared" si="5"/>
        <v>1</v>
      </c>
    </row>
    <row r="45" spans="1:29" s="470" customFormat="1" ht="15.75" thickBot="1">
      <c r="A45" s="467"/>
      <c r="B45" s="1386">
        <v>111</v>
      </c>
      <c r="C45" s="2701"/>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86"/>
      <c r="Q45" s="1809">
        <f t="shared" si="14"/>
        <v>111</v>
      </c>
      <c r="R45" s="776" t="s">
        <v>17</v>
      </c>
      <c r="S45" s="777">
        <f t="shared" si="10"/>
        <v>100</v>
      </c>
      <c r="T45" s="776" t="s">
        <v>17</v>
      </c>
      <c r="U45" s="777">
        <f t="shared" si="11"/>
        <v>100</v>
      </c>
      <c r="V45" s="776" t="s">
        <v>17</v>
      </c>
      <c r="W45" s="777">
        <f t="shared" si="12"/>
        <v>100</v>
      </c>
      <c r="X45" s="778"/>
      <c r="Y45" s="3286"/>
      <c r="Z45" s="779">
        <f t="shared" si="13"/>
        <v>111</v>
      </c>
      <c r="AA45" s="1810">
        <f t="shared" si="3"/>
        <v>1</v>
      </c>
      <c r="AB45" s="1810">
        <f t="shared" si="4"/>
        <v>1</v>
      </c>
      <c r="AC45" s="1810">
        <f t="shared" si="5"/>
        <v>1</v>
      </c>
    </row>
    <row r="46" spans="1:29" ht="15">
      <c r="A46" s="478" t="s">
        <v>2714</v>
      </c>
      <c r="B46" s="2702" t="s">
        <v>2750</v>
      </c>
      <c r="C46" s="681" t="s">
        <v>1</v>
      </c>
      <c r="D46" s="480"/>
      <c r="E46" s="481"/>
      <c r="F46" s="482"/>
      <c r="G46" s="483"/>
      <c r="H46" s="484"/>
      <c r="I46" s="481"/>
      <c r="J46" s="484"/>
      <c r="K46" s="782"/>
      <c r="L46" s="1142"/>
      <c r="M46" s="1143"/>
      <c r="N46" s="1130"/>
      <c r="O46" s="1143"/>
      <c r="P46" s="3279" t="str">
        <f>A46</f>
        <v>成交单价</v>
      </c>
      <c r="Q46" s="3279"/>
      <c r="R46" s="3310">
        <f>E46</f>
        <v>0</v>
      </c>
      <c r="S46" s="3310"/>
      <c r="T46" s="3310">
        <f>G46</f>
        <v>0</v>
      </c>
      <c r="U46" s="3310"/>
      <c r="V46" s="3310">
        <f>I46</f>
        <v>0</v>
      </c>
      <c r="W46" s="3310"/>
      <c r="X46" s="758"/>
      <c r="Y46" s="780"/>
      <c r="Z46" s="758"/>
      <c r="AA46" s="758"/>
      <c r="AB46" s="758"/>
      <c r="AC46" s="758"/>
    </row>
    <row r="47" spans="1:29" ht="15.75" thickBot="1">
      <c r="A47" s="485" t="s">
        <v>2663</v>
      </c>
      <c r="B47" s="682"/>
      <c r="C47" s="489" t="e">
        <f>R48</f>
        <v>#DIV/0!</v>
      </c>
      <c r="D47" s="488"/>
      <c r="E47" s="489" t="e">
        <f>R47</f>
        <v>#DIV/0!</v>
      </c>
      <c r="F47" s="490"/>
      <c r="G47" s="487" t="e">
        <f>T47</f>
        <v>#DIV/0!</v>
      </c>
      <c r="H47" s="488"/>
      <c r="I47" s="489" t="e">
        <f>V47</f>
        <v>#DIV/0!</v>
      </c>
      <c r="J47" s="488"/>
      <c r="K47" s="783"/>
      <c r="L47" s="1142"/>
      <c r="M47" s="1143"/>
      <c r="N47" s="1143"/>
      <c r="O47" s="1143"/>
      <c r="P47" s="3279" t="str">
        <f>A47</f>
        <v>比较价值（元/平方米）</v>
      </c>
      <c r="Q47" s="3279"/>
      <c r="R47" s="3353" t="e">
        <f>ROUND(PRODUCT(R46,AA7:AA45),0)</f>
        <v>#DIV/0!</v>
      </c>
      <c r="S47" s="3353"/>
      <c r="T47" s="3353" t="e">
        <f>ROUND(PRODUCT(T46,AB7:AB45),0)</f>
        <v>#DIV/0!</v>
      </c>
      <c r="U47" s="3353"/>
      <c r="V47" s="3353" t="e">
        <f>ROUND(PRODUCT(V46,AC7:AC45),0)</f>
        <v>#DIV/0!</v>
      </c>
      <c r="W47" s="3353"/>
      <c r="X47" s="758"/>
      <c r="Y47" s="758"/>
      <c r="Z47" s="758"/>
      <c r="AA47" s="758"/>
      <c r="AB47" s="758"/>
      <c r="AC47" s="758"/>
    </row>
    <row r="48" spans="1:29" ht="15.75" thickBot="1">
      <c r="A48" s="491" t="s">
        <v>2751</v>
      </c>
      <c r="B48" s="492"/>
      <c r="C48" s="493" t="e">
        <f>R48</f>
        <v>#DIV/0!</v>
      </c>
      <c r="D48" s="493"/>
      <c r="E48" s="493"/>
      <c r="F48" s="493"/>
      <c r="G48" s="493"/>
      <c r="H48" s="493"/>
      <c r="I48" s="493"/>
      <c r="J48" s="493"/>
      <c r="K48" s="784"/>
      <c r="L48" s="1142"/>
      <c r="M48" s="1143"/>
      <c r="N48" s="1143"/>
      <c r="O48" s="1143"/>
      <c r="P48" s="3276" t="str">
        <f>A48</f>
        <v>估价对象XX用房的比较价值（楼面单价，元/平方米）</v>
      </c>
      <c r="Q48" s="3277"/>
      <c r="R48" s="3354" t="e">
        <f>ROUND(AVERAGE(R47:V47),0)</f>
        <v>#DIV/0!</v>
      </c>
      <c r="S48" s="3354"/>
      <c r="T48" s="3354"/>
      <c r="U48" s="3354"/>
      <c r="V48" s="3354"/>
      <c r="W48" s="3354"/>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2665</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2666</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2667</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2752</v>
      </c>
      <c r="B55" s="684" t="s">
        <v>2753</v>
      </c>
      <c r="C55" s="2703" t="s">
        <v>2754</v>
      </c>
      <c r="D55" s="2704" t="s">
        <v>2755</v>
      </c>
      <c r="E55" s="685" t="s">
        <v>2756</v>
      </c>
      <c r="F55" s="1106" t="s">
        <v>2757</v>
      </c>
      <c r="G55" s="3294" t="s">
        <v>2758</v>
      </c>
      <c r="H55" s="3355"/>
      <c r="I55" s="143" t="s">
        <v>2759</v>
      </c>
      <c r="J55" s="2705">
        <f>项目基本情况!F35</f>
        <v>0</v>
      </c>
      <c r="K55" s="2706" t="s">
        <v>2760</v>
      </c>
      <c r="L55" s="1105"/>
      <c r="M55" s="1143"/>
      <c r="N55" s="1143"/>
      <c r="O55" s="1143"/>
    </row>
    <row r="56" spans="1:15" s="691" customFormat="1">
      <c r="A56" s="687" t="s">
        <v>2761</v>
      </c>
      <c r="B56" s="688" t="e">
        <f>C48</f>
        <v>#DIV/0!</v>
      </c>
      <c r="C56" s="689">
        <v>1</v>
      </c>
      <c r="D56" s="1162">
        <v>1</v>
      </c>
      <c r="E56" s="689">
        <f>'数据-汇总表'!E8+'数据-汇总表'!E9</f>
        <v>83197.549999999988</v>
      </c>
      <c r="F56" s="1102" t="e">
        <f t="shared" ref="F56:F65" si="15">ROUND(B56*E56/10000,0)</f>
        <v>#DIV/0!</v>
      </c>
      <c r="G56" s="3290"/>
      <c r="H56" s="3279"/>
      <c r="I56" s="1107">
        <v>1</v>
      </c>
      <c r="J56" s="1110">
        <v>1</v>
      </c>
      <c r="K56" s="1144"/>
      <c r="L56" s="940"/>
      <c r="M56" s="940"/>
      <c r="N56" s="940"/>
      <c r="O56" s="940"/>
    </row>
    <row r="57" spans="1:15" s="691" customFormat="1">
      <c r="A57" s="692" t="s">
        <v>2762</v>
      </c>
      <c r="B57" s="261" t="e">
        <f>ROUND($C$48*C57*D57,0)</f>
        <v>#DIV/0!</v>
      </c>
      <c r="C57" s="199">
        <f t="shared" ref="C57:C65" si="16">IF($C$55="北京市系数",I57,J57)</f>
        <v>0</v>
      </c>
      <c r="D57" s="1163">
        <v>0.25</v>
      </c>
      <c r="E57" s="693"/>
      <c r="F57" s="1102" t="e">
        <f t="shared" si="15"/>
        <v>#DIV/0!</v>
      </c>
      <c r="G57" s="3356" t="s">
        <v>2763</v>
      </c>
      <c r="H57" s="1103">
        <f>项目基本情况!B37</f>
        <v>0</v>
      </c>
      <c r="I57" s="1107">
        <f>SUMIF(修正!A45:A56,H57,修正!B45:B56)</f>
        <v>0</v>
      </c>
      <c r="J57" s="1111"/>
      <c r="K57" s="1143"/>
      <c r="L57" s="940"/>
      <c r="M57" s="940"/>
      <c r="N57" s="940"/>
      <c r="O57" s="940"/>
    </row>
    <row r="58" spans="1:15" s="691" customFormat="1">
      <c r="A58" s="692" t="s">
        <v>2764</v>
      </c>
      <c r="B58" s="261" t="e">
        <f t="shared" ref="B58:B65" si="17">ROUND($C$48*C58*D58,0)</f>
        <v>#DIV/0!</v>
      </c>
      <c r="C58" s="199">
        <f t="shared" si="16"/>
        <v>0</v>
      </c>
      <c r="D58" s="1163">
        <v>0.25</v>
      </c>
      <c r="E58" s="693"/>
      <c r="F58" s="1102" t="e">
        <f t="shared" si="15"/>
        <v>#DIV/0!</v>
      </c>
      <c r="G58" s="3356"/>
      <c r="H58" s="1103">
        <f>项目基本情况!B37</f>
        <v>0</v>
      </c>
      <c r="I58" s="1107">
        <f>SUMIF(修正!A45:A56,H58,修正!C45:C56)</f>
        <v>0</v>
      </c>
      <c r="J58" s="1111"/>
      <c r="K58" s="1144"/>
      <c r="L58" s="940"/>
      <c r="M58" s="940"/>
      <c r="N58" s="940"/>
      <c r="O58" s="940"/>
    </row>
    <row r="59" spans="1:15" s="691" customFormat="1">
      <c r="A59" s="692" t="s">
        <v>2765</v>
      </c>
      <c r="B59" s="261" t="e">
        <f t="shared" si="17"/>
        <v>#DIV/0!</v>
      </c>
      <c r="C59" s="199">
        <f t="shared" si="16"/>
        <v>0</v>
      </c>
      <c r="D59" s="1163">
        <v>0.25</v>
      </c>
      <c r="E59" s="693"/>
      <c r="F59" s="1102" t="e">
        <f t="shared" si="15"/>
        <v>#DIV/0!</v>
      </c>
      <c r="G59" s="3356"/>
      <c r="H59" s="1103">
        <f>项目基本情况!B37</f>
        <v>0</v>
      </c>
      <c r="I59" s="1107">
        <f>SUMIF(修正!A45:A56,H59,修正!D45:D56)</f>
        <v>0</v>
      </c>
      <c r="J59" s="1111"/>
      <c r="K59" s="1143"/>
      <c r="L59" s="940"/>
      <c r="M59" s="940"/>
      <c r="N59" s="940"/>
      <c r="O59" s="940"/>
    </row>
    <row r="60" spans="1:15" s="691" customFormat="1">
      <c r="A60" s="692" t="s">
        <v>2766</v>
      </c>
      <c r="B60" s="261" t="e">
        <f t="shared" si="17"/>
        <v>#DIV/0!</v>
      </c>
      <c r="C60" s="199">
        <f t="shared" si="16"/>
        <v>0</v>
      </c>
      <c r="D60" s="1163">
        <v>0.25</v>
      </c>
      <c r="E60" s="693"/>
      <c r="F60" s="1102" t="e">
        <f t="shared" si="15"/>
        <v>#DIV/0!</v>
      </c>
      <c r="G60" s="3356"/>
      <c r="H60" s="1103">
        <f>项目基本情况!B37</f>
        <v>0</v>
      </c>
      <c r="I60" s="1107">
        <f>SUMIF(修正!A45:A56,H60,修正!E45:E56)</f>
        <v>0</v>
      </c>
      <c r="J60" s="1111"/>
      <c r="K60" s="1144"/>
      <c r="L60" s="940"/>
      <c r="M60" s="940"/>
      <c r="N60" s="940"/>
      <c r="O60" s="940"/>
    </row>
    <row r="61" spans="1:15" s="691" customFormat="1">
      <c r="A61" s="692" t="s">
        <v>2767</v>
      </c>
      <c r="B61" s="261" t="e">
        <f t="shared" si="17"/>
        <v>#DIV/0!</v>
      </c>
      <c r="C61" s="199">
        <f t="shared" si="16"/>
        <v>0</v>
      </c>
      <c r="D61" s="1163">
        <v>0.25</v>
      </c>
      <c r="E61" s="260">
        <f>'数据-汇总表'!E11</f>
        <v>0</v>
      </c>
      <c r="F61" s="1102" t="e">
        <f t="shared" si="15"/>
        <v>#DIV/0!</v>
      </c>
      <c r="G61" s="2707" t="s">
        <v>2768</v>
      </c>
      <c r="H61" s="1103">
        <f>项目基本情况!C37</f>
        <v>0</v>
      </c>
      <c r="I61" s="1107">
        <f>SUMIF(修正!A45:A56,H61,修正!F45:F56)</f>
        <v>0</v>
      </c>
      <c r="J61" s="1111"/>
      <c r="K61" s="1143"/>
      <c r="L61" s="940"/>
      <c r="M61" s="940"/>
      <c r="N61" s="940"/>
      <c r="O61" s="940"/>
    </row>
    <row r="62" spans="1:15" s="691" customFormat="1">
      <c r="A62" s="692" t="s">
        <v>2769</v>
      </c>
      <c r="B62" s="261" t="e">
        <f t="shared" si="17"/>
        <v>#DIV/0!</v>
      </c>
      <c r="C62" s="199">
        <f t="shared" si="16"/>
        <v>0</v>
      </c>
      <c r="D62" s="1163">
        <v>0.25</v>
      </c>
      <c r="E62" s="260">
        <f>'数据-汇总表'!E12</f>
        <v>0</v>
      </c>
      <c r="F62" s="1102" t="e">
        <f t="shared" si="15"/>
        <v>#DIV/0!</v>
      </c>
      <c r="G62" s="1108" t="s">
        <v>2770</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2771</v>
      </c>
      <c r="B63" s="261" t="e">
        <f t="shared" si="17"/>
        <v>#DIV/0!</v>
      </c>
      <c r="C63" s="199">
        <f t="shared" si="16"/>
        <v>0</v>
      </c>
      <c r="D63" s="1163">
        <v>0.25</v>
      </c>
      <c r="E63" s="260">
        <f>'数据-汇总表'!E13</f>
        <v>0</v>
      </c>
      <c r="F63" s="1102" t="e">
        <f t="shared" si="15"/>
        <v>#DIV/0!</v>
      </c>
      <c r="G63" s="1108" t="s">
        <v>2772</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2773</v>
      </c>
      <c r="B64" s="261" t="e">
        <f t="shared" si="17"/>
        <v>#DIV/0!</v>
      </c>
      <c r="C64" s="199">
        <f t="shared" si="16"/>
        <v>0</v>
      </c>
      <c r="D64" s="1163">
        <v>0.25</v>
      </c>
      <c r="E64" s="260">
        <f>'数据-汇总表'!E14</f>
        <v>0</v>
      </c>
      <c r="F64" s="1102" t="e">
        <f t="shared" si="15"/>
        <v>#DIV/0!</v>
      </c>
      <c r="G64" s="2707" t="s">
        <v>2763</v>
      </c>
      <c r="H64" s="1103">
        <f>项目基本情况!B37</f>
        <v>0</v>
      </c>
      <c r="I64" s="1107">
        <f>SUMIF(修正!A45:A56,H64,修正!H45:H56)</f>
        <v>0</v>
      </c>
      <c r="J64" s="1111"/>
      <c r="K64" s="1144"/>
      <c r="L64" s="940"/>
      <c r="M64" s="940"/>
      <c r="N64" s="940"/>
      <c r="O64" s="940"/>
    </row>
    <row r="65" spans="1:17" s="691" customFormat="1" ht="15" thickBot="1">
      <c r="A65" s="692" t="s">
        <v>2774</v>
      </c>
      <c r="B65" s="261" t="e">
        <f t="shared" si="17"/>
        <v>#DIV/0!</v>
      </c>
      <c r="C65" s="199">
        <f t="shared" si="16"/>
        <v>0</v>
      </c>
      <c r="D65" s="1163">
        <v>0.25</v>
      </c>
      <c r="E65" s="260">
        <f>'数据-汇总表'!E15</f>
        <v>0</v>
      </c>
      <c r="F65" s="1102" t="e">
        <f t="shared" si="15"/>
        <v>#DIV/0!</v>
      </c>
      <c r="G65" s="2708" t="s">
        <v>2768</v>
      </c>
      <c r="H65" s="1113">
        <f>项目基本情况!C37</f>
        <v>0</v>
      </c>
      <c r="I65" s="1109">
        <f>SUMIF(修正!A45:A56,H65,修正!H45:H56)</f>
        <v>0</v>
      </c>
      <c r="J65" s="1112"/>
      <c r="K65" s="1143"/>
      <c r="L65" s="940"/>
      <c r="M65" s="940"/>
      <c r="N65" s="940"/>
      <c r="O65" s="940"/>
    </row>
    <row r="66" spans="1:17" s="691" customFormat="1" ht="13.5" thickBot="1">
      <c r="A66" s="694" t="s">
        <v>2775</v>
      </c>
      <c r="B66" s="695" t="s">
        <v>28</v>
      </c>
      <c r="C66" s="695" t="s">
        <v>29</v>
      </c>
      <c r="D66" s="695" t="s">
        <v>1026</v>
      </c>
      <c r="E66" s="695">
        <f>IF(B46="楼面地价",SUM(E56:E65),'数据-汇总表'!D3)</f>
        <v>83197.549999999988</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2019-8-1</v>
      </c>
      <c r="D68" s="760">
        <f>EDATE(C68,-3)</f>
        <v>43586</v>
      </c>
      <c r="E68" s="760">
        <f>EDATE(D68,-3)</f>
        <v>43497</v>
      </c>
      <c r="F68" s="760">
        <f t="shared" ref="F68:O68" si="18">EDATE(E68,-3)</f>
        <v>43405</v>
      </c>
      <c r="G68" s="760">
        <f t="shared" si="18"/>
        <v>43313</v>
      </c>
      <c r="H68" s="760">
        <f t="shared" si="18"/>
        <v>43221</v>
      </c>
      <c r="I68" s="760">
        <f t="shared" si="18"/>
        <v>43132</v>
      </c>
      <c r="J68" s="760">
        <f t="shared" si="18"/>
        <v>43040</v>
      </c>
      <c r="K68" s="760">
        <f t="shared" si="18"/>
        <v>42948</v>
      </c>
      <c r="L68" s="760">
        <f t="shared" si="18"/>
        <v>42856</v>
      </c>
      <c r="M68" s="760">
        <f t="shared" si="18"/>
        <v>42767</v>
      </c>
      <c r="N68" s="760">
        <f t="shared" si="18"/>
        <v>42675</v>
      </c>
      <c r="O68" s="760">
        <f t="shared" si="18"/>
        <v>42583</v>
      </c>
    </row>
    <row r="69" spans="1:17" ht="21.75" thickBot="1">
      <c r="A69" s="762" t="s">
        <v>2668</v>
      </c>
      <c r="B69" s="758"/>
      <c r="C69" s="763"/>
      <c r="D69" s="763"/>
      <c r="E69" s="763"/>
      <c r="F69" s="764"/>
      <c r="G69" s="764"/>
      <c r="H69" s="763"/>
      <c r="I69" s="763"/>
      <c r="J69" s="1158"/>
      <c r="K69" s="1159"/>
      <c r="L69" s="1160"/>
      <c r="M69" s="1158"/>
      <c r="N69" s="1158"/>
      <c r="O69" s="1158"/>
      <c r="P69" s="502"/>
      <c r="Q69" s="503"/>
    </row>
    <row r="70" spans="1:17" s="507" customFormat="1" ht="15">
      <c r="A70" s="2709" t="s">
        <v>2776</v>
      </c>
      <c r="B70" s="1358"/>
      <c r="C70" s="1571" t="str">
        <f>YEAR(C68)&amp;"-"&amp;ROUNDUP(MONTH(C68)/3,0)</f>
        <v>2019-3</v>
      </c>
      <c r="D70" s="1571" t="str">
        <f>YEAR(D68)&amp;"-"&amp;ROUNDUP(MONTH(D68)/3,0)</f>
        <v>2019-2</v>
      </c>
      <c r="E70" s="1571" t="str">
        <f t="shared" ref="E70:O70" si="19">YEAR(E68)&amp;"-"&amp;ROUNDUP(MONTH(E68)/3,0)</f>
        <v>2019-1</v>
      </c>
      <c r="F70" s="1571" t="str">
        <f t="shared" si="19"/>
        <v>2018-4</v>
      </c>
      <c r="G70" s="1571" t="str">
        <f t="shared" si="19"/>
        <v>2018-3</v>
      </c>
      <c r="H70" s="1571" t="str">
        <f t="shared" si="19"/>
        <v>2018-2</v>
      </c>
      <c r="I70" s="1571" t="str">
        <f t="shared" si="19"/>
        <v>2018-1</v>
      </c>
      <c r="J70" s="1571" t="str">
        <f t="shared" si="19"/>
        <v>2017-4</v>
      </c>
      <c r="K70" s="1571" t="str">
        <f t="shared" si="19"/>
        <v>2017-3</v>
      </c>
      <c r="L70" s="1571" t="str">
        <f t="shared" si="19"/>
        <v>2017-2</v>
      </c>
      <c r="M70" s="1571" t="str">
        <f t="shared" si="19"/>
        <v>2017-1</v>
      </c>
      <c r="N70" s="1571" t="str">
        <f t="shared" si="19"/>
        <v>2016-4</v>
      </c>
      <c r="O70" s="1571" t="str">
        <f t="shared" si="19"/>
        <v>2016-3</v>
      </c>
      <c r="P70" s="506"/>
    </row>
    <row r="71" spans="1:17" s="117" customFormat="1" ht="30" customHeight="1">
      <c r="A71" s="2710" t="s">
        <v>2777</v>
      </c>
      <c r="B71" s="331" t="str">
        <f>"北京市平均增长率"&amp;TEXT(SUMIF(基准地价修正!N21:N25,A71,基准地价修正!P21:P25),"0.00%")</f>
        <v>北京市平均增长率2.23%</v>
      </c>
      <c r="C71" s="602">
        <v>100</v>
      </c>
      <c r="D71" s="594"/>
      <c r="E71" s="594"/>
      <c r="F71" s="594"/>
      <c r="G71" s="594"/>
      <c r="H71" s="594"/>
      <c r="I71" s="594"/>
      <c r="J71" s="594"/>
      <c r="K71" s="594"/>
      <c r="L71" s="594"/>
      <c r="M71" s="1566"/>
      <c r="N71" s="594"/>
      <c r="O71" s="1567"/>
      <c r="P71" s="503"/>
    </row>
    <row r="72" spans="1:17" s="117" customFormat="1" ht="15.75" thickBot="1">
      <c r="A72" s="514" t="s">
        <v>2579</v>
      </c>
      <c r="B72" s="515"/>
      <c r="C72" s="516"/>
      <c r="D72" s="517"/>
      <c r="E72" s="517"/>
      <c r="F72" s="517"/>
      <c r="G72" s="517"/>
      <c r="H72" s="517"/>
      <c r="I72" s="517"/>
      <c r="J72" s="517"/>
      <c r="K72" s="517"/>
      <c r="L72" s="517"/>
      <c r="M72" s="518"/>
      <c r="N72" s="517"/>
      <c r="O72" s="1161"/>
      <c r="P72" s="503"/>
      <c r="Q72" s="503"/>
    </row>
    <row r="73" spans="1:17" s="117" customFormat="1" ht="15">
      <c r="A73" s="520" t="s">
        <v>2544</v>
      </c>
      <c r="B73" s="509"/>
      <c r="C73" s="521" t="s">
        <v>2646</v>
      </c>
      <c r="D73" s="522"/>
      <c r="E73" s="522"/>
      <c r="F73" s="522"/>
      <c r="G73" s="522"/>
      <c r="H73" s="522"/>
      <c r="I73" s="522"/>
      <c r="J73" s="522"/>
      <c r="K73" s="522"/>
      <c r="L73" s="523"/>
      <c r="M73" s="524"/>
      <c r="N73" s="1150"/>
      <c r="O73" s="1150"/>
      <c r="P73" s="525"/>
      <c r="Q73" s="503"/>
    </row>
    <row r="74" spans="1:17" s="117"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2582</v>
      </c>
      <c r="B75" s="527" t="s">
        <v>2548</v>
      </c>
      <c r="C75" s="529"/>
      <c r="D75" s="529"/>
      <c r="E75" s="529"/>
      <c r="F75" s="529"/>
      <c r="G75" s="529"/>
      <c r="H75" s="529"/>
      <c r="I75" s="529"/>
      <c r="J75" s="529"/>
      <c r="K75" s="530"/>
      <c r="L75" s="531"/>
      <c r="M75" s="532"/>
      <c r="N75" s="1151"/>
      <c r="O75" s="1151"/>
      <c r="P75" s="45"/>
      <c r="Q75" s="503"/>
    </row>
    <row r="76" spans="1:17" ht="15.75" thickBot="1">
      <c r="A76" s="533"/>
      <c r="B76" s="534"/>
      <c r="C76" s="535"/>
      <c r="D76" s="535"/>
      <c r="E76" s="535"/>
      <c r="F76" s="535"/>
      <c r="G76" s="535"/>
      <c r="H76" s="535"/>
      <c r="I76" s="535"/>
      <c r="J76" s="535"/>
      <c r="K76" s="535"/>
      <c r="L76" s="535"/>
      <c r="M76" s="536"/>
      <c r="N76" s="1152"/>
      <c r="O76" s="1152"/>
      <c r="P76" s="45"/>
      <c r="Q76" s="503"/>
    </row>
    <row r="77" spans="1:17" ht="27.75" thickTop="1">
      <c r="A77" s="533"/>
      <c r="B77" s="537" t="s">
        <v>2551</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2552</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5"/>
      <c r="Q79" s="503"/>
    </row>
    <row r="80" spans="1:17" ht="15">
      <c r="A80" s="533"/>
      <c r="B80" s="547"/>
      <c r="C80" s="548"/>
      <c r="D80" s="548"/>
      <c r="E80" s="548"/>
      <c r="F80" s="548"/>
      <c r="G80" s="548"/>
      <c r="H80" s="548"/>
      <c r="I80" s="548"/>
      <c r="J80" s="548"/>
      <c r="K80" s="549"/>
      <c r="L80" s="550"/>
      <c r="M80" s="551"/>
      <c r="N80" s="1151"/>
      <c r="O80" s="1151"/>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5"/>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2553</v>
      </c>
      <c r="B88" s="527" t="s">
        <v>2590</v>
      </c>
      <c r="C88" s="572" t="s">
        <v>2591</v>
      </c>
      <c r="D88" s="572" t="s">
        <v>2592</v>
      </c>
      <c r="E88" s="572" t="s">
        <v>2593</v>
      </c>
      <c r="F88" s="572" t="s">
        <v>2594</v>
      </c>
      <c r="G88" s="572" t="s">
        <v>2595</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5"/>
      <c r="Q89" s="503"/>
    </row>
    <row r="90" spans="1:17" ht="15.75" thickTop="1">
      <c r="A90" s="533"/>
      <c r="B90" s="537" t="s">
        <v>2778</v>
      </c>
      <c r="C90" s="577" t="s">
        <v>2591</v>
      </c>
      <c r="D90" s="577" t="s">
        <v>2592</v>
      </c>
      <c r="E90" s="577" t="s">
        <v>2593</v>
      </c>
      <c r="F90" s="577" t="s">
        <v>2594</v>
      </c>
      <c r="G90" s="577" t="s">
        <v>2595</v>
      </c>
      <c r="H90" s="538"/>
      <c r="I90" s="538"/>
      <c r="J90" s="538"/>
      <c r="K90" s="539"/>
      <c r="L90" s="540"/>
      <c r="M90" s="541"/>
      <c r="N90" s="1151"/>
      <c r="O90" s="1151"/>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5"/>
      <c r="Q91" s="503"/>
    </row>
    <row r="92" spans="1:17" ht="15.75" thickTop="1">
      <c r="A92" s="533"/>
      <c r="B92" s="537" t="s">
        <v>2691</v>
      </c>
      <c r="C92" s="577" t="s">
        <v>2591</v>
      </c>
      <c r="D92" s="577" t="s">
        <v>2592</v>
      </c>
      <c r="E92" s="577" t="s">
        <v>2593</v>
      </c>
      <c r="F92" s="577" t="s">
        <v>2594</v>
      </c>
      <c r="G92" s="577" t="s">
        <v>2595</v>
      </c>
      <c r="H92" s="538"/>
      <c r="I92" s="538"/>
      <c r="J92" s="538"/>
      <c r="K92" s="539"/>
      <c r="L92" s="540"/>
      <c r="M92" s="541"/>
      <c r="N92" s="1151"/>
      <c r="O92" s="1151"/>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75" thickTop="1">
      <c r="A94" s="533"/>
      <c r="B94" s="537" t="s">
        <v>2596</v>
      </c>
      <c r="C94" s="577" t="s">
        <v>2591</v>
      </c>
      <c r="D94" s="577" t="s">
        <v>2592</v>
      </c>
      <c r="E94" s="577" t="s">
        <v>2593</v>
      </c>
      <c r="F94" s="577" t="s">
        <v>2594</v>
      </c>
      <c r="G94" s="577" t="s">
        <v>2595</v>
      </c>
      <c r="H94" s="538"/>
      <c r="I94" s="538"/>
      <c r="J94" s="538"/>
      <c r="K94" s="539"/>
      <c r="L94" s="540"/>
      <c r="M94" s="541"/>
      <c r="N94" s="1151"/>
      <c r="O94" s="1151"/>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5"/>
      <c r="Q95" s="503"/>
    </row>
    <row r="96" spans="1:17" s="117" customFormat="1" ht="15.75" thickTop="1">
      <c r="A96" s="578"/>
      <c r="B96" s="537" t="s">
        <v>2779</v>
      </c>
      <c r="C96" s="577" t="s">
        <v>2591</v>
      </c>
      <c r="D96" s="577" t="s">
        <v>2592</v>
      </c>
      <c r="E96" s="577" t="s">
        <v>2593</v>
      </c>
      <c r="F96" s="577" t="s">
        <v>2594</v>
      </c>
      <c r="G96" s="577" t="s">
        <v>2595</v>
      </c>
      <c r="H96" s="577"/>
      <c r="I96" s="577"/>
      <c r="J96" s="577"/>
      <c r="K96" s="577"/>
      <c r="L96" s="697"/>
      <c r="M96" s="621"/>
      <c r="N96" s="1150"/>
      <c r="O96" s="1150"/>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7" customFormat="1" ht="27.75" thickTop="1">
      <c r="A98" s="578"/>
      <c r="B98" s="537" t="s">
        <v>2780</v>
      </c>
      <c r="C98" s="572" t="s">
        <v>2591</v>
      </c>
      <c r="D98" s="572" t="s">
        <v>2592</v>
      </c>
      <c r="E98" s="572" t="s">
        <v>2593</v>
      </c>
      <c r="F98" s="572" t="s">
        <v>2594</v>
      </c>
      <c r="G98" s="572" t="s">
        <v>2595</v>
      </c>
      <c r="H98" s="577"/>
      <c r="I98" s="577"/>
      <c r="J98" s="577"/>
      <c r="K98" s="577"/>
      <c r="L98" s="577"/>
      <c r="M98" s="621"/>
      <c r="N98" s="1150"/>
      <c r="O98" s="1150"/>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5"/>
      <c r="Q99" s="503"/>
    </row>
    <row r="100" spans="1:17" s="470" customFormat="1" ht="15.75" thickTop="1">
      <c r="A100" s="552"/>
      <c r="B100" s="537" t="s">
        <v>2648</v>
      </c>
      <c r="C100" s="572" t="s">
        <v>2591</v>
      </c>
      <c r="D100" s="572" t="s">
        <v>2592</v>
      </c>
      <c r="E100" s="572" t="s">
        <v>2593</v>
      </c>
      <c r="F100" s="572" t="s">
        <v>2594</v>
      </c>
      <c r="G100" s="572" t="s">
        <v>2595</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2649</v>
      </c>
      <c r="C102" s="659" t="s">
        <v>2669</v>
      </c>
      <c r="D102" s="659" t="s">
        <v>2670</v>
      </c>
      <c r="E102" s="659" t="s">
        <v>2671</v>
      </c>
      <c r="F102" s="659" t="s">
        <v>2672</v>
      </c>
      <c r="G102" s="659" t="s">
        <v>2673</v>
      </c>
      <c r="H102" s="599"/>
      <c r="I102" s="599"/>
      <c r="J102" s="599"/>
      <c r="K102" s="599"/>
      <c r="L102" s="599"/>
      <c r="M102" s="1384"/>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5.75" thickTop="1">
      <c r="A104" s="533"/>
      <c r="B104" s="537" t="str">
        <f>B31</f>
        <v>临街状况</v>
      </c>
      <c r="C104" s="538" t="s">
        <v>2781</v>
      </c>
      <c r="D104" s="538" t="s">
        <v>2782</v>
      </c>
      <c r="E104" s="538" t="s">
        <v>2783</v>
      </c>
      <c r="F104" s="538" t="s">
        <v>2784</v>
      </c>
      <c r="G104" s="538"/>
      <c r="H104" s="538"/>
      <c r="I104" s="538"/>
      <c r="J104" s="538"/>
      <c r="K104" s="539"/>
      <c r="L104" s="540"/>
      <c r="M104" s="541"/>
      <c r="N104" s="1151"/>
      <c r="O104" s="1151"/>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5"/>
      <c r="Q105" s="503"/>
    </row>
    <row r="106" spans="1:17" ht="27.75" thickTop="1">
      <c r="A106" s="533"/>
      <c r="B106" s="537" t="s">
        <v>2685</v>
      </c>
      <c r="C106" s="553"/>
      <c r="D106" s="553"/>
      <c r="E106" s="553"/>
      <c r="F106" s="553"/>
      <c r="G106" s="553"/>
      <c r="H106" s="582"/>
      <c r="I106" s="582"/>
      <c r="J106" s="582"/>
      <c r="K106" s="583"/>
      <c r="L106" s="584"/>
      <c r="M106" s="585"/>
      <c r="N106" s="1151"/>
      <c r="O106" s="1151"/>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5"/>
      <c r="Q107" s="503"/>
    </row>
    <row r="108" spans="1:17" ht="15.75" thickTop="1">
      <c r="A108" s="533"/>
      <c r="B108" s="537" t="s">
        <v>2744</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5"/>
      <c r="Q109" s="503"/>
    </row>
    <row r="110" spans="1:17" ht="15.75" thickTop="1">
      <c r="A110" s="533"/>
      <c r="B110" s="545">
        <f>B35</f>
        <v>111</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4"/>
      <c r="B112" s="537">
        <f>B36</f>
        <v>111</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c r="A116" s="526" t="s">
        <v>2557</v>
      </c>
      <c r="B116" s="527" t="s">
        <v>2785</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ht="15">
      <c r="A117" s="533"/>
      <c r="B117" s="545"/>
      <c r="C117" s="594"/>
      <c r="D117" s="594"/>
      <c r="E117" s="594"/>
      <c r="F117" s="594"/>
      <c r="G117" s="594"/>
      <c r="H117" s="594"/>
      <c r="I117" s="594"/>
      <c r="J117" s="595"/>
      <c r="K117" s="595"/>
      <c r="L117" s="596"/>
      <c r="M117" s="597"/>
      <c r="N117" s="1151"/>
      <c r="O117" s="1151"/>
      <c r="P117" s="45"/>
      <c r="Q117" s="503"/>
    </row>
    <row r="118" spans="1:17" ht="15.75" thickBot="1">
      <c r="A118" s="533"/>
      <c r="B118" s="542"/>
      <c r="C118" s="569"/>
      <c r="D118" s="590"/>
      <c r="E118" s="590"/>
      <c r="F118" s="590"/>
      <c r="G118" s="590"/>
      <c r="H118" s="590"/>
      <c r="I118" s="590"/>
      <c r="J118" s="590"/>
      <c r="K118" s="590"/>
      <c r="L118" s="590"/>
      <c r="M118" s="591"/>
      <c r="N118" s="1152"/>
      <c r="O118" s="1152"/>
      <c r="P118" s="45"/>
      <c r="Q118" s="503"/>
    </row>
    <row r="119" spans="1:17" ht="15" thickTop="1">
      <c r="A119" s="598"/>
      <c r="B119" s="537" t="s">
        <v>2786</v>
      </c>
      <c r="C119" s="582"/>
      <c r="D119" s="582"/>
      <c r="E119" s="582"/>
      <c r="F119" s="582"/>
      <c r="G119" s="582"/>
      <c r="H119" s="582"/>
      <c r="I119" s="582"/>
      <c r="J119" s="582"/>
      <c r="K119" s="583"/>
      <c r="L119" s="584"/>
      <c r="M119" s="585"/>
      <c r="N119" s="1151"/>
      <c r="O119" s="1151"/>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5"/>
      <c r="Q120" s="503"/>
    </row>
    <row r="121" spans="1:17" ht="15" thickTop="1">
      <c r="A121" s="598"/>
      <c r="B121" s="537" t="s">
        <v>2787</v>
      </c>
      <c r="C121" s="553"/>
      <c r="D121" s="553"/>
      <c r="E121" s="553"/>
      <c r="F121" s="582"/>
      <c r="G121" s="582"/>
      <c r="H121" s="582"/>
      <c r="I121" s="582"/>
      <c r="J121" s="582"/>
      <c r="K121" s="583"/>
      <c r="L121" s="584"/>
      <c r="M121" s="585"/>
      <c r="N121" s="1151"/>
      <c r="O121" s="1151"/>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5"/>
      <c r="Q122" s="503"/>
    </row>
    <row r="123" spans="1:17" s="470" customFormat="1" ht="15" thickTop="1">
      <c r="A123" s="592"/>
      <c r="B123" s="537" t="s">
        <v>2788</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2789</v>
      </c>
      <c r="C125" s="553"/>
      <c r="D125" s="553"/>
      <c r="E125" s="582"/>
      <c r="F125" s="582"/>
      <c r="G125" s="582"/>
      <c r="H125" s="582"/>
      <c r="I125" s="582"/>
      <c r="J125" s="582"/>
      <c r="K125" s="583"/>
      <c r="L125" s="584"/>
      <c r="M125" s="585"/>
      <c r="N125" s="1151"/>
      <c r="O125" s="1151"/>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5"/>
      <c r="Q126" s="503"/>
    </row>
    <row r="127" spans="1:17" ht="15" thickTop="1">
      <c r="A127" s="598"/>
      <c r="B127" s="537">
        <f>B43</f>
        <v>111</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111</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3"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2738</v>
      </c>
      <c r="B1" s="394"/>
      <c r="C1" s="395" t="s">
        <v>2790</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2321</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2323</v>
      </c>
      <c r="B3" s="608" t="e">
        <f>ROUND(IF(D3="",B2*10000/'数据-汇总表'!E3,B2*10000/D3),0)</f>
        <v>#DIV/0!</v>
      </c>
      <c r="C3" s="246" t="s">
        <v>2740</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2639</v>
      </c>
      <c r="B4" s="401"/>
      <c r="C4" s="3294" t="s">
        <v>2640</v>
      </c>
      <c r="D4" s="3295"/>
      <c r="E4" s="3296" t="s">
        <v>2641</v>
      </c>
      <c r="F4" s="3297"/>
      <c r="G4" s="3294" t="s">
        <v>2642</v>
      </c>
      <c r="H4" s="3295"/>
      <c r="I4" s="3294" t="s">
        <v>2643</v>
      </c>
      <c r="J4" s="3295"/>
      <c r="K4" s="609" t="s">
        <v>2644</v>
      </c>
      <c r="L4" s="1129"/>
      <c r="M4" s="1130"/>
      <c r="N4" s="1130"/>
      <c r="O4" s="1130"/>
      <c r="P4" s="3298" t="s">
        <v>2645</v>
      </c>
      <c r="Q4" s="3299"/>
      <c r="R4" s="3304" t="s">
        <v>2641</v>
      </c>
      <c r="S4" s="3305"/>
      <c r="T4" s="3304" t="s">
        <v>2642</v>
      </c>
      <c r="U4" s="3305"/>
      <c r="V4" s="3310" t="s">
        <v>2643</v>
      </c>
      <c r="W4" s="3310"/>
      <c r="X4" s="1812"/>
      <c r="Y4" s="3304" t="s">
        <v>2645</v>
      </c>
      <c r="Z4" s="3305"/>
      <c r="AA4" s="3291" t="s">
        <v>2641</v>
      </c>
      <c r="AB4" s="3292" t="s">
        <v>2642</v>
      </c>
      <c r="AC4" s="3291" t="s">
        <v>2643</v>
      </c>
    </row>
    <row r="5" spans="1:29" ht="15">
      <c r="A5" s="403"/>
      <c r="B5" s="404"/>
      <c r="C5" s="3313" t="s">
        <v>2536</v>
      </c>
      <c r="D5" s="3314"/>
      <c r="E5" s="3320" t="s">
        <v>2537</v>
      </c>
      <c r="F5" s="3321"/>
      <c r="G5" s="3313" t="s">
        <v>2538</v>
      </c>
      <c r="H5" s="3314"/>
      <c r="I5" s="3313" t="s">
        <v>2539</v>
      </c>
      <c r="J5" s="3314"/>
      <c r="K5" s="609"/>
      <c r="L5" s="1129"/>
      <c r="M5" s="1130"/>
      <c r="N5" s="1130"/>
      <c r="O5" s="1130"/>
      <c r="P5" s="3300"/>
      <c r="Q5" s="3301"/>
      <c r="R5" s="3306"/>
      <c r="S5" s="3307"/>
      <c r="T5" s="3306"/>
      <c r="U5" s="3307"/>
      <c r="V5" s="3310"/>
      <c r="W5" s="3310"/>
      <c r="X5" s="1812"/>
      <c r="Y5" s="3306"/>
      <c r="Z5" s="3307"/>
      <c r="AA5" s="3292"/>
      <c r="AB5" s="3292"/>
      <c r="AC5" s="3292"/>
    </row>
    <row r="6" spans="1:29" ht="15.75" thickBot="1">
      <c r="A6" s="405"/>
      <c r="B6" s="406"/>
      <c r="C6" s="3357" t="s">
        <v>2791</v>
      </c>
      <c r="D6" s="3358"/>
      <c r="E6" s="3359" t="s">
        <v>2791</v>
      </c>
      <c r="F6" s="3360"/>
      <c r="G6" s="3357" t="s">
        <v>2791</v>
      </c>
      <c r="H6" s="3358"/>
      <c r="I6" s="3357" t="s">
        <v>2791</v>
      </c>
      <c r="J6" s="3358"/>
      <c r="K6" s="609" t="s">
        <v>2541</v>
      </c>
      <c r="L6" s="1129"/>
      <c r="M6" s="1130"/>
      <c r="N6" s="1130"/>
      <c r="O6" s="1130"/>
      <c r="P6" s="3302"/>
      <c r="Q6" s="3303"/>
      <c r="R6" s="3306"/>
      <c r="S6" s="3307"/>
      <c r="T6" s="3308"/>
      <c r="U6" s="3309"/>
      <c r="V6" s="3310"/>
      <c r="W6" s="3310"/>
      <c r="X6" s="1812"/>
      <c r="Y6" s="3308"/>
      <c r="Z6" s="3309"/>
      <c r="AA6" s="3293"/>
      <c r="AB6" s="3293"/>
      <c r="AC6" s="3293"/>
    </row>
    <row r="7" spans="1:29" s="117" customFormat="1" ht="15.75" thickBot="1">
      <c r="A7" s="407" t="s">
        <v>2542</v>
      </c>
      <c r="B7" s="408"/>
      <c r="C7" s="409">
        <f>'数据-取费表'!B2</f>
        <v>43691</v>
      </c>
      <c r="D7" s="410">
        <v>100</v>
      </c>
      <c r="E7" s="411"/>
      <c r="F7" s="412">
        <f>SUMIF(65:65,YEAR(E7)&amp;"-"&amp;INT((MONTH(E7)+2)/3),66:66)</f>
        <v>0</v>
      </c>
      <c r="G7" s="2694"/>
      <c r="H7" s="410">
        <f>SUMIF(65:65,YEAR(G7)&amp;"-"&amp;INT((MONTH(G7)+2)/3),66:66)</f>
        <v>0</v>
      </c>
      <c r="I7" s="2694"/>
      <c r="J7" s="410">
        <f>SUMIF(65:65,YEAR(I7)&amp;"-"&amp;INT((MONTH(I7)+2)/3),66:66)</f>
        <v>0</v>
      </c>
      <c r="K7" s="610"/>
      <c r="L7" s="1131"/>
      <c r="M7" s="1132"/>
      <c r="N7" s="1132"/>
      <c r="O7" s="1132"/>
      <c r="P7" s="3315" t="s">
        <v>2543</v>
      </c>
      <c r="Q7" s="3317"/>
      <c r="R7" s="769" t="s">
        <v>17</v>
      </c>
      <c r="S7" s="770">
        <f t="shared" ref="S7:S15" si="0">F7</f>
        <v>0</v>
      </c>
      <c r="T7" s="769" t="s">
        <v>17</v>
      </c>
      <c r="U7" s="770">
        <f t="shared" ref="U7:U15" si="1">H7</f>
        <v>0</v>
      </c>
      <c r="V7" s="769" t="s">
        <v>17</v>
      </c>
      <c r="W7" s="770">
        <f t="shared" ref="W7:W15" si="2">J7</f>
        <v>0</v>
      </c>
      <c r="X7" s="771"/>
      <c r="Y7" s="3315" t="s">
        <v>2543</v>
      </c>
      <c r="Z7" s="3316"/>
      <c r="AA7" s="772" t="e">
        <f>D7/F7</f>
        <v>#DIV/0!</v>
      </c>
      <c r="AB7" s="772" t="e">
        <f>D7/H7</f>
        <v>#DIV/0!</v>
      </c>
      <c r="AC7" s="772" t="e">
        <f>D7/J7</f>
        <v>#DIV/0!</v>
      </c>
    </row>
    <row r="8" spans="1:29" s="117" customFormat="1" ht="15.75" thickBot="1">
      <c r="A8" s="407" t="s">
        <v>2544</v>
      </c>
      <c r="B8" s="408"/>
      <c r="C8" s="413" t="s">
        <v>2545</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315" t="s">
        <v>2546</v>
      </c>
      <c r="Q8" s="3316"/>
      <c r="R8" s="769" t="s">
        <v>17</v>
      </c>
      <c r="S8" s="770">
        <f t="shared" si="0"/>
        <v>0</v>
      </c>
      <c r="T8" s="769" t="s">
        <v>17</v>
      </c>
      <c r="U8" s="770">
        <f t="shared" si="1"/>
        <v>0</v>
      </c>
      <c r="V8" s="769" t="s">
        <v>17</v>
      </c>
      <c r="W8" s="770">
        <f t="shared" si="2"/>
        <v>0</v>
      </c>
      <c r="X8" s="771"/>
      <c r="Y8" s="3315" t="s">
        <v>2546</v>
      </c>
      <c r="Z8" s="3316"/>
      <c r="AA8" s="772" t="e">
        <f t="shared" ref="AA8:AA40" si="3">D8/F8</f>
        <v>#DIV/0!</v>
      </c>
      <c r="AB8" s="772" t="e">
        <f t="shared" ref="AB8:AB40" si="4">D8/H8</f>
        <v>#DIV/0!</v>
      </c>
      <c r="AC8" s="772" t="e">
        <f t="shared" ref="AC8:AC40" si="5">D8/J8</f>
        <v>#DIV/0!</v>
      </c>
    </row>
    <row r="9" spans="1:29" s="117" customFormat="1">
      <c r="A9" s="414" t="s">
        <v>2547</v>
      </c>
      <c r="B9" s="71" t="s">
        <v>2548</v>
      </c>
      <c r="C9" s="2697"/>
      <c r="D9" s="134">
        <v>100</v>
      </c>
      <c r="E9" s="2697"/>
      <c r="F9" s="134">
        <f>SUMIF(70:70,E9,71:71)-SUMIF(70:70,C9,71:71)+100</f>
        <v>100</v>
      </c>
      <c r="G9" s="2697"/>
      <c r="H9" s="134">
        <f>SUMIF(70:70,G9,71:71)-SUMIF(70:70,C9,71:71)+100</f>
        <v>100</v>
      </c>
      <c r="I9" s="2697"/>
      <c r="J9" s="134">
        <f>SUMIF(70:70,I9,71:71)-SUMIF(70:70,C9,71:71)+100</f>
        <v>100</v>
      </c>
      <c r="K9" s="610"/>
      <c r="L9" s="1131"/>
      <c r="M9" s="1132"/>
      <c r="N9" s="1132"/>
      <c r="O9" s="1133"/>
      <c r="P9" s="3279" t="s">
        <v>2549</v>
      </c>
      <c r="Q9" s="1794" t="str">
        <f t="shared" ref="Q9:Q15" si="6">B9</f>
        <v>用途</v>
      </c>
      <c r="R9" s="769" t="s">
        <v>17</v>
      </c>
      <c r="S9" s="770">
        <f t="shared" si="0"/>
        <v>100</v>
      </c>
      <c r="T9" s="769" t="s">
        <v>17</v>
      </c>
      <c r="U9" s="770">
        <f t="shared" si="1"/>
        <v>100</v>
      </c>
      <c r="V9" s="769" t="s">
        <v>17</v>
      </c>
      <c r="W9" s="770">
        <f t="shared" si="2"/>
        <v>100</v>
      </c>
      <c r="X9" s="771"/>
      <c r="Y9" s="3077" t="s">
        <v>2550</v>
      </c>
      <c r="Z9" s="55" t="str">
        <f t="shared" ref="Z9:Z15" si="7">Q9</f>
        <v>用途</v>
      </c>
      <c r="AA9" s="772">
        <f t="shared" si="3"/>
        <v>1</v>
      </c>
      <c r="AB9" s="772">
        <f t="shared" si="4"/>
        <v>1</v>
      </c>
      <c r="AC9" s="772">
        <f t="shared" si="5"/>
        <v>1</v>
      </c>
    </row>
    <row r="10" spans="1:29" s="426" customFormat="1" ht="27">
      <c r="A10" s="420"/>
      <c r="B10" s="421" t="s">
        <v>2551</v>
      </c>
      <c r="C10" s="431"/>
      <c r="D10" s="135">
        <v>100</v>
      </c>
      <c r="E10" s="431"/>
      <c r="F10" s="135">
        <f>ROUND(100/'数据-取费表'!G16,0)</f>
        <v>123</v>
      </c>
      <c r="G10" s="431"/>
      <c r="H10" s="135">
        <f>ROUND(100/'数据-取费表'!G16,0)</f>
        <v>123</v>
      </c>
      <c r="I10" s="431"/>
      <c r="J10" s="135">
        <f>ROUND(100/'数据-取费表'!G16,0)</f>
        <v>123</v>
      </c>
      <c r="K10" s="671"/>
      <c r="L10" s="1134"/>
      <c r="M10" s="1135"/>
      <c r="N10" s="1135"/>
      <c r="O10" s="1136"/>
      <c r="P10" s="3279"/>
      <c r="Q10" s="1794" t="str">
        <f t="shared" si="6"/>
        <v>土地使用年限（年）</v>
      </c>
      <c r="R10" s="769" t="s">
        <v>17</v>
      </c>
      <c r="S10" s="770">
        <f t="shared" si="0"/>
        <v>123</v>
      </c>
      <c r="T10" s="769" t="s">
        <v>17</v>
      </c>
      <c r="U10" s="770">
        <f t="shared" si="1"/>
        <v>123</v>
      </c>
      <c r="V10" s="769" t="s">
        <v>17</v>
      </c>
      <c r="W10" s="770">
        <f t="shared" si="2"/>
        <v>123</v>
      </c>
      <c r="X10" s="771"/>
      <c r="Y10" s="3077"/>
      <c r="Z10" s="55" t="str">
        <f t="shared" si="7"/>
        <v>土地使用年限（年）</v>
      </c>
      <c r="AA10" s="772">
        <f t="shared" si="3"/>
        <v>0.81300813008130079</v>
      </c>
      <c r="AB10" s="772">
        <f t="shared" si="4"/>
        <v>0.81300813008130079</v>
      </c>
      <c r="AC10" s="772">
        <f t="shared" si="5"/>
        <v>0.81300813008130079</v>
      </c>
    </row>
    <row r="11" spans="1:29" ht="15">
      <c r="A11" s="427"/>
      <c r="B11" s="421" t="s">
        <v>2552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279"/>
      <c r="Q11" s="1794" t="str">
        <f t="shared" si="6"/>
        <v>容积率</v>
      </c>
      <c r="R11" s="769" t="s">
        <v>17</v>
      </c>
      <c r="S11" s="770" t="e">
        <f t="shared" si="0"/>
        <v>#N/A</v>
      </c>
      <c r="T11" s="769" t="s">
        <v>17</v>
      </c>
      <c r="U11" s="770" t="e">
        <f t="shared" si="1"/>
        <v>#N/A</v>
      </c>
      <c r="V11" s="769" t="s">
        <v>17</v>
      </c>
      <c r="W11" s="770" t="e">
        <f t="shared" si="2"/>
        <v>#N/A</v>
      </c>
      <c r="X11" s="771"/>
      <c r="Y11" s="3077"/>
      <c r="Z11" s="55" t="str">
        <f t="shared" si="7"/>
        <v>容积率</v>
      </c>
      <c r="AA11" s="772" t="e">
        <f t="shared" si="3"/>
        <v>#N/A</v>
      </c>
      <c r="AB11" s="772" t="e">
        <f t="shared" si="4"/>
        <v>#N/A</v>
      </c>
      <c r="AC11" s="772" t="e">
        <f t="shared" si="5"/>
        <v>#N/A</v>
      </c>
    </row>
    <row r="12" spans="1:29" s="117" customFormat="1" ht="15">
      <c r="A12" s="430"/>
      <c r="B12" s="2598">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279"/>
      <c r="Q12" s="1794">
        <f t="shared" si="6"/>
        <v>111</v>
      </c>
      <c r="R12" s="769" t="s">
        <v>17</v>
      </c>
      <c r="S12" s="770">
        <f t="shared" si="0"/>
        <v>100</v>
      </c>
      <c r="T12" s="769" t="s">
        <v>17</v>
      </c>
      <c r="U12" s="770">
        <f t="shared" si="1"/>
        <v>100</v>
      </c>
      <c r="V12" s="769" t="s">
        <v>17</v>
      </c>
      <c r="W12" s="770">
        <f t="shared" si="2"/>
        <v>100</v>
      </c>
      <c r="X12" s="771"/>
      <c r="Y12" s="3077"/>
      <c r="Z12" s="55">
        <f t="shared" si="7"/>
        <v>111</v>
      </c>
      <c r="AA12" s="772">
        <f>D12/F12</f>
        <v>1</v>
      </c>
      <c r="AB12" s="772">
        <f>D12/H12</f>
        <v>1</v>
      </c>
      <c r="AC12" s="772">
        <f>D12/J12</f>
        <v>1</v>
      </c>
    </row>
    <row r="13" spans="1:29" ht="15">
      <c r="A13" s="427"/>
      <c r="B13" s="2598">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279"/>
      <c r="Q13" s="1794">
        <f t="shared" si="6"/>
        <v>111</v>
      </c>
      <c r="R13" s="769" t="s">
        <v>17</v>
      </c>
      <c r="S13" s="770">
        <f t="shared" si="0"/>
        <v>100</v>
      </c>
      <c r="T13" s="769" t="s">
        <v>17</v>
      </c>
      <c r="U13" s="770">
        <f t="shared" si="1"/>
        <v>100</v>
      </c>
      <c r="V13" s="769" t="s">
        <v>17</v>
      </c>
      <c r="W13" s="770">
        <f t="shared" si="2"/>
        <v>100</v>
      </c>
      <c r="X13" s="771"/>
      <c r="Y13" s="3077"/>
      <c r="Z13" s="55">
        <f t="shared" si="7"/>
        <v>111</v>
      </c>
      <c r="AA13" s="772">
        <f t="shared" si="3"/>
        <v>1</v>
      </c>
      <c r="AB13" s="772">
        <f t="shared" si="4"/>
        <v>1</v>
      </c>
      <c r="AC13" s="772">
        <f t="shared" si="5"/>
        <v>1</v>
      </c>
    </row>
    <row r="14" spans="1:29" ht="15.75" thickBot="1">
      <c r="A14" s="435"/>
      <c r="B14" s="2600">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79"/>
      <c r="Q14" s="1794">
        <f t="shared" si="6"/>
        <v>111</v>
      </c>
      <c r="R14" s="769" t="s">
        <v>17</v>
      </c>
      <c r="S14" s="770">
        <f t="shared" si="0"/>
        <v>100</v>
      </c>
      <c r="T14" s="769" t="s">
        <v>17</v>
      </c>
      <c r="U14" s="770">
        <f t="shared" si="1"/>
        <v>100</v>
      </c>
      <c r="V14" s="769" t="s">
        <v>17</v>
      </c>
      <c r="W14" s="770">
        <f t="shared" si="2"/>
        <v>100</v>
      </c>
      <c r="X14" s="771"/>
      <c r="Y14" s="3077"/>
      <c r="Z14" s="55">
        <f t="shared" si="7"/>
        <v>111</v>
      </c>
      <c r="AA14" s="772">
        <f t="shared" si="3"/>
        <v>1</v>
      </c>
      <c r="AB14" s="772">
        <f t="shared" si="4"/>
        <v>1</v>
      </c>
      <c r="AC14" s="772">
        <f t="shared" si="5"/>
        <v>1</v>
      </c>
    </row>
    <row r="15" spans="1:29" ht="57">
      <c r="A15" s="439" t="s">
        <v>2553</v>
      </c>
      <c r="B15" s="628" t="s">
        <v>2792</v>
      </c>
      <c r="C15" s="2691"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81" t="s">
        <v>2554</v>
      </c>
      <c r="Q15" s="1809" t="str">
        <f t="shared" si="6"/>
        <v>产业集聚程度</v>
      </c>
      <c r="R15" s="773" t="s">
        <v>17</v>
      </c>
      <c r="S15" s="774">
        <f t="shared" si="0"/>
        <v>100</v>
      </c>
      <c r="T15" s="773" t="s">
        <v>17</v>
      </c>
      <c r="U15" s="774">
        <f t="shared" si="1"/>
        <v>100</v>
      </c>
      <c r="V15" s="773" t="s">
        <v>17</v>
      </c>
      <c r="W15" s="774">
        <f t="shared" si="2"/>
        <v>100</v>
      </c>
      <c r="X15" s="1812"/>
      <c r="Y15" s="3281" t="s">
        <v>2554</v>
      </c>
      <c r="Z15" s="1813" t="str">
        <f t="shared" si="7"/>
        <v>产业集聚程度</v>
      </c>
      <c r="AA15" s="1810">
        <f t="shared" si="3"/>
        <v>1</v>
      </c>
      <c r="AB15" s="1810">
        <f t="shared" si="4"/>
        <v>1</v>
      </c>
      <c r="AC15" s="1810">
        <f t="shared" si="5"/>
        <v>1</v>
      </c>
    </row>
    <row r="16" spans="1:29" ht="15">
      <c r="A16" s="427"/>
      <c r="B16" s="629"/>
      <c r="C16" s="446"/>
      <c r="D16" s="447"/>
      <c r="E16" s="2609"/>
      <c r="F16" s="447"/>
      <c r="G16" s="2609"/>
      <c r="H16" s="449"/>
      <c r="I16" s="2609"/>
      <c r="J16" s="447"/>
      <c r="K16" s="671"/>
      <c r="L16" s="1139"/>
      <c r="M16" s="1130"/>
      <c r="N16" s="1130"/>
      <c r="O16" s="1138"/>
      <c r="P16" s="3282"/>
      <c r="Q16" s="1809"/>
      <c r="R16" s="773"/>
      <c r="S16" s="774"/>
      <c r="T16" s="773"/>
      <c r="U16" s="774"/>
      <c r="V16" s="773"/>
      <c r="W16" s="774"/>
      <c r="X16" s="1812"/>
      <c r="Y16" s="3282"/>
      <c r="Z16" s="1813"/>
      <c r="AA16" s="1810">
        <v>1</v>
      </c>
      <c r="AB16" s="1810">
        <v>1</v>
      </c>
      <c r="AC16" s="1810">
        <v>1</v>
      </c>
    </row>
    <row r="17" spans="1:29" ht="85.5">
      <c r="A17" s="427"/>
      <c r="B17" s="630" t="s">
        <v>2703</v>
      </c>
      <c r="C17" s="2605"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82"/>
      <c r="Q17" s="1809" t="str">
        <f>B17</f>
        <v>交通便捷度</v>
      </c>
      <c r="R17" s="773" t="s">
        <v>17</v>
      </c>
      <c r="S17" s="774">
        <f>F17</f>
        <v>100</v>
      </c>
      <c r="T17" s="773" t="s">
        <v>17</v>
      </c>
      <c r="U17" s="774">
        <f>H17</f>
        <v>100</v>
      </c>
      <c r="V17" s="773" t="s">
        <v>17</v>
      </c>
      <c r="W17" s="774">
        <f>J17</f>
        <v>100</v>
      </c>
      <c r="X17" s="1812"/>
      <c r="Y17" s="3282"/>
      <c r="Z17" s="1813" t="str">
        <f>Q17</f>
        <v>交通便捷度</v>
      </c>
      <c r="AA17" s="1810">
        <f t="shared" si="3"/>
        <v>1</v>
      </c>
      <c r="AB17" s="1810">
        <f t="shared" si="4"/>
        <v>1</v>
      </c>
      <c r="AC17" s="1810">
        <f t="shared" si="5"/>
        <v>1</v>
      </c>
    </row>
    <row r="18" spans="1:29" ht="15">
      <c r="A18" s="427"/>
      <c r="B18" s="631"/>
      <c r="C18" s="446"/>
      <c r="D18" s="447"/>
      <c r="E18" s="2603"/>
      <c r="F18" s="447"/>
      <c r="G18" s="2603"/>
      <c r="H18" s="447"/>
      <c r="I18" s="2602"/>
      <c r="J18" s="447"/>
      <c r="K18" s="671"/>
      <c r="L18" s="1139"/>
      <c r="M18" s="1130"/>
      <c r="N18" s="1130"/>
      <c r="O18" s="1138"/>
      <c r="P18" s="3282"/>
      <c r="Q18" s="1809"/>
      <c r="R18" s="773"/>
      <c r="S18" s="774"/>
      <c r="T18" s="773"/>
      <c r="U18" s="774"/>
      <c r="V18" s="773"/>
      <c r="W18" s="774"/>
      <c r="X18" s="1812"/>
      <c r="Y18" s="3282"/>
      <c r="Z18" s="1813"/>
      <c r="AA18" s="1810">
        <v>1</v>
      </c>
      <c r="AB18" s="1810">
        <v>1</v>
      </c>
      <c r="AC18" s="1810">
        <v>1</v>
      </c>
    </row>
    <row r="19" spans="1:29" ht="15">
      <c r="A19" s="427"/>
      <c r="B19" s="630" t="s">
        <v>2742</v>
      </c>
      <c r="C19" s="2605">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82"/>
      <c r="Q19" s="1809" t="str">
        <f t="shared" ref="Q19:Q33" si="8">B19</f>
        <v>区域土地利用方向</v>
      </c>
      <c r="R19" s="773" t="s">
        <v>17</v>
      </c>
      <c r="S19" s="774">
        <f>F19</f>
        <v>100</v>
      </c>
      <c r="T19" s="773" t="s">
        <v>17</v>
      </c>
      <c r="U19" s="774">
        <f>H19</f>
        <v>100</v>
      </c>
      <c r="V19" s="773" t="s">
        <v>17</v>
      </c>
      <c r="W19" s="774">
        <f>J19</f>
        <v>100</v>
      </c>
      <c r="X19" s="1812"/>
      <c r="Y19" s="3282"/>
      <c r="Z19" s="1813" t="str">
        <f>Q19</f>
        <v>区域土地利用方向</v>
      </c>
      <c r="AA19" s="1810">
        <f t="shared" si="3"/>
        <v>1</v>
      </c>
      <c r="AB19" s="1810">
        <f t="shared" si="4"/>
        <v>1</v>
      </c>
      <c r="AC19" s="1810">
        <f t="shared" si="5"/>
        <v>1</v>
      </c>
    </row>
    <row r="20" spans="1:29" ht="15">
      <c r="A20" s="403"/>
      <c r="B20" s="631"/>
      <c r="C20" s="446"/>
      <c r="D20" s="447"/>
      <c r="E20" s="2603"/>
      <c r="F20" s="447"/>
      <c r="G20" s="2603"/>
      <c r="H20" s="447"/>
      <c r="I20" s="2603"/>
      <c r="J20" s="447"/>
      <c r="K20" s="811"/>
      <c r="L20" s="1139"/>
      <c r="M20" s="1130"/>
      <c r="N20" s="1130"/>
      <c r="O20" s="1138"/>
      <c r="P20" s="3282"/>
      <c r="Q20" s="1809"/>
      <c r="R20" s="773"/>
      <c r="S20" s="774"/>
      <c r="T20" s="773"/>
      <c r="U20" s="774"/>
      <c r="V20" s="773"/>
      <c r="W20" s="774"/>
      <c r="X20" s="1812"/>
      <c r="Y20" s="3282"/>
      <c r="Z20" s="1813"/>
      <c r="AA20" s="1810"/>
      <c r="AB20" s="1810"/>
      <c r="AC20" s="1810"/>
    </row>
    <row r="21" spans="1:29" ht="71.25">
      <c r="A21" s="403"/>
      <c r="B21" s="630" t="s">
        <v>2793</v>
      </c>
      <c r="C21" s="2605"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82"/>
      <c r="Q21" s="1809" t="str">
        <f t="shared" si="8"/>
        <v>环境状况</v>
      </c>
      <c r="R21" s="773" t="s">
        <v>17</v>
      </c>
      <c r="S21" s="774">
        <f>F21</f>
        <v>100</v>
      </c>
      <c r="T21" s="773" t="s">
        <v>17</v>
      </c>
      <c r="U21" s="774">
        <f>H21</f>
        <v>100</v>
      </c>
      <c r="V21" s="773" t="s">
        <v>17</v>
      </c>
      <c r="W21" s="774">
        <f>J21</f>
        <v>100</v>
      </c>
      <c r="X21" s="1812"/>
      <c r="Y21" s="3282"/>
      <c r="Z21" s="1813" t="str">
        <f>Q21</f>
        <v>环境状况</v>
      </c>
      <c r="AA21" s="1810">
        <f t="shared" si="3"/>
        <v>1</v>
      </c>
      <c r="AB21" s="1810">
        <f t="shared" si="4"/>
        <v>1</v>
      </c>
      <c r="AC21" s="1810">
        <f t="shared" si="5"/>
        <v>1</v>
      </c>
    </row>
    <row r="22" spans="1:29" ht="15">
      <c r="A22" s="403"/>
      <c r="B22" s="631"/>
      <c r="C22" s="446"/>
      <c r="D22" s="447"/>
      <c r="E22" s="2609"/>
      <c r="F22" s="447"/>
      <c r="G22" s="2609"/>
      <c r="H22" s="447"/>
      <c r="I22" s="446"/>
      <c r="J22" s="447"/>
      <c r="K22" s="671"/>
      <c r="L22" s="1139"/>
      <c r="M22" s="1130"/>
      <c r="N22" s="1130"/>
      <c r="O22" s="1138"/>
      <c r="P22" s="3282"/>
      <c r="Q22" s="1809"/>
      <c r="R22" s="773"/>
      <c r="S22" s="774"/>
      <c r="T22" s="773"/>
      <c r="U22" s="774"/>
      <c r="V22" s="773"/>
      <c r="W22" s="774"/>
      <c r="X22" s="1812"/>
      <c r="Y22" s="3282"/>
      <c r="Z22" s="1813"/>
      <c r="AA22" s="1810">
        <v>1</v>
      </c>
      <c r="AB22" s="1810">
        <v>1</v>
      </c>
      <c r="AC22" s="1810">
        <v>1</v>
      </c>
    </row>
    <row r="23" spans="1:29" s="117" customFormat="1" ht="42.75">
      <c r="A23" s="648"/>
      <c r="B23" s="632" t="s">
        <v>2648</v>
      </c>
      <c r="C23" s="2605"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82"/>
      <c r="Q23" s="1794" t="str">
        <f t="shared" si="8"/>
        <v>公共配套设施</v>
      </c>
      <c r="R23" s="769" t="s">
        <v>17</v>
      </c>
      <c r="S23" s="770">
        <f>F23</f>
        <v>100</v>
      </c>
      <c r="T23" s="769" t="s">
        <v>17</v>
      </c>
      <c r="U23" s="770">
        <f>H23</f>
        <v>100</v>
      </c>
      <c r="V23" s="769" t="s">
        <v>17</v>
      </c>
      <c r="W23" s="770">
        <f>J23</f>
        <v>100</v>
      </c>
      <c r="X23" s="771"/>
      <c r="Y23" s="3282"/>
      <c r="Z23" s="55" t="str">
        <f>Q23</f>
        <v>公共配套设施</v>
      </c>
      <c r="AA23" s="1810">
        <f>D23/F23</f>
        <v>1</v>
      </c>
      <c r="AB23" s="1810">
        <f>D23/H23</f>
        <v>1</v>
      </c>
      <c r="AC23" s="1810">
        <f>D23/J23</f>
        <v>1</v>
      </c>
    </row>
    <row r="24" spans="1:29" s="117" customFormat="1" ht="15">
      <c r="A24" s="648"/>
      <c r="B24" s="631"/>
      <c r="C24" s="2698"/>
      <c r="D24" s="447"/>
      <c r="E24" s="2609"/>
      <c r="F24" s="447"/>
      <c r="G24" s="2609"/>
      <c r="H24" s="447"/>
      <c r="I24" s="446"/>
      <c r="J24" s="447"/>
      <c r="K24" s="671"/>
      <c r="L24" s="1131"/>
      <c r="M24" s="1132"/>
      <c r="N24" s="1132"/>
      <c r="O24" s="1133"/>
      <c r="P24" s="3282"/>
      <c r="Q24" s="1794"/>
      <c r="R24" s="769"/>
      <c r="S24" s="770"/>
      <c r="T24" s="769"/>
      <c r="U24" s="770"/>
      <c r="V24" s="769"/>
      <c r="W24" s="770"/>
      <c r="X24" s="771"/>
      <c r="Y24" s="3282"/>
      <c r="Z24" s="55"/>
      <c r="AA24" s="772">
        <v>1</v>
      </c>
      <c r="AB24" s="772">
        <v>1</v>
      </c>
      <c r="AC24" s="772">
        <v>1</v>
      </c>
    </row>
    <row r="25" spans="1:29" s="117" customFormat="1" ht="28.5">
      <c r="A25" s="648"/>
      <c r="B25" s="632" t="s">
        <v>2649</v>
      </c>
      <c r="C25" s="2605"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82"/>
      <c r="Q25" s="1794" t="str">
        <f t="shared" ref="Q25" si="9">B25</f>
        <v>基础设施水平</v>
      </c>
      <c r="R25" s="769" t="s">
        <v>17</v>
      </c>
      <c r="S25" s="770">
        <f>F25</f>
        <v>100</v>
      </c>
      <c r="T25" s="769" t="s">
        <v>17</v>
      </c>
      <c r="U25" s="770">
        <f>H25</f>
        <v>100</v>
      </c>
      <c r="V25" s="769" t="s">
        <v>17</v>
      </c>
      <c r="W25" s="770">
        <f>J25</f>
        <v>100</v>
      </c>
      <c r="X25" s="771"/>
      <c r="Y25" s="3282"/>
      <c r="Z25" s="55" t="str">
        <f>Q25</f>
        <v>基础设施水平</v>
      </c>
      <c r="AA25" s="1810">
        <f>D25/F25</f>
        <v>1</v>
      </c>
      <c r="AB25" s="1810">
        <f>D25/H25</f>
        <v>1</v>
      </c>
      <c r="AC25" s="1810">
        <f>D25/J25</f>
        <v>1</v>
      </c>
    </row>
    <row r="26" spans="1:29" s="117" customFormat="1" ht="15">
      <c r="A26" s="648"/>
      <c r="B26" s="631"/>
      <c r="C26" s="2698"/>
      <c r="D26" s="447"/>
      <c r="E26" s="2699"/>
      <c r="F26" s="447"/>
      <c r="G26" s="2699"/>
      <c r="H26" s="447"/>
      <c r="I26" s="2699"/>
      <c r="J26" s="447"/>
      <c r="K26" s="671"/>
      <c r="L26" s="1131"/>
      <c r="M26" s="1132"/>
      <c r="N26" s="1132"/>
      <c r="O26" s="1133"/>
      <c r="P26" s="3282"/>
      <c r="Q26" s="1794"/>
      <c r="R26" s="769"/>
      <c r="S26" s="770"/>
      <c r="T26" s="769"/>
      <c r="U26" s="770"/>
      <c r="V26" s="769"/>
      <c r="W26" s="770"/>
      <c r="X26" s="771"/>
      <c r="Y26" s="3282"/>
      <c r="Z26" s="55"/>
      <c r="AA26" s="772">
        <v>1</v>
      </c>
      <c r="AB26" s="772">
        <v>1</v>
      </c>
      <c r="AC26" s="772">
        <v>1</v>
      </c>
    </row>
    <row r="27" spans="1:29" ht="15">
      <c r="A27" s="427"/>
      <c r="B27" s="631" t="s">
        <v>2650</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82"/>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282"/>
      <c r="Z27" s="1813" t="str">
        <f t="shared" ref="Z27:Z40" si="13">Q27</f>
        <v>临街状况</v>
      </c>
      <c r="AA27" s="1810">
        <f t="shared" si="3"/>
        <v>1</v>
      </c>
      <c r="AB27" s="1810">
        <f t="shared" si="4"/>
        <v>1</v>
      </c>
      <c r="AC27" s="1810">
        <f t="shared" si="5"/>
        <v>1</v>
      </c>
    </row>
    <row r="28" spans="1:29" ht="27">
      <c r="A28" s="427"/>
      <c r="B28" s="632" t="s">
        <v>2685</v>
      </c>
      <c r="C28" s="2711">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82"/>
      <c r="Q28" s="1809" t="str">
        <f t="shared" si="8"/>
        <v>毗邻道路的类型与等级</v>
      </c>
      <c r="R28" s="773" t="s">
        <v>17</v>
      </c>
      <c r="S28" s="774">
        <f t="shared" si="10"/>
        <v>100</v>
      </c>
      <c r="T28" s="773" t="s">
        <v>17</v>
      </c>
      <c r="U28" s="774">
        <f t="shared" si="11"/>
        <v>100</v>
      </c>
      <c r="V28" s="773" t="s">
        <v>17</v>
      </c>
      <c r="W28" s="774">
        <f t="shared" si="12"/>
        <v>100</v>
      </c>
      <c r="X28" s="1812"/>
      <c r="Y28" s="3282"/>
      <c r="Z28" s="1813" t="str">
        <f t="shared" si="13"/>
        <v>毗邻道路的类型与等级</v>
      </c>
      <c r="AA28" s="1810">
        <f t="shared" si="3"/>
        <v>1</v>
      </c>
      <c r="AB28" s="1810">
        <f t="shared" si="4"/>
        <v>1</v>
      </c>
      <c r="AC28" s="1810">
        <f t="shared" si="5"/>
        <v>1</v>
      </c>
    </row>
    <row r="29" spans="1:29" ht="15">
      <c r="A29" s="427"/>
      <c r="B29" s="631"/>
      <c r="C29" s="446"/>
      <c r="D29" s="447"/>
      <c r="E29" s="2609"/>
      <c r="F29" s="447"/>
      <c r="G29" s="2609"/>
      <c r="H29" s="447"/>
      <c r="I29" s="2609"/>
      <c r="J29" s="447"/>
      <c r="K29" s="612"/>
      <c r="L29" s="1139"/>
      <c r="M29" s="1130"/>
      <c r="N29" s="1130"/>
      <c r="O29" s="1138"/>
      <c r="P29" s="3282"/>
      <c r="Q29" s="1809"/>
      <c r="R29" s="773"/>
      <c r="S29" s="774"/>
      <c r="T29" s="773"/>
      <c r="U29" s="774"/>
      <c r="V29" s="773"/>
      <c r="W29" s="774"/>
      <c r="X29" s="1812"/>
      <c r="Y29" s="3282"/>
      <c r="Z29" s="1813"/>
      <c r="AA29" s="1810">
        <v>1</v>
      </c>
      <c r="AB29" s="1810">
        <v>1</v>
      </c>
      <c r="AC29" s="1810">
        <v>1</v>
      </c>
    </row>
    <row r="30" spans="1:29" ht="15">
      <c r="A30" s="427"/>
      <c r="B30" s="653" t="s">
        <v>2744</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82"/>
      <c r="Q30" s="1809" t="str">
        <f t="shared" si="8"/>
        <v>土地级别</v>
      </c>
      <c r="R30" s="773" t="s">
        <v>17</v>
      </c>
      <c r="S30" s="774">
        <f t="shared" si="10"/>
        <v>100</v>
      </c>
      <c r="T30" s="773" t="s">
        <v>17</v>
      </c>
      <c r="U30" s="774">
        <f t="shared" si="11"/>
        <v>100</v>
      </c>
      <c r="V30" s="773" t="s">
        <v>17</v>
      </c>
      <c r="W30" s="774">
        <f t="shared" si="12"/>
        <v>100</v>
      </c>
      <c r="X30" s="1812"/>
      <c r="Y30" s="3282"/>
      <c r="Z30" s="1813" t="str">
        <f t="shared" si="13"/>
        <v>土地级别</v>
      </c>
      <c r="AA30" s="1810">
        <f t="shared" si="3"/>
        <v>1</v>
      </c>
      <c r="AB30" s="1810">
        <f t="shared" si="4"/>
        <v>1</v>
      </c>
      <c r="AC30" s="1810">
        <f t="shared" si="5"/>
        <v>1</v>
      </c>
    </row>
    <row r="31" spans="1:29" ht="15">
      <c r="A31" s="403"/>
      <c r="B31" s="2676">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82"/>
      <c r="Q31" s="1809">
        <f t="shared" si="8"/>
        <v>111</v>
      </c>
      <c r="R31" s="773" t="s">
        <v>17</v>
      </c>
      <c r="S31" s="774">
        <f t="shared" si="10"/>
        <v>100</v>
      </c>
      <c r="T31" s="773" t="s">
        <v>17</v>
      </c>
      <c r="U31" s="774">
        <f t="shared" si="11"/>
        <v>100</v>
      </c>
      <c r="V31" s="773" t="s">
        <v>17</v>
      </c>
      <c r="W31" s="774">
        <f t="shared" si="12"/>
        <v>100</v>
      </c>
      <c r="X31" s="1812"/>
      <c r="Y31" s="3282"/>
      <c r="Z31" s="1813">
        <f t="shared" si="13"/>
        <v>111</v>
      </c>
      <c r="AA31" s="1810">
        <f t="shared" si="3"/>
        <v>1</v>
      </c>
      <c r="AB31" s="1810">
        <f t="shared" si="4"/>
        <v>1</v>
      </c>
      <c r="AC31" s="1810">
        <f t="shared" si="5"/>
        <v>1</v>
      </c>
    </row>
    <row r="32" spans="1:29" ht="15">
      <c r="A32" s="674"/>
      <c r="B32" s="2712">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337" t="s">
        <v>2559</v>
      </c>
      <c r="Q32" s="1809">
        <f t="shared" si="8"/>
        <v>111</v>
      </c>
      <c r="R32" s="773" t="s">
        <v>17</v>
      </c>
      <c r="S32" s="774">
        <f t="shared" si="10"/>
        <v>100</v>
      </c>
      <c r="T32" s="773" t="s">
        <v>17</v>
      </c>
      <c r="U32" s="774">
        <f t="shared" si="11"/>
        <v>100</v>
      </c>
      <c r="V32" s="773" t="s">
        <v>17</v>
      </c>
      <c r="W32" s="774">
        <f t="shared" si="12"/>
        <v>100</v>
      </c>
      <c r="X32" s="1812"/>
      <c r="Y32" s="3286" t="s">
        <v>2559</v>
      </c>
      <c r="Z32" s="1813">
        <f t="shared" si="13"/>
        <v>111</v>
      </c>
      <c r="AA32" s="1810">
        <f t="shared" si="3"/>
        <v>1</v>
      </c>
      <c r="AB32" s="1810">
        <f t="shared" si="4"/>
        <v>1</v>
      </c>
      <c r="AC32" s="1810">
        <f t="shared" si="5"/>
        <v>1</v>
      </c>
    </row>
    <row r="33" spans="1:29" s="470" customFormat="1" ht="15.75" thickBot="1">
      <c r="A33" s="675"/>
      <c r="B33" s="2713">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86"/>
      <c r="Q33" s="1809">
        <f t="shared" si="8"/>
        <v>111</v>
      </c>
      <c r="R33" s="776" t="s">
        <v>17</v>
      </c>
      <c r="S33" s="777">
        <f t="shared" si="10"/>
        <v>100</v>
      </c>
      <c r="T33" s="776" t="s">
        <v>17</v>
      </c>
      <c r="U33" s="777">
        <f t="shared" si="11"/>
        <v>100</v>
      </c>
      <c r="V33" s="776" t="s">
        <v>17</v>
      </c>
      <c r="W33" s="777">
        <f t="shared" si="12"/>
        <v>100</v>
      </c>
      <c r="X33" s="778"/>
      <c r="Y33" s="3286"/>
      <c r="Z33" s="779">
        <f t="shared" si="13"/>
        <v>111</v>
      </c>
      <c r="AA33" s="1810">
        <f t="shared" si="3"/>
        <v>1</v>
      </c>
      <c r="AB33" s="1810">
        <f t="shared" si="4"/>
        <v>1</v>
      </c>
      <c r="AC33" s="1810">
        <f t="shared" si="5"/>
        <v>1</v>
      </c>
    </row>
    <row r="34" spans="1:29" ht="15">
      <c r="A34" s="439" t="s">
        <v>2557</v>
      </c>
      <c r="B34" s="455" t="s">
        <v>2745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86"/>
      <c r="Q34" s="1809" t="str">
        <f>B34</f>
        <v>宗地面积</v>
      </c>
      <c r="R34" s="773" t="s">
        <v>17</v>
      </c>
      <c r="S34" s="774" t="e">
        <f t="shared" si="10"/>
        <v>#N/A</v>
      </c>
      <c r="T34" s="773" t="s">
        <v>17</v>
      </c>
      <c r="U34" s="774" t="e">
        <f t="shared" si="11"/>
        <v>#N/A</v>
      </c>
      <c r="V34" s="773" t="s">
        <v>17</v>
      </c>
      <c r="W34" s="774" t="e">
        <f t="shared" si="12"/>
        <v>#N/A</v>
      </c>
      <c r="X34" s="1812"/>
      <c r="Y34" s="3286"/>
      <c r="Z34" s="1813" t="str">
        <f t="shared" si="13"/>
        <v>宗地面积</v>
      </c>
      <c r="AA34" s="1810" t="e">
        <f t="shared" si="3"/>
        <v>#N/A</v>
      </c>
      <c r="AB34" s="1810" t="e">
        <f t="shared" si="4"/>
        <v>#N/A</v>
      </c>
      <c r="AC34" s="1810" t="e">
        <f t="shared" si="5"/>
        <v>#N/A</v>
      </c>
    </row>
    <row r="35" spans="1:29" ht="15">
      <c r="A35" s="471"/>
      <c r="B35" s="421" t="s">
        <v>2746</v>
      </c>
      <c r="C35" s="2611"/>
      <c r="D35" s="434">
        <v>100</v>
      </c>
      <c r="E35" s="2611"/>
      <c r="F35" s="434">
        <f>SUMIF(110:110,E35,111:111)-SUMIF(110:110,C35,111:111)+100</f>
        <v>100</v>
      </c>
      <c r="G35" s="2611"/>
      <c r="H35" s="434">
        <f>SUMIF(110:110,G35,111:111)-SUMIF(110:110,C35,111:111)+100</f>
        <v>100</v>
      </c>
      <c r="I35" s="2611"/>
      <c r="J35" s="434">
        <f>SUMIF(110:110,I35,111:111)-SUMIF(110:110,C35,111:111)+100</f>
        <v>100</v>
      </c>
      <c r="K35" s="611"/>
      <c r="L35" s="1139"/>
      <c r="M35" s="1130"/>
      <c r="N35" s="1130"/>
      <c r="O35" s="1138"/>
      <c r="P35" s="3286"/>
      <c r="Q35" s="1809" t="str">
        <f t="shared" ref="Q35:Q40" si="14">B35</f>
        <v>宗地形状</v>
      </c>
      <c r="R35" s="773" t="s">
        <v>17</v>
      </c>
      <c r="S35" s="774">
        <f t="shared" si="10"/>
        <v>100</v>
      </c>
      <c r="T35" s="773" t="s">
        <v>17</v>
      </c>
      <c r="U35" s="774">
        <f t="shared" si="11"/>
        <v>100</v>
      </c>
      <c r="V35" s="773" t="s">
        <v>17</v>
      </c>
      <c r="W35" s="774">
        <f t="shared" si="12"/>
        <v>100</v>
      </c>
      <c r="X35" s="1812"/>
      <c r="Y35" s="3286"/>
      <c r="Z35" s="1813" t="str">
        <f t="shared" si="13"/>
        <v>宗地形状</v>
      </c>
      <c r="AA35" s="1810">
        <f t="shared" si="3"/>
        <v>1</v>
      </c>
      <c r="AB35" s="1810">
        <f t="shared" si="4"/>
        <v>1</v>
      </c>
      <c r="AC35" s="1810">
        <f t="shared" si="5"/>
        <v>1</v>
      </c>
    </row>
    <row r="36" spans="1:29" s="117" customFormat="1" ht="15">
      <c r="A36" s="472"/>
      <c r="B36" s="421" t="s">
        <v>2748</v>
      </c>
      <c r="C36" s="2700"/>
      <c r="D36" s="135">
        <v>100</v>
      </c>
      <c r="E36" s="2700"/>
      <c r="F36" s="434">
        <f>SUMIF(112:112,E36,113:113)-SUMIF(112:112,C36,113:113)+100</f>
        <v>100</v>
      </c>
      <c r="G36" s="2700"/>
      <c r="H36" s="434">
        <f>SUMIF(112:112,G36,113:113)-SUMIF(112:112,C36,113:113)+100</f>
        <v>100</v>
      </c>
      <c r="I36" s="2700"/>
      <c r="J36" s="434">
        <f>SUMIF(112:112,I36,113:113)-SUMIF(112:112,C36,113:113)+100</f>
        <v>100</v>
      </c>
      <c r="K36" s="611"/>
      <c r="L36" s="1131"/>
      <c r="M36" s="1132"/>
      <c r="N36" s="1132"/>
      <c r="O36" s="1133"/>
      <c r="P36" s="3286"/>
      <c r="Q36" s="1809" t="str">
        <f t="shared" si="14"/>
        <v>宗地开发程度</v>
      </c>
      <c r="R36" s="769" t="s">
        <v>17</v>
      </c>
      <c r="S36" s="770">
        <f t="shared" si="10"/>
        <v>100</v>
      </c>
      <c r="T36" s="769" t="s">
        <v>17</v>
      </c>
      <c r="U36" s="770">
        <f t="shared" si="11"/>
        <v>100</v>
      </c>
      <c r="V36" s="769" t="s">
        <v>17</v>
      </c>
      <c r="W36" s="770">
        <f t="shared" si="12"/>
        <v>100</v>
      </c>
      <c r="X36" s="771"/>
      <c r="Y36" s="3286"/>
      <c r="Z36" s="55" t="str">
        <f t="shared" si="13"/>
        <v>宗地开发程度</v>
      </c>
      <c r="AA36" s="772">
        <f t="shared" si="3"/>
        <v>1</v>
      </c>
      <c r="AB36" s="772">
        <f t="shared" si="4"/>
        <v>1</v>
      </c>
      <c r="AC36" s="772">
        <f t="shared" si="5"/>
        <v>1</v>
      </c>
    </row>
    <row r="37" spans="1:29" ht="15">
      <c r="A37" s="471"/>
      <c r="B37" s="421" t="s">
        <v>2749</v>
      </c>
      <c r="C37" s="2611"/>
      <c r="D37" s="434">
        <v>100</v>
      </c>
      <c r="E37" s="2611"/>
      <c r="F37" s="434">
        <f>SUMIF(114:114,E37,115:115)-SUMIF(114:114,C37,115:115)+100</f>
        <v>100</v>
      </c>
      <c r="G37" s="2611"/>
      <c r="H37" s="434">
        <f>SUMIF(114:114,G37,115:115)-SUMIF(114:114,C37,115:115)+100</f>
        <v>100</v>
      </c>
      <c r="I37" s="2611"/>
      <c r="J37" s="434">
        <f>SUMIF(114:114,I37,115:115)-SUMIF(114:114,C37,115:115)+100</f>
        <v>100</v>
      </c>
      <c r="K37" s="611"/>
      <c r="L37" s="1139"/>
      <c r="M37" s="1130"/>
      <c r="N37" s="1130"/>
      <c r="O37" s="1138"/>
      <c r="P37" s="3286" t="s">
        <v>2559</v>
      </c>
      <c r="Q37" s="1809" t="str">
        <f t="shared" si="14"/>
        <v>工程地质条件</v>
      </c>
      <c r="R37" s="773" t="s">
        <v>17</v>
      </c>
      <c r="S37" s="774">
        <f t="shared" si="10"/>
        <v>100</v>
      </c>
      <c r="T37" s="773" t="s">
        <v>17</v>
      </c>
      <c r="U37" s="774">
        <f t="shared" si="11"/>
        <v>100</v>
      </c>
      <c r="V37" s="773" t="s">
        <v>17</v>
      </c>
      <c r="W37" s="774">
        <f t="shared" si="12"/>
        <v>100</v>
      </c>
      <c r="X37" s="1812"/>
      <c r="Y37" s="3286" t="s">
        <v>2559</v>
      </c>
      <c r="Z37" s="1813" t="str">
        <f t="shared" si="13"/>
        <v>工程地质条件</v>
      </c>
      <c r="AA37" s="1810">
        <f t="shared" si="3"/>
        <v>1</v>
      </c>
      <c r="AB37" s="1810">
        <f t="shared" si="4"/>
        <v>1</v>
      </c>
      <c r="AC37" s="1810">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86"/>
      <c r="Q38" s="1809">
        <f t="shared" si="14"/>
        <v>111</v>
      </c>
      <c r="R38" s="773" t="s">
        <v>17</v>
      </c>
      <c r="S38" s="774">
        <f t="shared" si="10"/>
        <v>100</v>
      </c>
      <c r="T38" s="773" t="s">
        <v>17</v>
      </c>
      <c r="U38" s="774">
        <f t="shared" si="11"/>
        <v>100</v>
      </c>
      <c r="V38" s="773" t="s">
        <v>17</v>
      </c>
      <c r="W38" s="774">
        <f t="shared" si="12"/>
        <v>100</v>
      </c>
      <c r="X38" s="1812"/>
      <c r="Y38" s="3286"/>
      <c r="Z38" s="1813">
        <f t="shared" si="13"/>
        <v>111</v>
      </c>
      <c r="AA38" s="1810">
        <f t="shared" si="3"/>
        <v>1</v>
      </c>
      <c r="AB38" s="1810">
        <f t="shared" si="4"/>
        <v>1</v>
      </c>
      <c r="AC38" s="1810">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86"/>
      <c r="Q39" s="1809">
        <f t="shared" si="14"/>
        <v>111</v>
      </c>
      <c r="R39" s="773" t="s">
        <v>17</v>
      </c>
      <c r="S39" s="774">
        <f t="shared" si="10"/>
        <v>100</v>
      </c>
      <c r="T39" s="773" t="s">
        <v>17</v>
      </c>
      <c r="U39" s="774">
        <f t="shared" si="11"/>
        <v>100</v>
      </c>
      <c r="V39" s="773" t="s">
        <v>17</v>
      </c>
      <c r="W39" s="774">
        <f t="shared" si="12"/>
        <v>100</v>
      </c>
      <c r="X39" s="1812"/>
      <c r="Y39" s="3286"/>
      <c r="Z39" s="1813">
        <f t="shared" si="13"/>
        <v>111</v>
      </c>
      <c r="AA39" s="1810">
        <f t="shared" si="3"/>
        <v>1</v>
      </c>
      <c r="AB39" s="1810">
        <f t="shared" si="4"/>
        <v>1</v>
      </c>
      <c r="AC39" s="1810">
        <f t="shared" si="5"/>
        <v>1</v>
      </c>
    </row>
    <row r="40" spans="1:29" s="470" customFormat="1" ht="15.75" thickBot="1">
      <c r="A40" s="467"/>
      <c r="B40" s="1386">
        <v>111</v>
      </c>
      <c r="C40" s="2701"/>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86"/>
      <c r="Q40" s="1809">
        <f t="shared" si="14"/>
        <v>111</v>
      </c>
      <c r="R40" s="776" t="s">
        <v>17</v>
      </c>
      <c r="S40" s="777">
        <f t="shared" si="10"/>
        <v>100</v>
      </c>
      <c r="T40" s="776" t="s">
        <v>17</v>
      </c>
      <c r="U40" s="777">
        <f t="shared" si="11"/>
        <v>100</v>
      </c>
      <c r="V40" s="776" t="s">
        <v>17</v>
      </c>
      <c r="W40" s="777">
        <f t="shared" si="12"/>
        <v>100</v>
      </c>
      <c r="X40" s="778"/>
      <c r="Y40" s="3286"/>
      <c r="Z40" s="779">
        <f t="shared" si="13"/>
        <v>111</v>
      </c>
      <c r="AA40" s="1810">
        <f t="shared" si="3"/>
        <v>1</v>
      </c>
      <c r="AB40" s="1810">
        <f t="shared" si="4"/>
        <v>1</v>
      </c>
      <c r="AC40" s="1810">
        <f t="shared" si="5"/>
        <v>1</v>
      </c>
    </row>
    <row r="41" spans="1:29" ht="15">
      <c r="A41" s="478" t="s">
        <v>2714</v>
      </c>
      <c r="B41" s="2702" t="s">
        <v>2794</v>
      </c>
      <c r="C41" s="681" t="s">
        <v>1</v>
      </c>
      <c r="D41" s="480"/>
      <c r="E41" s="481"/>
      <c r="F41" s="482"/>
      <c r="G41" s="483"/>
      <c r="H41" s="484"/>
      <c r="I41" s="481"/>
      <c r="J41" s="484"/>
      <c r="K41" s="782"/>
      <c r="L41" s="1142"/>
      <c r="M41" s="1130"/>
      <c r="N41" s="1130"/>
      <c r="O41" s="1143"/>
      <c r="P41" s="3279" t="str">
        <f>A41</f>
        <v>成交单价</v>
      </c>
      <c r="Q41" s="3279"/>
      <c r="R41" s="3310">
        <f>E41</f>
        <v>0</v>
      </c>
      <c r="S41" s="3310"/>
      <c r="T41" s="3310">
        <f>G41</f>
        <v>0</v>
      </c>
      <c r="U41" s="3310"/>
      <c r="V41" s="3310">
        <f>I41</f>
        <v>0</v>
      </c>
      <c r="W41" s="3310"/>
      <c r="X41" s="758"/>
      <c r="Y41" s="780"/>
      <c r="Z41" s="758"/>
      <c r="AA41" s="758"/>
      <c r="AB41" s="758"/>
      <c r="AC41" s="758"/>
    </row>
    <row r="42" spans="1:29" ht="15.75" thickBot="1">
      <c r="A42" s="485" t="s">
        <v>2663</v>
      </c>
      <c r="B42" s="682"/>
      <c r="C42" s="489" t="e">
        <f>R43</f>
        <v>#DIV/0!</v>
      </c>
      <c r="D42" s="488"/>
      <c r="E42" s="489" t="e">
        <f>R42</f>
        <v>#DIV/0!</v>
      </c>
      <c r="F42" s="490"/>
      <c r="G42" s="487" t="e">
        <f>T42</f>
        <v>#DIV/0!</v>
      </c>
      <c r="H42" s="488"/>
      <c r="I42" s="489" t="e">
        <f>V42</f>
        <v>#DIV/0!</v>
      </c>
      <c r="J42" s="488"/>
      <c r="K42" s="783"/>
      <c r="L42" s="1142"/>
      <c r="M42" s="1130"/>
      <c r="N42" s="1130"/>
      <c r="O42" s="1143"/>
      <c r="P42" s="3279" t="str">
        <f>A42</f>
        <v>比较价值（元/平方米）</v>
      </c>
      <c r="Q42" s="3279"/>
      <c r="R42" s="3353" t="e">
        <f>ROUND(PRODUCT(R41,AA7:AA40),0)</f>
        <v>#DIV/0!</v>
      </c>
      <c r="S42" s="3353"/>
      <c r="T42" s="3353" t="e">
        <f>ROUND(PRODUCT(T41,AB7:AB40),0)</f>
        <v>#DIV/0!</v>
      </c>
      <c r="U42" s="3353"/>
      <c r="V42" s="3353" t="e">
        <f>ROUND(PRODUCT(V41,AC7:AC40),0)</f>
        <v>#DIV/0!</v>
      </c>
      <c r="W42" s="3353"/>
      <c r="X42" s="758"/>
      <c r="Y42" s="758"/>
      <c r="Z42" s="758"/>
      <c r="AA42" s="758"/>
      <c r="AB42" s="758"/>
      <c r="AC42" s="758"/>
    </row>
    <row r="43" spans="1:29" ht="15.75" thickBot="1">
      <c r="A43" s="491" t="s">
        <v>2664</v>
      </c>
      <c r="B43" s="492"/>
      <c r="C43" s="493" t="e">
        <f>R43</f>
        <v>#DIV/0!</v>
      </c>
      <c r="D43" s="493"/>
      <c r="E43" s="493"/>
      <c r="F43" s="493"/>
      <c r="G43" s="493"/>
      <c r="H43" s="493"/>
      <c r="I43" s="493"/>
      <c r="J43" s="493"/>
      <c r="K43" s="784"/>
      <c r="L43" s="1142"/>
      <c r="M43" s="1130"/>
      <c r="N43" s="1130"/>
      <c r="O43" s="1143"/>
      <c r="P43" s="3276" t="str">
        <f>A43</f>
        <v>估价对象XX用房的比较价值（楼面单价，元/平方米）</v>
      </c>
      <c r="Q43" s="3277"/>
      <c r="R43" s="3354" t="e">
        <f>ROUND(AVERAGE(R42:V42),0)</f>
        <v>#DIV/0!</v>
      </c>
      <c r="S43" s="3354"/>
      <c r="T43" s="3354"/>
      <c r="U43" s="3354"/>
      <c r="V43" s="3354"/>
      <c r="W43" s="3354"/>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2752</v>
      </c>
      <c r="B50" s="684" t="s">
        <v>2753</v>
      </c>
      <c r="C50" s="2703" t="s">
        <v>2754</v>
      </c>
      <c r="D50" s="2704" t="s">
        <v>2755</v>
      </c>
      <c r="E50" s="685" t="s">
        <v>2756</v>
      </c>
      <c r="F50" s="686" t="s">
        <v>2757</v>
      </c>
      <c r="G50" s="3294" t="s">
        <v>2758</v>
      </c>
      <c r="H50" s="3355"/>
      <c r="I50" s="1813" t="s">
        <v>2795</v>
      </c>
      <c r="J50" s="1813">
        <f>项目基本情况!F35</f>
        <v>0</v>
      </c>
      <c r="K50" s="2706" t="s">
        <v>2760</v>
      </c>
      <c r="L50" s="1105"/>
      <c r="M50" s="1143"/>
      <c r="N50" s="1143"/>
      <c r="O50" s="1143"/>
    </row>
    <row r="51" spans="1:17" s="691" customFormat="1">
      <c r="A51" s="687" t="s">
        <v>2761</v>
      </c>
      <c r="B51" s="688" t="e">
        <f>C43</f>
        <v>#DIV/0!</v>
      </c>
      <c r="C51" s="689">
        <v>1</v>
      </c>
      <c r="D51" s="1162">
        <v>1</v>
      </c>
      <c r="E51" s="689">
        <f>'数据-汇总表'!E8+'数据-汇总表'!E9</f>
        <v>83197.549999999988</v>
      </c>
      <c r="F51" s="690" t="e">
        <f t="shared" ref="F51:F60" si="15">ROUND(B51*E51/10000,0)</f>
        <v>#DIV/0!</v>
      </c>
      <c r="G51" s="3290"/>
      <c r="H51" s="3279"/>
      <c r="I51" s="941">
        <v>1</v>
      </c>
      <c r="J51" s="941">
        <v>1</v>
      </c>
      <c r="K51" s="1144"/>
      <c r="L51" s="940"/>
      <c r="M51" s="940"/>
      <c r="N51" s="940"/>
      <c r="O51" s="940"/>
    </row>
    <row r="52" spans="1:17" s="691" customFormat="1">
      <c r="A52" s="692" t="s">
        <v>2762</v>
      </c>
      <c r="B52" s="261" t="e">
        <f>ROUND($C$43*C52*D52,0)</f>
        <v>#DIV/0!</v>
      </c>
      <c r="C52" s="199">
        <f t="shared" ref="C52:C60" si="16">IF($C$50="北京市系数",I52,J52)</f>
        <v>0</v>
      </c>
      <c r="D52" s="1163">
        <v>0.25</v>
      </c>
      <c r="E52" s="693"/>
      <c r="F52" s="690" t="e">
        <f t="shared" si="15"/>
        <v>#DIV/0!</v>
      </c>
      <c r="G52" s="3356" t="s">
        <v>2763</v>
      </c>
      <c r="H52" s="1103">
        <f>项目基本情况!B37</f>
        <v>0</v>
      </c>
      <c r="I52" s="941">
        <f>SUMIF(修正!A45:A56,H52,修正!B45:B56)</f>
        <v>0</v>
      </c>
      <c r="J52" s="942"/>
      <c r="K52" s="1143"/>
      <c r="L52" s="940"/>
      <c r="M52" s="940"/>
      <c r="N52" s="940"/>
      <c r="O52" s="940"/>
    </row>
    <row r="53" spans="1:17" s="691" customFormat="1">
      <c r="A53" s="692" t="s">
        <v>2764</v>
      </c>
      <c r="B53" s="261" t="e">
        <f t="shared" ref="B53:B60" si="17">ROUND($C$43*C53*D53,0)</f>
        <v>#DIV/0!</v>
      </c>
      <c r="C53" s="199">
        <f t="shared" si="16"/>
        <v>0</v>
      </c>
      <c r="D53" s="1163">
        <v>0.25</v>
      </c>
      <c r="E53" s="693"/>
      <c r="F53" s="690" t="e">
        <f t="shared" si="15"/>
        <v>#DIV/0!</v>
      </c>
      <c r="G53" s="3356"/>
      <c r="H53" s="1103">
        <f>项目基本情况!B37</f>
        <v>0</v>
      </c>
      <c r="I53" s="941">
        <f>SUMIF(修正!A45:A56,H53,修正!C45:C56)</f>
        <v>0</v>
      </c>
      <c r="J53" s="942"/>
      <c r="K53" s="1144"/>
      <c r="L53" s="940"/>
      <c r="M53" s="940"/>
      <c r="N53" s="940"/>
      <c r="O53" s="940"/>
    </row>
    <row r="54" spans="1:17" s="691" customFormat="1">
      <c r="A54" s="692" t="s">
        <v>2765</v>
      </c>
      <c r="B54" s="261" t="e">
        <f t="shared" si="17"/>
        <v>#DIV/0!</v>
      </c>
      <c r="C54" s="199">
        <f t="shared" si="16"/>
        <v>0</v>
      </c>
      <c r="D54" s="1163">
        <v>0.25</v>
      </c>
      <c r="E54" s="693"/>
      <c r="F54" s="690" t="e">
        <f t="shared" si="15"/>
        <v>#DIV/0!</v>
      </c>
      <c r="G54" s="3356"/>
      <c r="H54" s="1103">
        <f>项目基本情况!B37</f>
        <v>0</v>
      </c>
      <c r="I54" s="941">
        <f>SUMIF(修正!A45:A56,H54,修正!D45:D56)</f>
        <v>0</v>
      </c>
      <c r="J54" s="942"/>
      <c r="K54" s="1143"/>
      <c r="L54" s="940"/>
      <c r="M54" s="940"/>
      <c r="N54" s="940"/>
      <c r="O54" s="940"/>
    </row>
    <row r="55" spans="1:17" s="691" customFormat="1">
      <c r="A55" s="692" t="s">
        <v>2766</v>
      </c>
      <c r="B55" s="261" t="e">
        <f t="shared" si="17"/>
        <v>#DIV/0!</v>
      </c>
      <c r="C55" s="199">
        <f t="shared" si="16"/>
        <v>0</v>
      </c>
      <c r="D55" s="1163">
        <v>0.25</v>
      </c>
      <c r="E55" s="693"/>
      <c r="F55" s="690" t="e">
        <f t="shared" si="15"/>
        <v>#DIV/0!</v>
      </c>
      <c r="G55" s="3356"/>
      <c r="H55" s="1103">
        <f>项目基本情况!B37</f>
        <v>0</v>
      </c>
      <c r="I55" s="941">
        <f>SUMIF(修正!A45:A56,H55,修正!E45:E56)</f>
        <v>0</v>
      </c>
      <c r="J55" s="942"/>
      <c r="K55" s="1144"/>
      <c r="L55" s="940"/>
      <c r="M55" s="940"/>
      <c r="N55" s="940"/>
      <c r="O55" s="940"/>
    </row>
    <row r="56" spans="1:17" s="691" customFormat="1">
      <c r="A56" s="692" t="s">
        <v>2767</v>
      </c>
      <c r="B56" s="261" t="e">
        <f t="shared" si="17"/>
        <v>#DIV/0!</v>
      </c>
      <c r="C56" s="199">
        <f t="shared" si="16"/>
        <v>0</v>
      </c>
      <c r="D56" s="1163">
        <v>0.25</v>
      </c>
      <c r="E56" s="260">
        <f>'数据-汇总表'!E11</f>
        <v>0</v>
      </c>
      <c r="F56" s="690" t="e">
        <f t="shared" si="15"/>
        <v>#DIV/0!</v>
      </c>
      <c r="G56" s="2707" t="s">
        <v>2768</v>
      </c>
      <c r="H56" s="1103">
        <f>项目基本情况!C37</f>
        <v>0</v>
      </c>
      <c r="I56" s="941">
        <f>SUMIF(修正!A45:A56,H56,修正!F45:F56)</f>
        <v>0</v>
      </c>
      <c r="J56" s="942"/>
      <c r="K56" s="1143"/>
      <c r="L56" s="940"/>
      <c r="M56" s="940"/>
      <c r="N56" s="940"/>
      <c r="O56" s="940"/>
    </row>
    <row r="57" spans="1:17" s="691" customFormat="1">
      <c r="A57" s="692" t="s">
        <v>2769</v>
      </c>
      <c r="B57" s="261" t="e">
        <f t="shared" si="17"/>
        <v>#DIV/0!</v>
      </c>
      <c r="C57" s="199">
        <f t="shared" si="16"/>
        <v>0</v>
      </c>
      <c r="D57" s="1163">
        <v>0.25</v>
      </c>
      <c r="E57" s="260">
        <f>'数据-汇总表'!E12</f>
        <v>0</v>
      </c>
      <c r="F57" s="690" t="e">
        <f t="shared" si="15"/>
        <v>#DIV/0!</v>
      </c>
      <c r="G57" s="1108" t="s">
        <v>2770</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2771</v>
      </c>
      <c r="B58" s="261" t="e">
        <f t="shared" si="17"/>
        <v>#DIV/0!</v>
      </c>
      <c r="C58" s="199">
        <f t="shared" si="16"/>
        <v>0</v>
      </c>
      <c r="D58" s="1163">
        <v>0.25</v>
      </c>
      <c r="E58" s="260">
        <f>'数据-汇总表'!E13</f>
        <v>0</v>
      </c>
      <c r="F58" s="690" t="e">
        <f t="shared" si="15"/>
        <v>#DIV/0!</v>
      </c>
      <c r="G58" s="1108" t="s">
        <v>2772</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2773</v>
      </c>
      <c r="B59" s="261" t="e">
        <f t="shared" si="17"/>
        <v>#DIV/0!</v>
      </c>
      <c r="C59" s="199">
        <f t="shared" si="16"/>
        <v>0</v>
      </c>
      <c r="D59" s="1163">
        <v>0.25</v>
      </c>
      <c r="E59" s="260">
        <f>'数据-汇总表'!E14</f>
        <v>0</v>
      </c>
      <c r="F59" s="690" t="e">
        <f t="shared" si="15"/>
        <v>#DIV/0!</v>
      </c>
      <c r="G59" s="2707" t="s">
        <v>2763</v>
      </c>
      <c r="H59" s="1103">
        <f>项目基本情况!B37</f>
        <v>0</v>
      </c>
      <c r="I59" s="941">
        <f>SUMIF(修正!A45:A56,H59,修正!H45:H56)</f>
        <v>0</v>
      </c>
      <c r="J59" s="942"/>
      <c r="K59" s="1144"/>
      <c r="L59" s="940"/>
      <c r="M59" s="940"/>
      <c r="N59" s="940"/>
      <c r="O59" s="940"/>
    </row>
    <row r="60" spans="1:17" s="691" customFormat="1" ht="15" thickBot="1">
      <c r="A60" s="692" t="s">
        <v>2774</v>
      </c>
      <c r="B60" s="261" t="e">
        <f t="shared" si="17"/>
        <v>#DIV/0!</v>
      </c>
      <c r="C60" s="199">
        <f t="shared" si="16"/>
        <v>0</v>
      </c>
      <c r="D60" s="1163">
        <v>0.25</v>
      </c>
      <c r="E60" s="260">
        <f>'数据-汇总表'!E15</f>
        <v>0</v>
      </c>
      <c r="F60" s="690" t="e">
        <f t="shared" si="15"/>
        <v>#DIV/0!</v>
      </c>
      <c r="G60" s="2708" t="s">
        <v>2768</v>
      </c>
      <c r="H60" s="1113">
        <f>项目基本情况!C37</f>
        <v>0</v>
      </c>
      <c r="I60" s="941">
        <f>SUMIF(修正!A45:A56,H60,修正!H45:H56)</f>
        <v>0</v>
      </c>
      <c r="J60" s="942"/>
      <c r="K60" s="1143"/>
      <c r="L60" s="940"/>
      <c r="M60" s="940"/>
      <c r="N60" s="940"/>
      <c r="O60" s="940"/>
    </row>
    <row r="61" spans="1:17" s="691" customFormat="1" ht="15" thickBot="1">
      <c r="A61" s="694" t="s">
        <v>2775</v>
      </c>
      <c r="B61" s="695" t="s">
        <v>28</v>
      </c>
      <c r="C61" s="695" t="s">
        <v>29</v>
      </c>
      <c r="D61" s="695" t="s">
        <v>1026</v>
      </c>
      <c r="E61" s="695">
        <f>IF(B41="楼面地价",SUM(E51:E60),'数据-汇总表'!D3)</f>
        <v>86905.919999999998</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2019-8-1</v>
      </c>
      <c r="D63" s="760">
        <f>EDATE(C63,-3)</f>
        <v>43586</v>
      </c>
      <c r="E63" s="760">
        <f>EDATE(D63,-3)</f>
        <v>43497</v>
      </c>
      <c r="F63" s="760">
        <f t="shared" ref="F63:O63" si="18">EDATE(E63,-3)</f>
        <v>43405</v>
      </c>
      <c r="G63" s="760">
        <f t="shared" si="18"/>
        <v>43313</v>
      </c>
      <c r="H63" s="760">
        <f t="shared" si="18"/>
        <v>43221</v>
      </c>
      <c r="I63" s="760">
        <f t="shared" si="18"/>
        <v>43132</v>
      </c>
      <c r="J63" s="760">
        <f t="shared" si="18"/>
        <v>43040</v>
      </c>
      <c r="K63" s="760">
        <f t="shared" si="18"/>
        <v>42948</v>
      </c>
      <c r="L63" s="760">
        <f t="shared" si="18"/>
        <v>42856</v>
      </c>
      <c r="M63" s="760">
        <f t="shared" si="18"/>
        <v>42767</v>
      </c>
      <c r="N63" s="760">
        <f t="shared" si="18"/>
        <v>42675</v>
      </c>
      <c r="O63" s="760">
        <f t="shared" si="18"/>
        <v>42583</v>
      </c>
    </row>
    <row r="64" spans="1:17" ht="21.75" thickBot="1">
      <c r="A64" s="762" t="s">
        <v>2668</v>
      </c>
      <c r="B64" s="758"/>
      <c r="C64" s="763"/>
      <c r="D64" s="763"/>
      <c r="E64" s="763"/>
      <c r="F64" s="764"/>
      <c r="G64" s="764"/>
      <c r="H64" s="763"/>
      <c r="I64" s="763"/>
      <c r="J64" s="763"/>
      <c r="K64" s="765"/>
      <c r="L64" s="766"/>
      <c r="M64" s="763"/>
      <c r="N64" s="763"/>
      <c r="O64" s="1158"/>
      <c r="P64" s="502"/>
      <c r="Q64" s="503"/>
    </row>
    <row r="65" spans="1:17" s="507" customFormat="1" ht="15">
      <c r="A65" s="2709" t="s">
        <v>2776</v>
      </c>
      <c r="B65" s="1358"/>
      <c r="C65" s="1571" t="str">
        <f>YEAR(C63)&amp;"-"&amp;ROUNDUP(MONTH(C63)/3,0)</f>
        <v>2019-3</v>
      </c>
      <c r="D65" s="1571" t="str">
        <f t="shared" ref="D65:O65" si="19">YEAR(D63)&amp;"-"&amp;ROUNDUP(MONTH(D63)/3,0)</f>
        <v>2019-2</v>
      </c>
      <c r="E65" s="1571" t="str">
        <f t="shared" si="19"/>
        <v>2019-1</v>
      </c>
      <c r="F65" s="1571" t="str">
        <f t="shared" si="19"/>
        <v>2018-4</v>
      </c>
      <c r="G65" s="1571" t="str">
        <f t="shared" si="19"/>
        <v>2018-3</v>
      </c>
      <c r="H65" s="1571" t="str">
        <f t="shared" si="19"/>
        <v>2018-2</v>
      </c>
      <c r="I65" s="1571" t="str">
        <f t="shared" si="19"/>
        <v>2018-1</v>
      </c>
      <c r="J65" s="1571" t="str">
        <f t="shared" si="19"/>
        <v>2017-4</v>
      </c>
      <c r="K65" s="1571" t="str">
        <f t="shared" si="19"/>
        <v>2017-3</v>
      </c>
      <c r="L65" s="1571" t="str">
        <f t="shared" si="19"/>
        <v>2017-2</v>
      </c>
      <c r="M65" s="1571" t="str">
        <f t="shared" si="19"/>
        <v>2017-1</v>
      </c>
      <c r="N65" s="1571" t="str">
        <f t="shared" si="19"/>
        <v>2016-4</v>
      </c>
      <c r="O65" s="1571" t="str">
        <f t="shared" si="19"/>
        <v>2016-3</v>
      </c>
      <c r="P65" s="506"/>
    </row>
    <row r="66" spans="1:17" s="117" customFormat="1" ht="30.75" customHeight="1">
      <c r="A66" s="2714" t="s">
        <v>2796</v>
      </c>
      <c r="B66" s="331" t="str">
        <f>"北京市平均增长率"&amp;TEXT(基准地价修正!P24,"0.00%")</f>
        <v>北京市平均增长率1.40%</v>
      </c>
      <c r="C66" s="602">
        <v>100</v>
      </c>
      <c r="D66" s="594"/>
      <c r="E66" s="594"/>
      <c r="F66" s="594"/>
      <c r="G66" s="594"/>
      <c r="H66" s="594"/>
      <c r="I66" s="594"/>
      <c r="J66" s="594"/>
      <c r="K66" s="594"/>
      <c r="L66" s="594"/>
      <c r="M66" s="1566"/>
      <c r="N66" s="1566"/>
      <c r="O66" s="1568"/>
      <c r="P66" s="503"/>
    </row>
    <row r="67" spans="1:17" s="117" customFormat="1" ht="15.75" thickBot="1">
      <c r="A67" s="514" t="s">
        <v>2579</v>
      </c>
      <c r="B67" s="515"/>
      <c r="C67" s="516"/>
      <c r="D67" s="517"/>
      <c r="E67" s="517"/>
      <c r="F67" s="517"/>
      <c r="G67" s="517"/>
      <c r="H67" s="517"/>
      <c r="I67" s="517"/>
      <c r="J67" s="517"/>
      <c r="K67" s="517"/>
      <c r="L67" s="517"/>
      <c r="M67" s="518"/>
      <c r="N67" s="518"/>
      <c r="O67" s="519"/>
      <c r="P67" s="503"/>
      <c r="Q67" s="503"/>
    </row>
    <row r="68" spans="1:17" s="117" customFormat="1" ht="15">
      <c r="A68" s="520" t="s">
        <v>2544</v>
      </c>
      <c r="B68" s="509"/>
      <c r="C68" s="521" t="s">
        <v>2646</v>
      </c>
      <c r="D68" s="522"/>
      <c r="E68" s="522"/>
      <c r="F68" s="522"/>
      <c r="G68" s="522"/>
      <c r="H68" s="522"/>
      <c r="I68" s="522"/>
      <c r="J68" s="522"/>
      <c r="K68" s="522"/>
      <c r="L68" s="523"/>
      <c r="M68" s="524"/>
      <c r="N68" s="1150"/>
      <c r="O68" s="1150"/>
      <c r="P68" s="525"/>
      <c r="Q68" s="503"/>
    </row>
    <row r="69" spans="1:17" s="117"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2582</v>
      </c>
      <c r="B70" s="527" t="s">
        <v>2548</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2551</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2552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2553</v>
      </c>
      <c r="B83" s="527" t="s">
        <v>2699</v>
      </c>
      <c r="C83" s="572" t="s">
        <v>2591</v>
      </c>
      <c r="D83" s="572" t="s">
        <v>2592</v>
      </c>
      <c r="E83" s="572" t="s">
        <v>2593</v>
      </c>
      <c r="F83" s="572" t="s">
        <v>2594</v>
      </c>
      <c r="G83" s="572" t="s">
        <v>2595</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2596</v>
      </c>
      <c r="C85" s="577" t="s">
        <v>2591</v>
      </c>
      <c r="D85" s="577" t="s">
        <v>2592</v>
      </c>
      <c r="E85" s="577" t="s">
        <v>2593</v>
      </c>
      <c r="F85" s="577" t="s">
        <v>2594</v>
      </c>
      <c r="G85" s="577" t="s">
        <v>2595</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7" customFormat="1" ht="15.75" thickTop="1">
      <c r="A87" s="578"/>
      <c r="B87" s="537" t="s">
        <v>2779</v>
      </c>
      <c r="C87" s="572" t="s">
        <v>2591</v>
      </c>
      <c r="D87" s="572" t="s">
        <v>2592</v>
      </c>
      <c r="E87" s="572" t="s">
        <v>2593</v>
      </c>
      <c r="F87" s="572" t="s">
        <v>2594</v>
      </c>
      <c r="G87" s="572" t="s">
        <v>2595</v>
      </c>
      <c r="H87" s="577"/>
      <c r="I87" s="577"/>
      <c r="J87" s="577"/>
      <c r="K87" s="577"/>
      <c r="L87" s="697"/>
      <c r="M87" s="621"/>
      <c r="N87" s="1150"/>
      <c r="O87" s="1150"/>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7" customFormat="1" ht="27.75" thickTop="1">
      <c r="A89" s="578"/>
      <c r="B89" s="537" t="s">
        <v>2780</v>
      </c>
      <c r="C89" s="572" t="s">
        <v>2591</v>
      </c>
      <c r="D89" s="572" t="s">
        <v>2592</v>
      </c>
      <c r="E89" s="572" t="s">
        <v>2593</v>
      </c>
      <c r="F89" s="572" t="s">
        <v>2594</v>
      </c>
      <c r="G89" s="572" t="s">
        <v>2595</v>
      </c>
      <c r="H89" s="577"/>
      <c r="I89" s="577"/>
      <c r="J89" s="577"/>
      <c r="K89" s="577"/>
      <c r="L89" s="577"/>
      <c r="M89" s="621"/>
      <c r="N89" s="1150"/>
      <c r="O89" s="1150"/>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2648</v>
      </c>
      <c r="C91" s="572" t="s">
        <v>2591</v>
      </c>
      <c r="D91" s="572" t="s">
        <v>2592</v>
      </c>
      <c r="E91" s="572" t="s">
        <v>2593</v>
      </c>
      <c r="F91" s="572" t="s">
        <v>2594</v>
      </c>
      <c r="G91" s="572" t="s">
        <v>2595</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2797</v>
      </c>
      <c r="C93" s="659" t="s">
        <v>2669</v>
      </c>
      <c r="D93" s="659" t="s">
        <v>2670</v>
      </c>
      <c r="E93" s="659" t="s">
        <v>2671</v>
      </c>
      <c r="F93" s="659" t="s">
        <v>2672</v>
      </c>
      <c r="G93" s="659" t="s">
        <v>2673</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2781</v>
      </c>
      <c r="D95" s="538" t="s">
        <v>2782</v>
      </c>
      <c r="E95" s="538" t="s">
        <v>2783</v>
      </c>
      <c r="F95" s="538" t="s">
        <v>2784</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2685</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2744</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4"/>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2557</v>
      </c>
      <c r="B107" s="527" t="s">
        <v>2785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2786</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2788</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2789</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5"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3044</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61" t="s">
        <v>183</v>
      </c>
      <c r="B18" s="881" t="s">
        <v>560</v>
      </c>
      <c r="C18" s="882" t="s">
        <v>561</v>
      </c>
      <c r="D18" s="883"/>
      <c r="E18" s="881">
        <v>1</v>
      </c>
      <c r="F18" s="884" t="s">
        <v>562</v>
      </c>
      <c r="G18" s="885"/>
      <c r="H18" s="877"/>
      <c r="I18" s="877"/>
    </row>
    <row r="19" spans="1:9" s="886" customFormat="1" ht="19.5" customHeight="1">
      <c r="A19" s="3361"/>
      <c r="B19" s="3361" t="s">
        <v>563</v>
      </c>
      <c r="C19" s="882" t="s">
        <v>564</v>
      </c>
      <c r="D19" s="883"/>
      <c r="E19" s="881">
        <v>0.9</v>
      </c>
      <c r="F19" s="884" t="s">
        <v>565</v>
      </c>
      <c r="G19" s="885"/>
      <c r="H19" s="877"/>
      <c r="I19" s="877"/>
    </row>
    <row r="20" spans="1:9" s="886" customFormat="1" ht="19.5" customHeight="1">
      <c r="A20" s="3361"/>
      <c r="B20" s="3361"/>
      <c r="C20" s="882" t="s">
        <v>566</v>
      </c>
      <c r="D20" s="883"/>
      <c r="E20" s="881">
        <v>1.1000000000000001</v>
      </c>
      <c r="F20" s="884" t="s">
        <v>567</v>
      </c>
      <c r="G20" s="885"/>
      <c r="H20" s="877"/>
      <c r="I20" s="877"/>
    </row>
    <row r="21" spans="1:9" s="886" customFormat="1" ht="19.5" customHeight="1">
      <c r="A21" s="3361"/>
      <c r="B21" s="3361"/>
      <c r="C21" s="882" t="s">
        <v>568</v>
      </c>
      <c r="D21" s="883"/>
      <c r="E21" s="881">
        <v>0.8</v>
      </c>
      <c r="F21" s="884" t="s">
        <v>569</v>
      </c>
      <c r="G21" s="885"/>
      <c r="H21" s="877"/>
      <c r="I21" s="877"/>
    </row>
    <row r="22" spans="1:9" s="886" customFormat="1" ht="19.5" customHeight="1">
      <c r="A22" s="3361"/>
      <c r="B22" s="3361"/>
      <c r="C22" s="882" t="s">
        <v>570</v>
      </c>
      <c r="D22" s="883"/>
      <c r="E22" s="881">
        <v>0.5</v>
      </c>
      <c r="F22" s="884"/>
      <c r="G22" s="885"/>
      <c r="H22" s="877"/>
      <c r="I22" s="877"/>
    </row>
    <row r="23" spans="1:9" s="886" customFormat="1" ht="19.5" customHeight="1">
      <c r="A23" s="3361" t="s">
        <v>184</v>
      </c>
      <c r="B23" s="881" t="s">
        <v>560</v>
      </c>
      <c r="C23" s="882" t="s">
        <v>571</v>
      </c>
      <c r="D23" s="883"/>
      <c r="E23" s="881">
        <v>1</v>
      </c>
      <c r="F23" s="884" t="s">
        <v>572</v>
      </c>
      <c r="G23" s="885"/>
      <c r="H23" s="877"/>
      <c r="I23" s="877"/>
    </row>
    <row r="24" spans="1:9" s="886" customFormat="1" ht="19.5" customHeight="1">
      <c r="A24" s="3361"/>
      <c r="B24" s="3361" t="s">
        <v>563</v>
      </c>
      <c r="C24" s="882" t="s">
        <v>573</v>
      </c>
      <c r="D24" s="883"/>
      <c r="E24" s="881">
        <v>0.5</v>
      </c>
      <c r="F24" s="884"/>
      <c r="G24" s="885"/>
      <c r="H24" s="877"/>
      <c r="I24" s="877"/>
    </row>
    <row r="25" spans="1:9" s="886" customFormat="1" ht="19.5" customHeight="1">
      <c r="A25" s="3361"/>
      <c r="B25" s="3361"/>
      <c r="C25" s="882" t="s">
        <v>574</v>
      </c>
      <c r="D25" s="883"/>
      <c r="E25" s="881">
        <v>1.1000000000000001</v>
      </c>
      <c r="F25" s="884"/>
      <c r="G25" s="885"/>
      <c r="H25" s="877"/>
      <c r="I25" s="877"/>
    </row>
    <row r="26" spans="1:9" s="886" customFormat="1" ht="19.5" customHeight="1">
      <c r="A26" s="3361"/>
      <c r="B26" s="3361"/>
      <c r="C26" s="882" t="s">
        <v>575</v>
      </c>
      <c r="D26" s="883"/>
      <c r="E26" s="881">
        <v>1.1000000000000001</v>
      </c>
      <c r="F26" s="884"/>
      <c r="G26" s="885"/>
      <c r="H26" s="877"/>
      <c r="I26" s="877"/>
    </row>
    <row r="27" spans="1:9" s="886" customFormat="1" ht="19.5" customHeight="1">
      <c r="A27" s="3361"/>
      <c r="B27" s="3361"/>
      <c r="C27" s="882" t="s">
        <v>576</v>
      </c>
      <c r="D27" s="883"/>
      <c r="E27" s="881">
        <v>0.9</v>
      </c>
      <c r="F27" s="884" t="s">
        <v>577</v>
      </c>
      <c r="G27" s="885"/>
      <c r="H27" s="877"/>
      <c r="I27" s="877"/>
    </row>
    <row r="28" spans="1:9" s="886" customFormat="1" ht="19.5" customHeight="1">
      <c r="A28" s="3361"/>
      <c r="B28" s="3361"/>
      <c r="C28" s="882" t="s">
        <v>578</v>
      </c>
      <c r="D28" s="883"/>
      <c r="E28" s="881">
        <v>0.9</v>
      </c>
      <c r="F28" s="884" t="s">
        <v>579</v>
      </c>
      <c r="G28" s="885"/>
      <c r="H28" s="877"/>
      <c r="I28" s="877"/>
    </row>
    <row r="29" spans="1:9" s="886" customFormat="1" ht="19.5" customHeight="1">
      <c r="A29" s="3361"/>
      <c r="B29" s="3361"/>
      <c r="C29" s="882" t="s">
        <v>580</v>
      </c>
      <c r="D29" s="883"/>
      <c r="E29" s="881">
        <v>0.9</v>
      </c>
      <c r="F29" s="884" t="s">
        <v>581</v>
      </c>
      <c r="G29" s="885"/>
      <c r="H29" s="877"/>
      <c r="I29" s="877"/>
    </row>
    <row r="30" spans="1:9" s="886" customFormat="1" ht="19.5" customHeight="1">
      <c r="A30" s="3361"/>
      <c r="B30" s="3361"/>
      <c r="C30" s="882" t="s">
        <v>582</v>
      </c>
      <c r="D30" s="883"/>
      <c r="E30" s="881">
        <v>0.9</v>
      </c>
      <c r="F30" s="884" t="s">
        <v>583</v>
      </c>
      <c r="G30" s="885"/>
      <c r="H30" s="877"/>
      <c r="I30" s="877"/>
    </row>
    <row r="31" spans="1:9" s="886" customFormat="1" ht="19.5" customHeight="1">
      <c r="A31" s="3361"/>
      <c r="B31" s="3361"/>
      <c r="C31" s="882" t="s">
        <v>584</v>
      </c>
      <c r="D31" s="883"/>
      <c r="E31" s="881">
        <v>0.8</v>
      </c>
      <c r="F31" s="884" t="s">
        <v>585</v>
      </c>
      <c r="G31" s="885"/>
      <c r="H31" s="877"/>
      <c r="I31" s="877"/>
    </row>
    <row r="32" spans="1:9" s="886" customFormat="1" ht="19.5" customHeight="1">
      <c r="A32" s="3361"/>
      <c r="B32" s="3361"/>
      <c r="C32" s="882" t="s">
        <v>586</v>
      </c>
      <c r="D32" s="883"/>
      <c r="E32" s="881">
        <v>0.8</v>
      </c>
      <c r="F32" s="884" t="s">
        <v>587</v>
      </c>
      <c r="G32" s="885"/>
      <c r="H32" s="877"/>
      <c r="I32" s="877"/>
    </row>
    <row r="33" spans="1:9" s="886" customFormat="1" ht="19.5" customHeight="1">
      <c r="A33" s="3361" t="s">
        <v>185</v>
      </c>
      <c r="B33" s="881" t="s">
        <v>560</v>
      </c>
      <c r="C33" s="882" t="s">
        <v>588</v>
      </c>
      <c r="D33" s="883"/>
      <c r="E33" s="881">
        <v>1</v>
      </c>
      <c r="F33" s="884" t="s">
        <v>589</v>
      </c>
      <c r="G33" s="885"/>
      <c r="H33" s="877"/>
      <c r="I33" s="877"/>
    </row>
    <row r="34" spans="1:9" s="886" customFormat="1" ht="19.5" customHeight="1">
      <c r="A34" s="3361"/>
      <c r="B34" s="881" t="s">
        <v>563</v>
      </c>
      <c r="C34" s="882" t="s">
        <v>590</v>
      </c>
      <c r="D34" s="883"/>
      <c r="E34" s="881">
        <v>1.5</v>
      </c>
      <c r="F34" s="884" t="s">
        <v>591</v>
      </c>
      <c r="G34" s="885"/>
      <c r="H34" s="877"/>
      <c r="I34" s="877"/>
    </row>
    <row r="35" spans="1:9" s="886" customFormat="1" ht="19.5" customHeight="1">
      <c r="A35" s="3361" t="s">
        <v>186</v>
      </c>
      <c r="B35" s="881" t="s">
        <v>560</v>
      </c>
      <c r="C35" s="882" t="s">
        <v>592</v>
      </c>
      <c r="D35" s="883"/>
      <c r="E35" s="881">
        <v>1</v>
      </c>
      <c r="F35" s="884" t="s">
        <v>593</v>
      </c>
      <c r="G35" s="885"/>
      <c r="H35" s="877"/>
      <c r="I35" s="877"/>
    </row>
    <row r="36" spans="1:9" s="886" customFormat="1" ht="19.5" customHeight="1">
      <c r="A36" s="3361"/>
      <c r="B36" s="3361" t="s">
        <v>563</v>
      </c>
      <c r="C36" s="882" t="s">
        <v>594</v>
      </c>
      <c r="D36" s="883"/>
      <c r="E36" s="881">
        <v>1</v>
      </c>
      <c r="F36" s="884" t="s">
        <v>595</v>
      </c>
      <c r="G36" s="885"/>
      <c r="H36" s="877"/>
      <c r="I36" s="877"/>
    </row>
    <row r="37" spans="1:9" s="886" customFormat="1" ht="19.5" customHeight="1">
      <c r="A37" s="3361"/>
      <c r="B37" s="3361"/>
      <c r="C37" s="882" t="s">
        <v>596</v>
      </c>
      <c r="D37" s="883"/>
      <c r="E37" s="881">
        <v>1.5</v>
      </c>
      <c r="F37" s="884" t="s">
        <v>597</v>
      </c>
      <c r="G37" s="885"/>
      <c r="H37" s="877"/>
      <c r="I37" s="877"/>
    </row>
    <row r="38" spans="1:9" s="886" customFormat="1" ht="19.5" customHeight="1">
      <c r="A38" s="3361"/>
      <c r="B38" s="3361"/>
      <c r="C38" s="882" t="s">
        <v>598</v>
      </c>
      <c r="D38" s="883"/>
      <c r="E38" s="881">
        <v>1</v>
      </c>
      <c r="F38" s="884" t="s">
        <v>599</v>
      </c>
      <c r="G38" s="885"/>
      <c r="H38" s="877"/>
      <c r="I38" s="877"/>
    </row>
    <row r="39" spans="1:9" s="886" customFormat="1" ht="19.5" customHeight="1">
      <c r="A39" s="3361"/>
      <c r="B39" s="3361"/>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61" t="s">
        <v>614</v>
      </c>
      <c r="C61" s="817" t="s">
        <v>615</v>
      </c>
      <c r="D61" s="817" t="s">
        <v>616</v>
      </c>
      <c r="E61" s="894">
        <v>0.5</v>
      </c>
      <c r="F61" s="881">
        <v>80</v>
      </c>
    </row>
    <row r="62" spans="1:8" s="877" customFormat="1" ht="24">
      <c r="A62" s="881">
        <v>2</v>
      </c>
      <c r="B62" s="3361"/>
      <c r="C62" s="817" t="s">
        <v>617</v>
      </c>
      <c r="D62" s="817" t="s">
        <v>618</v>
      </c>
      <c r="E62" s="894">
        <v>0.5</v>
      </c>
      <c r="F62" s="881">
        <v>80</v>
      </c>
    </row>
    <row r="63" spans="1:8" s="877" customFormat="1" ht="36">
      <c r="A63" s="881">
        <v>3</v>
      </c>
      <c r="B63" s="3361"/>
      <c r="C63" s="817" t="s">
        <v>619</v>
      </c>
      <c r="D63" s="817" t="s">
        <v>620</v>
      </c>
      <c r="E63" s="894">
        <v>0.5</v>
      </c>
      <c r="F63" s="881">
        <v>80</v>
      </c>
    </row>
    <row r="64" spans="1:8" s="877" customFormat="1" ht="36">
      <c r="A64" s="881">
        <v>4</v>
      </c>
      <c r="B64" s="3361"/>
      <c r="C64" s="817" t="s">
        <v>621</v>
      </c>
      <c r="D64" s="817" t="s">
        <v>622</v>
      </c>
      <c r="E64" s="894">
        <v>0.4</v>
      </c>
      <c r="F64" s="881">
        <v>60</v>
      </c>
    </row>
    <row r="65" spans="1:6" s="877" customFormat="1" ht="36">
      <c r="A65" s="881">
        <v>5</v>
      </c>
      <c r="B65" s="3361"/>
      <c r="C65" s="817" t="s">
        <v>623</v>
      </c>
      <c r="D65" s="817" t="s">
        <v>624</v>
      </c>
      <c r="E65" s="894">
        <v>0.2</v>
      </c>
      <c r="F65" s="881">
        <v>30</v>
      </c>
    </row>
    <row r="66" spans="1:6" s="877" customFormat="1" ht="36">
      <c r="A66" s="881">
        <v>6</v>
      </c>
      <c r="B66" s="3361"/>
      <c r="C66" s="817" t="s">
        <v>625</v>
      </c>
      <c r="D66" s="817" t="s">
        <v>626</v>
      </c>
      <c r="E66" s="894">
        <v>0.3</v>
      </c>
      <c r="F66" s="881">
        <v>50</v>
      </c>
    </row>
    <row r="67" spans="1:6" s="877" customFormat="1" ht="36">
      <c r="A67" s="881">
        <v>7</v>
      </c>
      <c r="B67" s="3361"/>
      <c r="C67" s="817" t="s">
        <v>627</v>
      </c>
      <c r="D67" s="817" t="s">
        <v>628</v>
      </c>
      <c r="E67" s="894">
        <v>0.2</v>
      </c>
      <c r="F67" s="881">
        <v>30</v>
      </c>
    </row>
    <row r="68" spans="1:6" s="877" customFormat="1" ht="36">
      <c r="A68" s="881">
        <v>8</v>
      </c>
      <c r="B68" s="3361"/>
      <c r="C68" s="817" t="s">
        <v>629</v>
      </c>
      <c r="D68" s="817" t="s">
        <v>630</v>
      </c>
      <c r="E68" s="894">
        <v>0.2</v>
      </c>
      <c r="F68" s="881">
        <v>30</v>
      </c>
    </row>
    <row r="69" spans="1:6" s="877" customFormat="1" ht="36">
      <c r="A69" s="881">
        <v>9</v>
      </c>
      <c r="B69" s="3361"/>
      <c r="C69" s="817" t="s">
        <v>631</v>
      </c>
      <c r="D69" s="817" t="s">
        <v>632</v>
      </c>
      <c r="E69" s="894">
        <v>0.2</v>
      </c>
      <c r="F69" s="881">
        <v>30</v>
      </c>
    </row>
    <row r="70" spans="1:6" s="877" customFormat="1" ht="48">
      <c r="A70" s="881">
        <v>10</v>
      </c>
      <c r="B70" s="3361"/>
      <c r="C70" s="817" t="s">
        <v>633</v>
      </c>
      <c r="D70" s="817" t="s">
        <v>634</v>
      </c>
      <c r="E70" s="894">
        <v>0.2</v>
      </c>
      <c r="F70" s="881">
        <v>30</v>
      </c>
    </row>
    <row r="71" spans="1:6" s="877" customFormat="1" ht="48">
      <c r="A71" s="881">
        <v>11</v>
      </c>
      <c r="B71" s="3361"/>
      <c r="C71" s="817" t="s">
        <v>635</v>
      </c>
      <c r="D71" s="817" t="s">
        <v>636</v>
      </c>
      <c r="E71" s="894">
        <v>0.2</v>
      </c>
      <c r="F71" s="881">
        <v>30</v>
      </c>
    </row>
    <row r="72" spans="1:6" s="877" customFormat="1" ht="36">
      <c r="A72" s="881">
        <v>12</v>
      </c>
      <c r="B72" s="3361"/>
      <c r="C72" s="817" t="s">
        <v>637</v>
      </c>
      <c r="D72" s="817" t="s">
        <v>638</v>
      </c>
      <c r="E72" s="894">
        <v>0.5</v>
      </c>
      <c r="F72" s="881">
        <v>80</v>
      </c>
    </row>
    <row r="73" spans="1:6" s="877" customFormat="1" ht="24">
      <c r="A73" s="881">
        <v>13</v>
      </c>
      <c r="B73" s="3361"/>
      <c r="C73" s="817" t="s">
        <v>639</v>
      </c>
      <c r="D73" s="817" t="s">
        <v>640</v>
      </c>
      <c r="E73" s="894">
        <v>0.4</v>
      </c>
      <c r="F73" s="881">
        <v>60</v>
      </c>
    </row>
    <row r="74" spans="1:6" s="877" customFormat="1" ht="24">
      <c r="A74" s="881">
        <v>14</v>
      </c>
      <c r="B74" s="3361"/>
      <c r="C74" s="817" t="s">
        <v>641</v>
      </c>
      <c r="D74" s="817" t="s">
        <v>642</v>
      </c>
      <c r="E74" s="894">
        <v>0.2</v>
      </c>
      <c r="F74" s="881">
        <v>30</v>
      </c>
    </row>
    <row r="75" spans="1:6" s="877" customFormat="1" ht="24">
      <c r="A75" s="881">
        <v>15</v>
      </c>
      <c r="B75" s="3361"/>
      <c r="C75" s="817" t="s">
        <v>643</v>
      </c>
      <c r="D75" s="817" t="s">
        <v>644</v>
      </c>
      <c r="E75" s="894">
        <v>0.2</v>
      </c>
      <c r="F75" s="881">
        <v>30</v>
      </c>
    </row>
    <row r="76" spans="1:6" s="877" customFormat="1" ht="24">
      <c r="A76" s="881">
        <v>16</v>
      </c>
      <c r="B76" s="3361" t="s">
        <v>645</v>
      </c>
      <c r="C76" s="817" t="s">
        <v>646</v>
      </c>
      <c r="D76" s="817" t="s">
        <v>647</v>
      </c>
      <c r="E76" s="894">
        <v>0.5</v>
      </c>
      <c r="F76" s="881">
        <v>80</v>
      </c>
    </row>
    <row r="77" spans="1:6" s="877" customFormat="1" ht="24">
      <c r="A77" s="881">
        <v>17</v>
      </c>
      <c r="B77" s="3361"/>
      <c r="C77" s="817" t="s">
        <v>648</v>
      </c>
      <c r="D77" s="817" t="s">
        <v>649</v>
      </c>
      <c r="E77" s="894">
        <v>0.5</v>
      </c>
      <c r="F77" s="881">
        <v>80</v>
      </c>
    </row>
    <row r="78" spans="1:6" s="877" customFormat="1" ht="24">
      <c r="A78" s="881">
        <v>18</v>
      </c>
      <c r="B78" s="3361"/>
      <c r="C78" s="817" t="s">
        <v>650</v>
      </c>
      <c r="D78" s="817" t="s">
        <v>651</v>
      </c>
      <c r="E78" s="894">
        <v>0.2</v>
      </c>
      <c r="F78" s="881">
        <v>30</v>
      </c>
    </row>
    <row r="79" spans="1:6" s="877" customFormat="1" ht="24">
      <c r="A79" s="881">
        <v>19</v>
      </c>
      <c r="B79" s="3361"/>
      <c r="C79" s="817" t="s">
        <v>652</v>
      </c>
      <c r="D79" s="817" t="s">
        <v>653</v>
      </c>
      <c r="E79" s="894">
        <v>0.5</v>
      </c>
      <c r="F79" s="881">
        <v>80</v>
      </c>
    </row>
    <row r="80" spans="1:6" s="877" customFormat="1" ht="36">
      <c r="A80" s="881">
        <v>20</v>
      </c>
      <c r="B80" s="3361"/>
      <c r="C80" s="817" t="s">
        <v>654</v>
      </c>
      <c r="D80" s="817" t="s">
        <v>655</v>
      </c>
      <c r="E80" s="894">
        <v>0.2</v>
      </c>
      <c r="F80" s="881">
        <v>30</v>
      </c>
    </row>
    <row r="81" spans="1:6" s="877" customFormat="1" ht="36">
      <c r="A81" s="881">
        <v>21</v>
      </c>
      <c r="B81" s="3361"/>
      <c r="C81" s="817" t="s">
        <v>656</v>
      </c>
      <c r="D81" s="817" t="s">
        <v>657</v>
      </c>
      <c r="E81" s="894">
        <v>0.2</v>
      </c>
      <c r="F81" s="881">
        <v>30</v>
      </c>
    </row>
    <row r="82" spans="1:6" s="877" customFormat="1" ht="48">
      <c r="A82" s="881">
        <v>22</v>
      </c>
      <c r="B82" s="3361"/>
      <c r="C82" s="817" t="s">
        <v>658</v>
      </c>
      <c r="D82" s="817" t="s">
        <v>659</v>
      </c>
      <c r="E82" s="894">
        <v>0.2</v>
      </c>
      <c r="F82" s="881">
        <v>30</v>
      </c>
    </row>
    <row r="83" spans="1:6" s="877" customFormat="1" ht="48">
      <c r="A83" s="881">
        <v>23</v>
      </c>
      <c r="B83" s="3361"/>
      <c r="C83" s="817" t="s">
        <v>660</v>
      </c>
      <c r="D83" s="817" t="s">
        <v>661</v>
      </c>
      <c r="E83" s="894">
        <v>0.2</v>
      </c>
      <c r="F83" s="881">
        <v>30</v>
      </c>
    </row>
    <row r="84" spans="1:6" s="877" customFormat="1" ht="36">
      <c r="A84" s="881">
        <v>24</v>
      </c>
      <c r="B84" s="3361"/>
      <c r="C84" s="817" t="s">
        <v>662</v>
      </c>
      <c r="D84" s="817" t="s">
        <v>663</v>
      </c>
      <c r="E84" s="894">
        <v>0.2</v>
      </c>
      <c r="F84" s="881">
        <v>30</v>
      </c>
    </row>
    <row r="85" spans="1:6" s="877" customFormat="1" ht="36">
      <c r="A85" s="881">
        <v>25</v>
      </c>
      <c r="B85" s="3361"/>
      <c r="C85" s="817" t="s">
        <v>664</v>
      </c>
      <c r="D85" s="817" t="s">
        <v>665</v>
      </c>
      <c r="E85" s="894">
        <v>0.5</v>
      </c>
      <c r="F85" s="881">
        <v>80</v>
      </c>
    </row>
    <row r="86" spans="1:6" s="877" customFormat="1" ht="36">
      <c r="A86" s="881">
        <v>26</v>
      </c>
      <c r="B86" s="3361"/>
      <c r="C86" s="817" t="s">
        <v>666</v>
      </c>
      <c r="D86" s="817" t="s">
        <v>667</v>
      </c>
      <c r="E86" s="894">
        <v>0.2</v>
      </c>
      <c r="F86" s="881">
        <v>30</v>
      </c>
    </row>
    <row r="87" spans="1:6" s="877" customFormat="1" ht="36">
      <c r="A87" s="881">
        <v>27</v>
      </c>
      <c r="B87" s="3361"/>
      <c r="C87" s="817" t="s">
        <v>668</v>
      </c>
      <c r="D87" s="817" t="s">
        <v>669</v>
      </c>
      <c r="E87" s="894">
        <v>0.2</v>
      </c>
      <c r="F87" s="881">
        <v>30</v>
      </c>
    </row>
    <row r="88" spans="1:6" s="877" customFormat="1" ht="36">
      <c r="A88" s="881">
        <v>28</v>
      </c>
      <c r="B88" s="3361"/>
      <c r="C88" s="817" t="s">
        <v>670</v>
      </c>
      <c r="D88" s="817" t="s">
        <v>671</v>
      </c>
      <c r="E88" s="894">
        <v>0.2</v>
      </c>
      <c r="F88" s="881">
        <v>30</v>
      </c>
    </row>
    <row r="89" spans="1:6" s="877" customFormat="1" ht="24">
      <c r="A89" s="881">
        <v>29</v>
      </c>
      <c r="B89" s="3361"/>
      <c r="C89" s="817" t="s">
        <v>672</v>
      </c>
      <c r="D89" s="817" t="s">
        <v>673</v>
      </c>
      <c r="E89" s="894">
        <v>0.2</v>
      </c>
      <c r="F89" s="881">
        <v>30</v>
      </c>
    </row>
    <row r="90" spans="1:6" s="877" customFormat="1" ht="24">
      <c r="A90" s="881">
        <v>30</v>
      </c>
      <c r="B90" s="3361"/>
      <c r="C90" s="817" t="s">
        <v>674</v>
      </c>
      <c r="D90" s="817" t="s">
        <v>675</v>
      </c>
      <c r="E90" s="894">
        <v>0.2</v>
      </c>
      <c r="F90" s="881">
        <v>30</v>
      </c>
    </row>
    <row r="91" spans="1:6" s="877" customFormat="1" ht="36">
      <c r="A91" s="881">
        <v>31</v>
      </c>
      <c r="B91" s="3361"/>
      <c r="C91" s="817" t="s">
        <v>676</v>
      </c>
      <c r="D91" s="817" t="s">
        <v>677</v>
      </c>
      <c r="E91" s="894">
        <v>0.2</v>
      </c>
      <c r="F91" s="881">
        <v>30</v>
      </c>
    </row>
    <row r="92" spans="1:6" s="877" customFormat="1" ht="24">
      <c r="A92" s="881">
        <v>32</v>
      </c>
      <c r="B92" s="3361" t="s">
        <v>678</v>
      </c>
      <c r="C92" s="881" t="s">
        <v>679</v>
      </c>
      <c r="D92" s="817" t="s">
        <v>680</v>
      </c>
      <c r="E92" s="894">
        <v>0.2</v>
      </c>
      <c r="F92" s="881">
        <v>30</v>
      </c>
    </row>
    <row r="93" spans="1:6" s="877" customFormat="1" ht="36">
      <c r="A93" s="881">
        <v>33</v>
      </c>
      <c r="B93" s="3361"/>
      <c r="C93" s="881" t="s">
        <v>681</v>
      </c>
      <c r="D93" s="817" t="s">
        <v>682</v>
      </c>
      <c r="E93" s="894">
        <v>0.2</v>
      </c>
      <c r="F93" s="881">
        <v>30</v>
      </c>
    </row>
    <row r="94" spans="1:6" s="877" customFormat="1" ht="48">
      <c r="A94" s="881">
        <v>34</v>
      </c>
      <c r="B94" s="3361"/>
      <c r="C94" s="881" t="s">
        <v>683</v>
      </c>
      <c r="D94" s="817" t="s">
        <v>684</v>
      </c>
      <c r="E94" s="894">
        <v>0.2</v>
      </c>
      <c r="F94" s="881">
        <v>30</v>
      </c>
    </row>
    <row r="95" spans="1:6" s="877" customFormat="1" ht="36">
      <c r="A95" s="881">
        <v>35</v>
      </c>
      <c r="B95" s="3361"/>
      <c r="C95" s="881" t="s">
        <v>685</v>
      </c>
      <c r="D95" s="817" t="s">
        <v>686</v>
      </c>
      <c r="E95" s="894">
        <v>0.2</v>
      </c>
      <c r="F95" s="881">
        <v>30</v>
      </c>
    </row>
    <row r="96" spans="1:6" s="877" customFormat="1" ht="48">
      <c r="A96" s="881">
        <v>36</v>
      </c>
      <c r="B96" s="3361"/>
      <c r="C96" s="817" t="s">
        <v>687</v>
      </c>
      <c r="D96" s="817" t="s">
        <v>688</v>
      </c>
      <c r="E96" s="894">
        <v>0.2</v>
      </c>
      <c r="F96" s="881">
        <v>30</v>
      </c>
    </row>
    <row r="97" spans="1:6" s="877" customFormat="1" ht="36">
      <c r="A97" s="881">
        <v>37</v>
      </c>
      <c r="B97" s="3361"/>
      <c r="C97" s="881" t="s">
        <v>689</v>
      </c>
      <c r="D97" s="817" t="s">
        <v>690</v>
      </c>
      <c r="E97" s="894">
        <v>0.2</v>
      </c>
      <c r="F97" s="881">
        <v>30</v>
      </c>
    </row>
    <row r="98" spans="1:6" s="877" customFormat="1" ht="36">
      <c r="A98" s="881">
        <v>38</v>
      </c>
      <c r="B98" s="3361"/>
      <c r="C98" s="881" t="s">
        <v>691</v>
      </c>
      <c r="D98" s="817" t="s">
        <v>692</v>
      </c>
      <c r="E98" s="894">
        <v>0.2</v>
      </c>
      <c r="F98" s="881">
        <v>30</v>
      </c>
    </row>
    <row r="99" spans="1:6" s="877" customFormat="1" ht="36">
      <c r="A99" s="881">
        <v>39</v>
      </c>
      <c r="B99" s="3361" t="s">
        <v>693</v>
      </c>
      <c r="C99" s="881" t="s">
        <v>694</v>
      </c>
      <c r="D99" s="817" t="s">
        <v>695</v>
      </c>
      <c r="E99" s="894">
        <v>0.3</v>
      </c>
      <c r="F99" s="881">
        <v>50</v>
      </c>
    </row>
    <row r="100" spans="1:6" s="877" customFormat="1" ht="24">
      <c r="A100" s="881">
        <v>40</v>
      </c>
      <c r="B100" s="3361"/>
      <c r="C100" s="881" t="s">
        <v>696</v>
      </c>
      <c r="D100" s="817" t="s">
        <v>697</v>
      </c>
      <c r="E100" s="894">
        <v>0.2</v>
      </c>
      <c r="F100" s="881">
        <v>30</v>
      </c>
    </row>
    <row r="101" spans="1:6" s="877" customFormat="1" ht="36">
      <c r="A101" s="881">
        <v>41</v>
      </c>
      <c r="B101" s="3361"/>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61" t="s">
        <v>708</v>
      </c>
      <c r="C105" s="881" t="s">
        <v>709</v>
      </c>
      <c r="D105" s="817" t="s">
        <v>710</v>
      </c>
      <c r="E105" s="894">
        <v>0.2</v>
      </c>
      <c r="F105" s="881">
        <v>30</v>
      </c>
    </row>
    <row r="106" spans="1:6" s="877" customFormat="1" ht="36">
      <c r="A106" s="881">
        <v>46</v>
      </c>
      <c r="B106" s="3361"/>
      <c r="C106" s="881" t="s">
        <v>711</v>
      </c>
      <c r="D106" s="817" t="s">
        <v>712</v>
      </c>
      <c r="E106" s="894">
        <v>0.2</v>
      </c>
      <c r="F106" s="881">
        <v>30</v>
      </c>
    </row>
    <row r="107" spans="1:6" s="877" customFormat="1" ht="36">
      <c r="A107" s="881">
        <v>47</v>
      </c>
      <c r="B107" s="3361" t="s">
        <v>713</v>
      </c>
      <c r="C107" s="881" t="s">
        <v>714</v>
      </c>
      <c r="D107" s="817" t="s">
        <v>715</v>
      </c>
      <c r="E107" s="894">
        <v>0.3</v>
      </c>
      <c r="F107" s="881">
        <v>50</v>
      </c>
    </row>
    <row r="108" spans="1:6" s="877" customFormat="1" ht="36">
      <c r="A108" s="881">
        <v>48</v>
      </c>
      <c r="B108" s="3361"/>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61" t="s">
        <v>724</v>
      </c>
      <c r="C111" s="881" t="s">
        <v>725</v>
      </c>
      <c r="D111" s="817" t="s">
        <v>726</v>
      </c>
      <c r="E111" s="894">
        <v>0.2</v>
      </c>
      <c r="F111" s="881">
        <v>30</v>
      </c>
    </row>
    <row r="112" spans="1:6" s="877" customFormat="1" ht="24">
      <c r="A112" s="881">
        <v>52</v>
      </c>
      <c r="B112" s="3361"/>
      <c r="C112" s="881" t="s">
        <v>727</v>
      </c>
      <c r="D112" s="817" t="s">
        <v>728</v>
      </c>
      <c r="E112" s="894">
        <v>0.2</v>
      </c>
      <c r="F112" s="881">
        <v>30</v>
      </c>
    </row>
    <row r="113" spans="1:6" s="877" customFormat="1" ht="24">
      <c r="A113" s="881">
        <v>53</v>
      </c>
      <c r="B113" s="3361"/>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61" t="s">
        <v>737</v>
      </c>
      <c r="C116" s="881" t="s">
        <v>738</v>
      </c>
      <c r="D116" s="817" t="s">
        <v>739</v>
      </c>
      <c r="E116" s="894">
        <v>0.2</v>
      </c>
      <c r="F116" s="881">
        <v>30</v>
      </c>
    </row>
    <row r="117" spans="1:6" ht="36">
      <c r="A117" s="881">
        <v>57</v>
      </c>
      <c r="B117" s="3361"/>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1"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1.3759999999999999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9" t="s">
        <v>2995</v>
      </c>
    </row>
    <row r="2" spans="1:5" ht="15.75">
      <c r="A2" s="2900" t="s">
        <v>2987</v>
      </c>
      <c r="B2" s="2901">
        <f ca="1">SUMIF(B6:B13,"&lt;&gt;#ref!",B6:B13)</f>
        <v>6008</v>
      </c>
      <c r="C2" s="2900" t="s">
        <v>2988</v>
      </c>
      <c r="D2" s="2900" t="s">
        <v>2989</v>
      </c>
      <c r="E2" s="2901">
        <f ca="1">SUMIF(E6:E13,"&lt;&gt;#ref!",E6:E13)</f>
        <v>83329.149999999994</v>
      </c>
    </row>
    <row r="3" spans="1:5" ht="15.75">
      <c r="A3" s="2900" t="s">
        <v>2990</v>
      </c>
      <c r="B3" s="2901">
        <f ca="1">ROUND(B2*10000/E2,0)</f>
        <v>721</v>
      </c>
      <c r="C3" s="2900" t="s">
        <v>2996</v>
      </c>
      <c r="D3" s="2902"/>
      <c r="E3" s="2902"/>
    </row>
    <row r="4" spans="1:5" ht="15.75">
      <c r="A4" s="2903"/>
      <c r="B4" s="2902"/>
      <c r="C4" s="2902"/>
      <c r="D4" s="2902"/>
      <c r="E4" s="2902"/>
    </row>
    <row r="5" spans="1:5" ht="28.5">
      <c r="A5" s="2904" t="s">
        <v>2991</v>
      </c>
      <c r="B5" s="2900" t="s">
        <v>2992</v>
      </c>
      <c r="C5" s="2901"/>
      <c r="D5" s="2902"/>
      <c r="E5" s="2900" t="s">
        <v>2993</v>
      </c>
    </row>
    <row r="6" spans="1:5" ht="15.75">
      <c r="A6" s="2905" t="s">
        <v>2994</v>
      </c>
      <c r="B6" s="2901">
        <f ca="1">SUMIF(INDIRECT("'"&amp;A6&amp;"'"&amp;"!A:A"),"总价",INDIRECT("'"&amp;A6&amp;"'"&amp;"!B:B"))</f>
        <v>6008</v>
      </c>
      <c r="C6" s="2900" t="s">
        <v>2988</v>
      </c>
      <c r="D6" s="2902"/>
      <c r="E6" s="2573">
        <f ca="1">SUMIF(INDIRECT("'"&amp;A6&amp;"'"&amp;"!C:C"),"建筑面积",INDIRECT("'"&amp;A6&amp;"'"&amp;"!D:D"))</f>
        <v>83329.149999999994</v>
      </c>
    </row>
    <row r="7" spans="1:5" ht="15.75">
      <c r="A7" s="2905"/>
      <c r="B7" s="2901" t="e">
        <f ca="1">SUMIF(INDIRECT("'"&amp;A7&amp;"'"&amp;"!A:A"),"总价",INDIRECT("'"&amp;A7&amp;"'"&amp;"!B:B"))</f>
        <v>#REF!</v>
      </c>
      <c r="C7" s="2900" t="s">
        <v>2988</v>
      </c>
      <c r="D7" s="2902"/>
      <c r="E7" s="2573" t="e">
        <f t="shared" ref="E7:E13" ca="1" si="0">SUMIF(INDIRECT("'"&amp;A7&amp;"'"&amp;"!C:C"),"建筑面积",INDIRECT("'"&amp;A7&amp;"'"&amp;"!D:D"))</f>
        <v>#REF!</v>
      </c>
    </row>
    <row r="8" spans="1:5" ht="15.75">
      <c r="A8" s="2905"/>
      <c r="B8" s="2901" t="e">
        <f t="shared" ref="B8:B13" ca="1" si="1">SUMIF(INDIRECT("'"&amp;A8&amp;"'"&amp;"!A:A"),"总价",INDIRECT("'"&amp;A8&amp;"'"&amp;"!B:B"))</f>
        <v>#REF!</v>
      </c>
      <c r="C8" s="2900" t="s">
        <v>2988</v>
      </c>
      <c r="D8" s="2902"/>
      <c r="E8" s="2573" t="e">
        <f t="shared" ca="1" si="0"/>
        <v>#REF!</v>
      </c>
    </row>
    <row r="9" spans="1:5" ht="15.75">
      <c r="A9" s="2905"/>
      <c r="B9" s="2901" t="e">
        <f t="shared" ca="1" si="1"/>
        <v>#REF!</v>
      </c>
      <c r="C9" s="2900" t="s">
        <v>2988</v>
      </c>
      <c r="D9" s="2902"/>
      <c r="E9" s="2573" t="e">
        <f t="shared" ca="1" si="0"/>
        <v>#REF!</v>
      </c>
    </row>
    <row r="10" spans="1:5" ht="15.75">
      <c r="A10" s="2905"/>
      <c r="B10" s="2901" t="e">
        <f t="shared" ca="1" si="1"/>
        <v>#REF!</v>
      </c>
      <c r="C10" s="2900" t="s">
        <v>2988</v>
      </c>
      <c r="D10" s="2902"/>
      <c r="E10" s="2573" t="e">
        <f t="shared" ca="1" si="0"/>
        <v>#REF!</v>
      </c>
    </row>
    <row r="11" spans="1:5" ht="15.75">
      <c r="A11" s="2905"/>
      <c r="B11" s="2901" t="e">
        <f t="shared" ca="1" si="1"/>
        <v>#REF!</v>
      </c>
      <c r="C11" s="2900" t="s">
        <v>2988</v>
      </c>
      <c r="D11" s="2902"/>
      <c r="E11" s="2573" t="e">
        <f t="shared" ca="1" si="0"/>
        <v>#REF!</v>
      </c>
    </row>
    <row r="12" spans="1:5" ht="15.75">
      <c r="A12" s="2905"/>
      <c r="B12" s="2901" t="e">
        <f t="shared" ca="1" si="1"/>
        <v>#REF!</v>
      </c>
      <c r="C12" s="2900" t="s">
        <v>2988</v>
      </c>
      <c r="D12" s="2902"/>
      <c r="E12" s="2573" t="e">
        <f t="shared" ca="1" si="0"/>
        <v>#REF!</v>
      </c>
    </row>
    <row r="13" spans="1:5" ht="15.75">
      <c r="A13" s="2905"/>
      <c r="B13" s="2901" t="e">
        <f t="shared" ca="1" si="1"/>
        <v>#REF!</v>
      </c>
      <c r="C13" s="2900" t="s">
        <v>2988</v>
      </c>
      <c r="D13" s="2902"/>
      <c r="E13" s="2573"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30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8"/>
      <c r="C2" s="3038"/>
      <c r="D2" s="3038"/>
      <c r="E2" s="3038"/>
    </row>
    <row r="3" spans="1:5" ht="18">
      <c r="A3" s="3039" t="str">
        <f>IF(项目基本情况!B9="房地产市场价值","估价结果一览表（市场价值不需“结果表-1”）","估价结果一览表")</f>
        <v>估价结果一览表</v>
      </c>
      <c r="B3" s="3039"/>
      <c r="C3" s="3039"/>
      <c r="D3" s="3039"/>
      <c r="E3" s="3039"/>
    </row>
    <row r="4" spans="1:5" ht="19.5" thickBot="1">
      <c r="A4" s="1959"/>
      <c r="B4" s="3037" t="s">
        <v>1624</v>
      </c>
      <c r="C4" s="3037"/>
      <c r="D4" s="3037"/>
      <c r="E4" s="1959"/>
    </row>
    <row r="5" spans="1:5" ht="16.5" thickTop="1">
      <c r="A5" s="1957"/>
      <c r="B5" s="3035" t="s">
        <v>1616</v>
      </c>
      <c r="C5" s="1960" t="s">
        <v>1617</v>
      </c>
      <c r="D5" s="1039">
        <f ca="1">结果表!H101</f>
        <v>41557</v>
      </c>
      <c r="E5" s="1957"/>
    </row>
    <row r="6" spans="1:5" ht="15.75">
      <c r="A6" s="1957"/>
      <c r="B6" s="3035"/>
      <c r="C6" s="1960" t="s">
        <v>1618</v>
      </c>
      <c r="D6" s="1039" t="str">
        <f ca="1">NUMBERSTRING(INT(D5*10000),2)&amp;"元整"</f>
        <v>肆亿壹仟伍佰伍拾柒万元整</v>
      </c>
      <c r="E6" s="1957"/>
    </row>
    <row r="7" spans="1:5" ht="15.75">
      <c r="A7" s="1957"/>
      <c r="B7" s="3040"/>
      <c r="C7" s="1961" t="s">
        <v>1619</v>
      </c>
      <c r="D7" s="1040">
        <f ca="1">结果表!H102</f>
        <v>4987</v>
      </c>
      <c r="E7" s="1957"/>
    </row>
    <row r="8" spans="1:5" ht="15.75">
      <c r="A8" s="1957"/>
      <c r="B8" s="3041" t="str">
        <f>结果表!E103</f>
        <v>2.估价师知悉的法定优先受偿款</v>
      </c>
      <c r="C8" s="1962" t="s">
        <v>1620</v>
      </c>
      <c r="D8" s="1040">
        <f>结果表!H103</f>
        <v>0</v>
      </c>
      <c r="E8" s="1957"/>
    </row>
    <row r="9" spans="1:5" ht="15.75">
      <c r="A9" s="1957"/>
      <c r="B9" s="3043"/>
      <c r="C9" s="1960" t="s">
        <v>1618</v>
      </c>
      <c r="D9" s="1039" t="str">
        <f>NUMBERSTRING(INT(D8*10000),2)&amp;"元整"</f>
        <v>零元整</v>
      </c>
      <c r="E9" s="1957"/>
    </row>
    <row r="10" spans="1:5" ht="15">
      <c r="A10" s="1957"/>
      <c r="B10" s="1963" t="s">
        <v>1623</v>
      </c>
      <c r="C10" s="1964" t="s">
        <v>1621</v>
      </c>
      <c r="D10" s="1041">
        <f>结果表!H104</f>
        <v>0</v>
      </c>
      <c r="E10" s="1957"/>
    </row>
    <row r="11" spans="1:5" ht="15">
      <c r="A11" s="1957"/>
      <c r="B11" s="1963" t="s">
        <v>1625</v>
      </c>
      <c r="C11" s="1964" t="s">
        <v>1626</v>
      </c>
      <c r="D11" s="1041">
        <f>结果表!H105</f>
        <v>0</v>
      </c>
      <c r="E11" s="1957"/>
    </row>
    <row r="12" spans="1:5" ht="15">
      <c r="A12" s="1957"/>
      <c r="B12" s="1963" t="s">
        <v>1627</v>
      </c>
      <c r="C12" s="1964" t="s">
        <v>1626</v>
      </c>
      <c r="D12" s="1041">
        <f>结果表!H106</f>
        <v>0</v>
      </c>
      <c r="E12" s="1957"/>
    </row>
    <row r="13" spans="1:5" ht="15.75">
      <c r="A13" s="1957"/>
      <c r="B13" s="3034" t="str">
        <f>结果表!E107</f>
        <v>3.房地产抵押价值</v>
      </c>
      <c r="C13" s="1965" t="s">
        <v>1617</v>
      </c>
      <c r="D13" s="1042">
        <f ca="1">结果表!H107</f>
        <v>41557</v>
      </c>
      <c r="E13" s="1957"/>
    </row>
    <row r="14" spans="1:5" ht="15.75">
      <c r="A14" s="1957"/>
      <c r="B14" s="3035"/>
      <c r="C14" s="1960" t="s">
        <v>1618</v>
      </c>
      <c r="D14" s="1039" t="str">
        <f ca="1">NUMBERSTRING(INT(D13*10000),2)&amp;"元整"</f>
        <v>肆亿壹仟伍佰伍拾柒万元整</v>
      </c>
      <c r="E14" s="1957"/>
    </row>
    <row r="15" spans="1:5" ht="15">
      <c r="A15" s="1957"/>
      <c r="B15" s="3040"/>
      <c r="C15" s="1961" t="s">
        <v>1628</v>
      </c>
      <c r="D15" s="1051">
        <f ca="1">结果表!H108</f>
        <v>4987</v>
      </c>
      <c r="E15" s="1957"/>
    </row>
    <row r="16" spans="1:5" ht="15">
      <c r="A16" s="1957"/>
      <c r="B16" s="3041" t="str">
        <f>结果表!E109</f>
        <v>——</v>
      </c>
      <c r="C16" s="1965" t="s">
        <v>1629</v>
      </c>
      <c r="D16" s="1966" t="str">
        <f>结果表!H109</f>
        <v>——</v>
      </c>
      <c r="E16" s="1957"/>
    </row>
    <row r="17" spans="1:5" ht="15.75">
      <c r="A17" s="1957"/>
      <c r="B17" s="3042"/>
      <c r="C17" s="1960" t="s">
        <v>1630</v>
      </c>
      <c r="D17" s="1039" t="e">
        <f>NUMBERSTRING(INT(D16*10000),2)&amp;"元整"</f>
        <v>#VALUE!</v>
      </c>
      <c r="E17" s="1957"/>
    </row>
    <row r="18" spans="1:5" ht="15">
      <c r="A18" s="1957"/>
      <c r="B18" s="3043"/>
      <c r="C18" s="1961" t="s">
        <v>1619</v>
      </c>
      <c r="D18" s="1051" t="str">
        <f>结果表!H110</f>
        <v>——</v>
      </c>
      <c r="E18" s="1957"/>
    </row>
    <row r="19" spans="1:5" ht="15.75">
      <c r="A19" s="1957"/>
      <c r="B19" s="3034" t="str">
        <f>结果表!E111</f>
        <v>4.抵押净值</v>
      </c>
      <c r="C19" s="1965" t="s">
        <v>1617</v>
      </c>
      <c r="D19" s="1040">
        <f ca="1">结果表!H111</f>
        <v>40239</v>
      </c>
      <c r="E19" s="1957"/>
    </row>
    <row r="20" spans="1:5" ht="15.75">
      <c r="A20" s="1957"/>
      <c r="B20" s="3035"/>
      <c r="C20" s="1960" t="s">
        <v>1630</v>
      </c>
      <c r="D20" s="1039" t="str">
        <f ca="1">NUMBERSTRING(INT(D19*10000),2)&amp;"元整"</f>
        <v>肆亿零贰佰叁拾玖万元整</v>
      </c>
      <c r="E20" s="1957"/>
    </row>
    <row r="21" spans="1:5" ht="15.75" thickBot="1">
      <c r="A21" s="1957"/>
      <c r="B21" s="3036"/>
      <c r="C21" s="1967" t="s">
        <v>1628</v>
      </c>
      <c r="D21" s="1052">
        <f ca="1">结果表!H112</f>
        <v>4829</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1"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67" t="s">
        <v>1146</v>
      </c>
      <c r="C1" s="3367"/>
      <c r="D1" s="3367"/>
      <c r="E1" s="3367"/>
      <c r="F1" s="3367"/>
      <c r="G1" s="3366" t="s">
        <v>1147</v>
      </c>
      <c r="H1" s="3366"/>
      <c r="I1" s="3366"/>
      <c r="J1" s="3366"/>
      <c r="K1" s="3366"/>
      <c r="L1" s="3366"/>
      <c r="N1" s="3366" t="s">
        <v>1148</v>
      </c>
      <c r="O1" s="3366"/>
      <c r="P1" s="3366"/>
      <c r="Q1" s="3366"/>
      <c r="R1" s="1445"/>
      <c r="S1" s="3366" t="s">
        <v>1149</v>
      </c>
      <c r="T1" s="3366"/>
      <c r="U1" s="3366"/>
      <c r="V1" s="3366"/>
      <c r="X1" s="3365" t="s">
        <v>1150</v>
      </c>
      <c r="Y1" s="3366"/>
      <c r="Z1" s="3366"/>
      <c r="AA1" s="3366"/>
      <c r="AB1" s="3366"/>
      <c r="AD1" s="3365" t="s">
        <v>1151</v>
      </c>
      <c r="AE1" s="3366"/>
      <c r="AF1" s="3366"/>
      <c r="AG1" s="3366"/>
      <c r="AH1" s="3366"/>
    </row>
    <row r="2" spans="1:34" s="1446" customFormat="1" ht="14.25" thickBot="1">
      <c r="B2" s="1447" t="s">
        <v>1152</v>
      </c>
      <c r="C2" s="1447" t="s">
        <v>1153</v>
      </c>
      <c r="D2" s="1448" t="s">
        <v>1154</v>
      </c>
      <c r="E2" s="1448" t="s">
        <v>1155</v>
      </c>
      <c r="F2" s="1447" t="s">
        <v>1156</v>
      </c>
      <c r="G2" s="1449"/>
      <c r="H2" s="1450"/>
      <c r="I2" s="1447" t="s">
        <v>1152</v>
      </c>
      <c r="J2" s="1448" t="s">
        <v>1380</v>
      </c>
      <c r="K2" s="1448" t="s">
        <v>751</v>
      </c>
      <c r="L2" s="1447" t="s">
        <v>1156</v>
      </c>
      <c r="N2" s="1447" t="s">
        <v>1152</v>
      </c>
      <c r="O2" s="1448" t="s">
        <v>1380</v>
      </c>
      <c r="P2" s="1448" t="s">
        <v>751</v>
      </c>
      <c r="Q2" s="1447" t="s">
        <v>1156</v>
      </c>
      <c r="R2" s="1451"/>
      <c r="S2" s="1447" t="s">
        <v>1152</v>
      </c>
      <c r="T2" s="1448" t="s">
        <v>1380</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6" customFormat="1" ht="14.25">
      <c r="A3" s="2925" t="s">
        <v>3030</v>
      </c>
      <c r="B3" s="2917"/>
      <c r="C3" s="2917"/>
      <c r="D3" s="2918"/>
      <c r="E3" s="2918"/>
      <c r="F3" s="2917"/>
      <c r="G3" s="2919"/>
      <c r="H3" s="2920"/>
      <c r="I3" s="2921">
        <f>ROUND(AVERAGE($I4:$I27),2)</f>
        <v>2.04</v>
      </c>
      <c r="J3" s="2921">
        <f>ROUND(AVERAGE($J4:$J27),2)</f>
        <v>1.44</v>
      </c>
      <c r="K3" s="2921">
        <f>ROUND(AVERAGE($K4:$K27),2)</f>
        <v>2.23</v>
      </c>
      <c r="L3" s="2921">
        <f>ROUND(AVERAGE($L4:$L27),2)</f>
        <v>1.4</v>
      </c>
      <c r="N3" s="2919"/>
      <c r="O3" s="2922"/>
      <c r="P3" s="2922"/>
      <c r="Q3" s="2922"/>
      <c r="R3" s="2922"/>
      <c r="S3" s="2919"/>
      <c r="T3" s="2922"/>
      <c r="U3" s="2922"/>
      <c r="V3" s="2922"/>
      <c r="W3" s="2914"/>
      <c r="X3" s="2923">
        <f>ROUND(SUMPRODUCT(PRODUCT(1+N3:N$26)),4)</f>
        <v>1.5422</v>
      </c>
      <c r="Y3" s="2923">
        <f>ROUND(SUMPRODUCT(PRODUCT(1+O3:O$26)),4)</f>
        <v>1.3557999999999999</v>
      </c>
      <c r="Z3" s="2923">
        <f t="shared" ref="Z3:Z24" si="0">Y3</f>
        <v>1.3557999999999999</v>
      </c>
      <c r="AA3" s="2923">
        <f>ROUND(SUMPRODUCT(PRODUCT(1+P3:P$26)),4)</f>
        <v>1.6036999999999999</v>
      </c>
      <c r="AB3" s="2923">
        <f>ROUND(SUMPRODUCT(PRODUCT(1+Q3:Q$26)),4)</f>
        <v>1.3573</v>
      </c>
      <c r="AD3" s="2924">
        <f>ROUND(AVERAGE(I3:I$27)/100,4)</f>
        <v>2.0400000000000001E-2</v>
      </c>
      <c r="AE3" s="2924">
        <f>ROUND(AVERAGE(J3:J$27)/100,4)</f>
        <v>1.44E-2</v>
      </c>
      <c r="AF3" s="2924">
        <f t="shared" ref="AF3:AF25" si="1">AE3</f>
        <v>1.44E-2</v>
      </c>
      <c r="AG3" s="2924">
        <f>ROUND(AVERAGE(K3:K$27)/100,4)</f>
        <v>2.23E-2</v>
      </c>
      <c r="AH3" s="2924">
        <f>ROUND(AVERAGE(L3:L$27)/100,4)</f>
        <v>1.4E-2</v>
      </c>
    </row>
    <row r="4" spans="1:34" s="1452" customFormat="1" ht="14.25">
      <c r="B4" s="1453"/>
      <c r="C4" s="1453"/>
      <c r="D4" s="1454"/>
      <c r="E4" s="1454"/>
      <c r="F4" s="1453"/>
      <c r="G4" s="1455"/>
      <c r="H4" s="1456"/>
      <c r="I4" s="2911"/>
      <c r="J4" s="2911"/>
      <c r="K4" s="2911"/>
      <c r="L4" s="2911"/>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3047</v>
      </c>
      <c r="B5" s="1790">
        <f t="shared" ref="B5" si="2">B6*(1+N5)</f>
        <v>474.30670301923408</v>
      </c>
      <c r="C5" s="1790">
        <f t="shared" ref="C5" si="3">C6*(1+O5)</f>
        <v>349.50705005996491</v>
      </c>
      <c r="D5" s="1790">
        <f t="shared" ref="D5" si="4">C5</f>
        <v>349.50705005996491</v>
      </c>
      <c r="E5" s="1790">
        <f t="shared" ref="E5" si="5">E6*(1+P5)</f>
        <v>678.22831959706957</v>
      </c>
      <c r="F5" s="1790">
        <f t="shared" ref="F5" si="6">F6*(1+Q5)</f>
        <v>312.0556832169558</v>
      </c>
      <c r="G5" s="2945">
        <v>2019</v>
      </c>
      <c r="H5" s="1729">
        <v>3</v>
      </c>
      <c r="I5" s="2912">
        <v>0</v>
      </c>
      <c r="J5" s="2912">
        <v>0</v>
      </c>
      <c r="K5" s="2912">
        <v>0</v>
      </c>
      <c r="L5" s="2912">
        <v>0</v>
      </c>
      <c r="N5" s="1466">
        <f>I5/100</f>
        <v>0</v>
      </c>
      <c r="O5" s="1466">
        <f t="shared" ref="O5" si="7">J5/100</f>
        <v>0</v>
      </c>
      <c r="P5" s="1466">
        <f t="shared" ref="P5" si="8">K5/100</f>
        <v>0</v>
      </c>
      <c r="Q5" s="1466">
        <f t="shared" ref="Q5" si="9">L5/100</f>
        <v>0</v>
      </c>
      <c r="R5" s="1731"/>
      <c r="S5" s="1732"/>
      <c r="T5" s="1731"/>
      <c r="U5" s="1731"/>
      <c r="V5" s="1731"/>
      <c r="W5" s="2915" t="s">
        <v>3031</v>
      </c>
      <c r="X5" s="1725">
        <f>ROUND(IF(项目基本情况!B8="出让",SUMPRODUCT(PRODUCT(1+N5:N$27)),SUMPRODUCT(PRODUCT(1+N5:N$26))),4)</f>
        <v>1.5422</v>
      </c>
      <c r="Y5" s="1725">
        <f>ROUND(IF(项目基本情况!B8="出让",SUMPRODUCT(PRODUCT(1+O5:O$27)),SUMPRODUCT(PRODUCT(1+O5:O$26))),4)</f>
        <v>1.3557999999999999</v>
      </c>
      <c r="Z5" s="1725">
        <f t="shared" ref="Z5" si="10">Y5</f>
        <v>1.3557999999999999</v>
      </c>
      <c r="AA5" s="1725">
        <f>ROUND(IF(项目基本情况!B8="出让",SUMPRODUCT(PRODUCT(1+P5:P$27)),SUMPRODUCT(PRODUCT(1+P5:P$26))),4)</f>
        <v>1.6036999999999999</v>
      </c>
      <c r="AB5" s="1725">
        <f>ROUND(IF(项目基本情况!B8="出让",SUMPRODUCT(PRODUCT(1+Q5:Q$27)),SUMPRODUCT(PRODUCT(1+Q5:Q$26))),4)</f>
        <v>1.3573</v>
      </c>
      <c r="AD5" s="1467">
        <f>ROUND(AVERAGE(I5:I$27)/100,4)</f>
        <v>2.0400000000000001E-2</v>
      </c>
      <c r="AE5" s="1467">
        <f>ROUND(AVERAGE(J5:J$27)/100,4)</f>
        <v>1.44E-2</v>
      </c>
      <c r="AF5" s="1467">
        <f t="shared" ref="AF5" si="11">AE5</f>
        <v>1.44E-2</v>
      </c>
      <c r="AG5" s="1467">
        <f>ROUND(AVERAGE(K5:K$27)/100,4)</f>
        <v>2.23E-2</v>
      </c>
      <c r="AH5" s="1467">
        <f>ROUND(AVERAGE(L5:L$27)/100,4)</f>
        <v>1.4E-2</v>
      </c>
    </row>
    <row r="6" spans="1:34" s="1465" customFormat="1">
      <c r="A6" s="1460" t="s">
        <v>3046</v>
      </c>
      <c r="B6" s="1476">
        <f t="shared" ref="B6" si="12">B7*(1+N6)</f>
        <v>474.30670301923408</v>
      </c>
      <c r="C6" s="1476">
        <f t="shared" ref="C6" si="13">C7*(1+O6)</f>
        <v>349.50705005996491</v>
      </c>
      <c r="D6" s="1476">
        <f t="shared" ref="D6" si="14">C6</f>
        <v>349.50705005996491</v>
      </c>
      <c r="E6" s="1476">
        <f t="shared" ref="E6" si="15">E7*(1+P6)</f>
        <v>678.22831959706957</v>
      </c>
      <c r="F6" s="1476">
        <f t="shared" ref="F6" si="16">F7*(1+Q6)</f>
        <v>312.0556832169558</v>
      </c>
      <c r="G6" s="2945">
        <v>2019</v>
      </c>
      <c r="H6" s="1461">
        <v>2</v>
      </c>
      <c r="I6" s="2949">
        <v>1.53</v>
      </c>
      <c r="J6" s="2949">
        <v>1.01</v>
      </c>
      <c r="K6" s="2949">
        <v>1.62</v>
      </c>
      <c r="L6" s="2950">
        <v>1.25</v>
      </c>
      <c r="M6" s="1470"/>
      <c r="N6" s="1471">
        <f>I6/100</f>
        <v>1.5300000000000001E-2</v>
      </c>
      <c r="O6" s="1472">
        <f t="shared" ref="O6" si="17">J6/100</f>
        <v>1.01E-2</v>
      </c>
      <c r="P6" s="1472">
        <f t="shared" ref="P6" si="18">K6/100</f>
        <v>1.6200000000000003E-2</v>
      </c>
      <c r="Q6" s="1472">
        <f t="shared" ref="Q6" si="19">L6/100</f>
        <v>1.2500000000000001E-2</v>
      </c>
      <c r="R6" s="1473"/>
      <c r="S6" s="1471"/>
      <c r="T6" s="1472"/>
      <c r="U6" s="1472"/>
      <c r="V6" s="1472"/>
      <c r="W6" s="1789"/>
      <c r="X6" s="1787">
        <f>ROUND(IF(项目基本情况!B8="出让",SUMPRODUCT(PRODUCT(1+N6:N$27)),SUMPRODUCT(PRODUCT(1+N6:N$26))),4)</f>
        <v>1.5422</v>
      </c>
      <c r="Y6" s="1787">
        <f>ROUND(IF(项目基本情况!B8="出让",SUMPRODUCT(PRODUCT(1+O6:O$27)),SUMPRODUCT(PRODUCT(1+O6:O$26))),4)</f>
        <v>1.3557999999999999</v>
      </c>
      <c r="Z6" s="1787">
        <f t="shared" ref="Z6" si="20">Y6</f>
        <v>1.3557999999999999</v>
      </c>
      <c r="AA6" s="1787">
        <f>ROUND(IF(项目基本情况!B8="出让",SUMPRODUCT(PRODUCT(1+P6:P$27)),SUMPRODUCT(PRODUCT(1+P6:P$26))),4)</f>
        <v>1.6036999999999999</v>
      </c>
      <c r="AB6" s="1787">
        <f>ROUND(IF(项目基本情况!B8="出让",SUMPRODUCT(PRODUCT(1+Q6:Q$27)),SUMPRODUCT(PRODUCT(1+Q6:Q$26))),4)</f>
        <v>1.3573</v>
      </c>
      <c r="AC6" s="1789"/>
      <c r="AD6" s="1788">
        <f>ROUND(AVERAGE(I6:I$27)/100,4)</f>
        <v>2.1299999999999999E-2</v>
      </c>
      <c r="AE6" s="1788">
        <f>ROUND(AVERAGE(J6:J$27)/100,4)</f>
        <v>1.4999999999999999E-2</v>
      </c>
      <c r="AF6" s="1788">
        <f t="shared" ref="AF6" si="21">AE6</f>
        <v>1.4999999999999999E-2</v>
      </c>
      <c r="AG6" s="1788">
        <f>ROUND(AVERAGE(K6:K$27)/100,4)</f>
        <v>2.3300000000000001E-2</v>
      </c>
      <c r="AH6" s="1788">
        <f>ROUND(AVERAGE(L6:L$27)/100,4)</f>
        <v>1.46E-2</v>
      </c>
    </row>
    <row r="7" spans="1:34" s="1465" customFormat="1" ht="13.5" thickBot="1">
      <c r="A7" s="1460" t="s">
        <v>3043</v>
      </c>
      <c r="B7" s="1476">
        <f t="shared" ref="B7" si="22">B8*(1+N7)</f>
        <v>467.15916775261894</v>
      </c>
      <c r="C7" s="1476">
        <f t="shared" ref="C7" si="23">C8*(1+O7)</f>
        <v>346.01232557169084</v>
      </c>
      <c r="D7" s="1476">
        <f t="shared" ref="D7" si="24">C7</f>
        <v>346.01232557169084</v>
      </c>
      <c r="E7" s="1476">
        <f t="shared" ref="E7" si="25">E8*(1+P7)</f>
        <v>667.41617752122568</v>
      </c>
      <c r="F7" s="1476">
        <f t="shared" ref="F7" si="26">F8*(1+Q7)</f>
        <v>308.20314391798104</v>
      </c>
      <c r="G7" s="2929">
        <v>2019</v>
      </c>
      <c r="H7" s="1463">
        <v>1</v>
      </c>
      <c r="I7" s="1463">
        <v>0.6</v>
      </c>
      <c r="J7" s="1463">
        <v>0.37</v>
      </c>
      <c r="K7" s="1463">
        <v>0.63</v>
      </c>
      <c r="L7" s="1477">
        <v>1.1299999999999999</v>
      </c>
      <c r="M7" s="1470"/>
      <c r="N7" s="1471">
        <f>I7/100</f>
        <v>6.0000000000000001E-3</v>
      </c>
      <c r="O7" s="1472">
        <f t="shared" ref="O7" si="27">J7/100</f>
        <v>3.7000000000000002E-3</v>
      </c>
      <c r="P7" s="1472">
        <f t="shared" ref="P7" si="28">K7/100</f>
        <v>6.3E-3</v>
      </c>
      <c r="Q7" s="1472">
        <f t="shared" ref="Q7" si="29">L7/100</f>
        <v>1.1299999999999999E-2</v>
      </c>
      <c r="R7" s="1473"/>
      <c r="S7" s="1471">
        <f>B7/B8-1</f>
        <v>6.0000000000000053E-3</v>
      </c>
      <c r="T7" s="1472">
        <f t="shared" ref="T7" si="30">C7/C8-1</f>
        <v>3.7000000000000366E-3</v>
      </c>
      <c r="U7" s="1472">
        <f t="shared" ref="U7" si="31">D7/D8-1</f>
        <v>3.7000000000000366E-3</v>
      </c>
      <c r="V7" s="1472">
        <f t="shared" ref="V7" si="32">E7/E8-1</f>
        <v>6.2999999999999723E-3</v>
      </c>
      <c r="W7" s="1789"/>
      <c r="X7" s="1787">
        <f>ROUND(IF(项目基本情况!B8="出让",SUMPRODUCT(PRODUCT(1+N7:N$27)),SUMPRODUCT(PRODUCT(1+N7:N$26))),4)</f>
        <v>1.5189999999999999</v>
      </c>
      <c r="Y7" s="1787">
        <f>ROUND(IF(项目基本情况!B8="出让",SUMPRODUCT(PRODUCT(1+O7:O$27)),SUMPRODUCT(PRODUCT(1+O7:O$26))),4)</f>
        <v>1.3423</v>
      </c>
      <c r="Z7" s="1787">
        <f t="shared" ref="Z7" si="33">Y7</f>
        <v>1.3423</v>
      </c>
      <c r="AA7" s="1787">
        <f>ROUND(IF(项目基本情况!B8="出让",SUMPRODUCT(PRODUCT(1+P7:P$27)),SUMPRODUCT(PRODUCT(1+P7:P$26))),4)</f>
        <v>1.5782</v>
      </c>
      <c r="AB7" s="1787">
        <f>ROUND(IF(项目基本情况!B8="出让",SUMPRODUCT(PRODUCT(1+Q7:Q$27)),SUMPRODUCT(PRODUCT(1+Q7:Q$26))),4)</f>
        <v>1.3405</v>
      </c>
      <c r="AC7" s="1789"/>
      <c r="AD7" s="1788">
        <f>ROUND(AVERAGE(I7:I$27)/100,4)</f>
        <v>2.1600000000000001E-2</v>
      </c>
      <c r="AE7" s="1788">
        <f>ROUND(AVERAGE(J7:J$27)/100,4)</f>
        <v>1.5299999999999999E-2</v>
      </c>
      <c r="AF7" s="1788">
        <f t="shared" ref="AF7" si="34">AE7</f>
        <v>1.5299999999999999E-2</v>
      </c>
      <c r="AG7" s="1788">
        <f>ROUND(AVERAGE(K7:K$27)/100,4)</f>
        <v>2.3699999999999999E-2</v>
      </c>
      <c r="AH7" s="1788">
        <f>ROUND(AVERAGE(L7:L$27)/100,4)</f>
        <v>1.47E-2</v>
      </c>
    </row>
    <row r="8" spans="1:34" s="1465" customFormat="1">
      <c r="A8" s="1460" t="s">
        <v>3048</v>
      </c>
      <c r="B8" s="2946">
        <f t="shared" ref="B8" si="35">B9*(1+N8)</f>
        <v>464.37293017158942</v>
      </c>
      <c r="C8" s="2946">
        <f t="shared" ref="C8" si="36">C9*(1+O8)</f>
        <v>344.73679941385956</v>
      </c>
      <c r="D8" s="2946">
        <f t="shared" ref="D8" si="37">C8</f>
        <v>344.73679941385956</v>
      </c>
      <c r="E8" s="2946">
        <f t="shared" ref="E8" si="38">E9*(1+P8)</f>
        <v>663.2377795103107</v>
      </c>
      <c r="F8" s="2947">
        <f t="shared" ref="F8" si="39">F9*(1+Q8)</f>
        <v>304.75936311478398</v>
      </c>
      <c r="G8" s="3363">
        <v>2018</v>
      </c>
      <c r="H8" s="1461">
        <v>4</v>
      </c>
      <c r="I8" s="1461">
        <v>0.96</v>
      </c>
      <c r="J8" s="1461">
        <v>1.03</v>
      </c>
      <c r="K8" s="1461">
        <v>0.92</v>
      </c>
      <c r="L8" s="1462">
        <v>1.29</v>
      </c>
      <c r="M8" s="1470"/>
      <c r="N8" s="1471">
        <f>I8/100</f>
        <v>9.5999999999999992E-3</v>
      </c>
      <c r="O8" s="1472">
        <f t="shared" ref="O8" si="40">J8/100</f>
        <v>1.03E-2</v>
      </c>
      <c r="P8" s="1472">
        <f t="shared" ref="P8" si="41">K8/100</f>
        <v>9.1999999999999998E-3</v>
      </c>
      <c r="Q8" s="1472">
        <f t="shared" ref="Q8" si="42">L8/100</f>
        <v>1.29E-2</v>
      </c>
      <c r="R8" s="1473"/>
      <c r="S8" s="1471"/>
      <c r="T8" s="1472"/>
      <c r="U8" s="1472"/>
      <c r="V8" s="1472"/>
      <c r="W8" s="1789"/>
      <c r="X8" s="1787">
        <f>ROUND(SUMPRODUCT(PRODUCT(1+N8:N$26)),4)</f>
        <v>1.5099</v>
      </c>
      <c r="Y8" s="1787">
        <f>ROUND(SUMPRODUCT(PRODUCT(1+O8:O$26)),4)</f>
        <v>1.3372999999999999</v>
      </c>
      <c r="Z8" s="1787">
        <f t="shared" ref="Z8" si="43">Y8</f>
        <v>1.3372999999999999</v>
      </c>
      <c r="AA8" s="1787">
        <f>ROUND(SUMPRODUCT(PRODUCT(1+P8:P$26)),4)</f>
        <v>1.5683</v>
      </c>
      <c r="AB8" s="1787">
        <f>ROUND(SUMPRODUCT(PRODUCT(1+Q8:Q$26)),4)</f>
        <v>1.3255999999999999</v>
      </c>
      <c r="AC8" s="1789"/>
      <c r="AD8" s="1788">
        <f>ROUND(AVERAGE(I8:I$27)/100,4)</f>
        <v>2.24E-2</v>
      </c>
      <c r="AE8" s="1788">
        <f>ROUND(AVERAGE(J8:J$27)/100,4)</f>
        <v>1.5800000000000002E-2</v>
      </c>
      <c r="AF8" s="1788">
        <f t="shared" ref="AF8" si="44">AE8</f>
        <v>1.5800000000000002E-2</v>
      </c>
      <c r="AG8" s="1788">
        <f>ROUND(AVERAGE(K8:K$27)/100,4)</f>
        <v>2.4500000000000001E-2</v>
      </c>
      <c r="AH8" s="1788">
        <f>ROUND(AVERAGE(L8:L$27)/100,4)</f>
        <v>1.49E-2</v>
      </c>
    </row>
    <row r="9" spans="1:34" s="1465" customFormat="1" ht="14.45" customHeight="1">
      <c r="A9" s="1460" t="s">
        <v>3037</v>
      </c>
      <c r="B9" s="1476">
        <f t="shared" ref="B9" si="45">B10*(1+N9)</f>
        <v>459.95733971036987</v>
      </c>
      <c r="C9" s="1476">
        <f t="shared" ref="C9" si="46">C10*(1+O9)</f>
        <v>341.22221064422405</v>
      </c>
      <c r="D9" s="1476">
        <f t="shared" ref="D9" si="47">C9</f>
        <v>341.22221064422405</v>
      </c>
      <c r="E9" s="1476">
        <f t="shared" ref="E9" si="48">E10*(1+P9)</f>
        <v>657.19161663724799</v>
      </c>
      <c r="F9" s="1476">
        <f t="shared" ref="F9" si="49">F10*(1+Q9)</f>
        <v>300.87803644464805</v>
      </c>
      <c r="G9" s="3363"/>
      <c r="H9" s="1463">
        <v>3</v>
      </c>
      <c r="I9" s="1463">
        <v>1.51</v>
      </c>
      <c r="J9" s="1463">
        <v>1.41</v>
      </c>
      <c r="K9" s="1463">
        <v>1.52</v>
      </c>
      <c r="L9" s="1477">
        <v>1.74</v>
      </c>
      <c r="M9" s="1470"/>
      <c r="N9" s="1471">
        <f>I9/100</f>
        <v>1.5100000000000001E-2</v>
      </c>
      <c r="O9" s="1472">
        <f t="shared" ref="O9" si="50">J9/100</f>
        <v>1.41E-2</v>
      </c>
      <c r="P9" s="1472">
        <f t="shared" ref="P9" si="51">K9/100</f>
        <v>1.52E-2</v>
      </c>
      <c r="Q9" s="1472">
        <f t="shared" ref="Q9" si="52">L9/100</f>
        <v>1.7399999999999999E-2</v>
      </c>
      <c r="R9" s="1473"/>
      <c r="S9" s="1471"/>
      <c r="T9" s="1472"/>
      <c r="U9" s="1472"/>
      <c r="V9" s="1472"/>
      <c r="W9" s="1789"/>
      <c r="X9" s="1787">
        <f>ROUND(SUMPRODUCT(PRODUCT(1+N9:N$26)),4)</f>
        <v>1.4956</v>
      </c>
      <c r="Y9" s="1787">
        <f>ROUND(SUMPRODUCT(PRODUCT(1+O9:O$26)),4)</f>
        <v>1.3237000000000001</v>
      </c>
      <c r="Z9" s="1787">
        <f t="shared" ref="Z9" si="53">Y9</f>
        <v>1.3237000000000001</v>
      </c>
      <c r="AA9" s="1787">
        <f>ROUND(SUMPRODUCT(PRODUCT(1+P9:P$26)),4)</f>
        <v>1.554</v>
      </c>
      <c r="AB9" s="1787">
        <f>ROUND(SUMPRODUCT(PRODUCT(1+Q9:Q$26)),4)</f>
        <v>1.3087</v>
      </c>
      <c r="AC9" s="1789"/>
      <c r="AD9" s="1788">
        <f>ROUND(AVERAGE(I9:I$27)/100,4)</f>
        <v>2.3099999999999999E-2</v>
      </c>
      <c r="AE9" s="1788">
        <f>ROUND(AVERAGE(J9:J$27)/100,4)</f>
        <v>1.61E-2</v>
      </c>
      <c r="AF9" s="1788">
        <f t="shared" ref="AF9" si="54">AE9</f>
        <v>1.61E-2</v>
      </c>
      <c r="AG9" s="1788">
        <f>ROUND(AVERAGE(K9:K$27)/100,4)</f>
        <v>2.53E-2</v>
      </c>
      <c r="AH9" s="1788">
        <f>ROUND(AVERAGE(L9:L$27)/100,4)</f>
        <v>1.4999999999999999E-2</v>
      </c>
    </row>
    <row r="10" spans="1:34" s="1465" customFormat="1" ht="14.45" customHeight="1">
      <c r="A10" s="1460" t="s">
        <v>3036</v>
      </c>
      <c r="B10" s="1476">
        <f t="shared" ref="B10" si="55">B11*(1+N10)</f>
        <v>453.11529869999993</v>
      </c>
      <c r="C10" s="1476">
        <f t="shared" ref="C10" si="56">C11*(1+O10)</f>
        <v>336.47787264000004</v>
      </c>
      <c r="D10" s="1476">
        <f t="shared" ref="D10" si="57">C10</f>
        <v>336.47787264000004</v>
      </c>
      <c r="E10" s="1476">
        <f t="shared" ref="E10" si="58">E11*(1+P10)</f>
        <v>647.35186823999993</v>
      </c>
      <c r="F10" s="1476">
        <f t="shared" ref="F10" si="59">F11*(1+Q10)</f>
        <v>295.73229452000004</v>
      </c>
      <c r="G10" s="3363"/>
      <c r="H10" s="1464">
        <v>2</v>
      </c>
      <c r="I10" s="1464">
        <v>1.49</v>
      </c>
      <c r="J10" s="1464">
        <v>0.96</v>
      </c>
      <c r="K10" s="1464">
        <v>1.58</v>
      </c>
      <c r="L10" s="1478">
        <v>2.44</v>
      </c>
      <c r="M10" s="1470"/>
      <c r="N10" s="1471">
        <f t="shared" ref="N10" si="60">I10/100</f>
        <v>1.49E-2</v>
      </c>
      <c r="O10" s="1472">
        <f t="shared" ref="O10" si="61">J10/100</f>
        <v>9.5999999999999992E-3</v>
      </c>
      <c r="P10" s="1472">
        <f t="shared" ref="P10" si="62">K10/100</f>
        <v>1.5800000000000002E-2</v>
      </c>
      <c r="Q10" s="1472">
        <f t="shared" ref="Q10" si="63">L10/100</f>
        <v>2.4399999999999998E-2</v>
      </c>
      <c r="R10" s="1473"/>
      <c r="S10" s="1471"/>
      <c r="T10" s="1472"/>
      <c r="U10" s="1472"/>
      <c r="V10" s="1472"/>
      <c r="W10" s="1789"/>
      <c r="X10" s="1787">
        <f>ROUND(SUMPRODUCT(PRODUCT(1+N10:N$26)),4)</f>
        <v>1.4733000000000001</v>
      </c>
      <c r="Y10" s="1787">
        <f>ROUND(SUMPRODUCT(PRODUCT(1+O10:O$26)),4)</f>
        <v>1.3052999999999999</v>
      </c>
      <c r="Z10" s="1787">
        <f t="shared" ref="Z10" si="64">Y10</f>
        <v>1.3052999999999999</v>
      </c>
      <c r="AA10" s="1787">
        <f>ROUND(SUMPRODUCT(PRODUCT(1+P10:P$26)),4)</f>
        <v>1.5306999999999999</v>
      </c>
      <c r="AB10" s="1787">
        <f>ROUND(SUMPRODUCT(PRODUCT(1+Q10:Q$26)),4)</f>
        <v>1.2863</v>
      </c>
      <c r="AC10" s="1789"/>
      <c r="AD10" s="1788">
        <f>ROUND(AVERAGE(I10:I$27)/100,4)</f>
        <v>2.35E-2</v>
      </c>
      <c r="AE10" s="1788">
        <f>ROUND(AVERAGE(J10:J$27)/100,4)</f>
        <v>1.6199999999999999E-2</v>
      </c>
      <c r="AF10" s="1788">
        <f t="shared" ref="AF10" si="65">AE10</f>
        <v>1.6199999999999999E-2</v>
      </c>
      <c r="AG10" s="1788">
        <f>ROUND(AVERAGE(K10:K$27)/100,4)</f>
        <v>2.5899999999999999E-2</v>
      </c>
      <c r="AH10" s="1788">
        <f>ROUND(AVERAGE(L10:L$27)/100,4)</f>
        <v>1.49E-2</v>
      </c>
    </row>
    <row r="11" spans="1:34" s="1465" customFormat="1" ht="15" customHeight="1" thickBot="1">
      <c r="A11" s="1460" t="s">
        <v>3029</v>
      </c>
      <c r="B11" s="1476">
        <f t="shared" ref="B11" si="66">B12*(1+N11)</f>
        <v>446.46299999999997</v>
      </c>
      <c r="C11" s="1476">
        <f t="shared" ref="C11" si="67">C12*(1+O11)</f>
        <v>333.27840000000003</v>
      </c>
      <c r="D11" s="1476">
        <f t="shared" ref="D11" si="68">C11</f>
        <v>333.27840000000003</v>
      </c>
      <c r="E11" s="1476">
        <f t="shared" ref="E11" si="69">E12*(1+P11)</f>
        <v>637.28279999999995</v>
      </c>
      <c r="F11" s="1476">
        <f t="shared" ref="F11" si="70">F12*(1+Q11)</f>
        <v>288.68830000000003</v>
      </c>
      <c r="G11" s="3372"/>
      <c r="H11" s="1463">
        <v>1</v>
      </c>
      <c r="I11" s="1463">
        <v>1.7</v>
      </c>
      <c r="J11" s="1463">
        <v>1.92</v>
      </c>
      <c r="K11" s="1463">
        <v>1.64</v>
      </c>
      <c r="L11" s="1477">
        <v>2.0099999999999998</v>
      </c>
      <c r="M11" s="1470"/>
      <c r="N11" s="1471">
        <f t="shared" ref="N11:N16" si="71">I11/100</f>
        <v>1.7000000000000001E-2</v>
      </c>
      <c r="O11" s="1472">
        <f t="shared" ref="O11" si="72">J11/100</f>
        <v>1.9199999999999998E-2</v>
      </c>
      <c r="P11" s="1472">
        <f t="shared" ref="P11" si="73">K11/100</f>
        <v>1.6399999999999998E-2</v>
      </c>
      <c r="Q11" s="1472">
        <f t="shared" ref="Q11" si="74">L11/100</f>
        <v>2.0099999999999996E-2</v>
      </c>
      <c r="R11" s="1473"/>
      <c r="S11" s="1471">
        <f>B11/B12-1</f>
        <v>1.6999999999999904E-2</v>
      </c>
      <c r="T11" s="1472">
        <f t="shared" ref="T11" si="75">C11/C12-1</f>
        <v>1.9200000000000106E-2</v>
      </c>
      <c r="U11" s="1472">
        <f t="shared" ref="U11" si="76">D11/D12-1</f>
        <v>1.9200000000000106E-2</v>
      </c>
      <c r="V11" s="1472">
        <f t="shared" ref="V11" si="77">E11/E12-1</f>
        <v>1.639999999999997E-2</v>
      </c>
      <c r="W11" s="1789"/>
      <c r="X11" s="1787">
        <f>ROUND(SUMPRODUCT(PRODUCT(1+N11:N$26)),4)</f>
        <v>1.4517</v>
      </c>
      <c r="Y11" s="1787">
        <f>ROUND(SUMPRODUCT(PRODUCT(1+O11:O$26)),4)</f>
        <v>1.2928999999999999</v>
      </c>
      <c r="Z11" s="1787">
        <f t="shared" ref="Z11" si="78">Y11</f>
        <v>1.2928999999999999</v>
      </c>
      <c r="AA11" s="1787">
        <f>ROUND(SUMPRODUCT(PRODUCT(1+P11:P$26)),4)</f>
        <v>1.5068999999999999</v>
      </c>
      <c r="AB11" s="1787">
        <f>ROUND(SUMPRODUCT(PRODUCT(1+Q11:Q$26)),4)</f>
        <v>1.2557</v>
      </c>
      <c r="AC11" s="1789"/>
      <c r="AD11" s="1788">
        <f>ROUND(AVERAGE(I11:I$27)/100,4)</f>
        <v>2.4E-2</v>
      </c>
      <c r="AE11" s="1788">
        <f>ROUND(AVERAGE(J11:J$27)/100,4)</f>
        <v>1.66E-2</v>
      </c>
      <c r="AF11" s="1788">
        <f t="shared" ref="AF11" si="79">AE11</f>
        <v>1.66E-2</v>
      </c>
      <c r="AG11" s="1788">
        <f>ROUND(AVERAGE(K11:K$27)/100,4)</f>
        <v>2.6499999999999999E-2</v>
      </c>
      <c r="AH11" s="1788">
        <f>ROUND(AVERAGE(L11:L$27)/100,4)</f>
        <v>1.43E-2</v>
      </c>
    </row>
    <row r="12" spans="1:34">
      <c r="A12" s="1460" t="s">
        <v>3026</v>
      </c>
      <c r="B12" s="1468">
        <v>439</v>
      </c>
      <c r="C12" s="1468">
        <v>327</v>
      </c>
      <c r="D12" s="1468">
        <f>C12</f>
        <v>327</v>
      </c>
      <c r="E12" s="1468">
        <v>627</v>
      </c>
      <c r="F12" s="1469">
        <v>283</v>
      </c>
      <c r="G12" s="3368">
        <v>2017</v>
      </c>
      <c r="H12" s="1461">
        <v>4</v>
      </c>
      <c r="I12" s="1461">
        <v>1.71</v>
      </c>
      <c r="J12" s="1461">
        <v>1.78</v>
      </c>
      <c r="K12" s="1461">
        <v>1.71</v>
      </c>
      <c r="L12" s="1462">
        <v>1.43</v>
      </c>
      <c r="N12" s="1471">
        <f t="shared" si="71"/>
        <v>1.7100000000000001E-2</v>
      </c>
      <c r="O12" s="1472">
        <f t="shared" ref="O12" si="80">J12/100</f>
        <v>1.78E-2</v>
      </c>
      <c r="P12" s="1472">
        <f t="shared" ref="P12" si="81">K12/100</f>
        <v>1.7100000000000001E-2</v>
      </c>
      <c r="Q12" s="1472">
        <f t="shared" ref="Q12" si="82">L12/100</f>
        <v>1.43E-2</v>
      </c>
      <c r="R12" s="1473"/>
      <c r="S12" s="1474"/>
      <c r="T12" s="1475"/>
      <c r="U12" s="1475"/>
      <c r="V12" s="1475"/>
      <c r="X12" s="1458">
        <f>ROUND(SUMPRODUCT(PRODUCT(1+N12:N$26)),4)</f>
        <v>1.4274</v>
      </c>
      <c r="Y12" s="1458">
        <f>ROUND(SUMPRODUCT(PRODUCT(1+O12:O$26)),4)</f>
        <v>1.2685</v>
      </c>
      <c r="Z12" s="1458">
        <f t="shared" si="0"/>
        <v>1.2685</v>
      </c>
      <c r="AA12" s="1458">
        <f>ROUND(SUMPRODUCT(PRODUCT(1+P12:P$26)),4)</f>
        <v>1.4825999999999999</v>
      </c>
      <c r="AB12" s="1458">
        <f>ROUND(SUMPRODUCT(PRODUCT(1+Q12:Q$26)),4)</f>
        <v>1.2309000000000001</v>
      </c>
      <c r="AD12" s="1459">
        <f>ROUND(AVERAGE(I12:I$27)/100,4)</f>
        <v>2.4500000000000001E-2</v>
      </c>
      <c r="AE12" s="1459">
        <f>ROUND(AVERAGE(J12:J$27)/100,4)</f>
        <v>1.6500000000000001E-2</v>
      </c>
      <c r="AF12" s="1459">
        <f t="shared" si="1"/>
        <v>1.6500000000000001E-2</v>
      </c>
      <c r="AG12" s="1459">
        <f>ROUND(AVERAGE(K12:K$27)/100,4)</f>
        <v>2.7099999999999999E-2</v>
      </c>
      <c r="AH12" s="1459">
        <f>ROUND(AVERAGE(L12:L$27)/100,4)</f>
        <v>1.3899999999999999E-2</v>
      </c>
    </row>
    <row r="13" spans="1:34" s="1465" customFormat="1" ht="14.45" customHeight="1">
      <c r="A13" s="1460" t="s">
        <v>3027</v>
      </c>
      <c r="B13" s="1476">
        <f t="shared" ref="B13:B14" si="83">B14*(1+N13)</f>
        <v>431.80730811680002</v>
      </c>
      <c r="C13" s="1476">
        <f t="shared" ref="C13:C14" si="84">C14*(1+O13)</f>
        <v>320.57880516480003</v>
      </c>
      <c r="D13" s="1476">
        <f t="shared" ref="D13:D14" si="85">C13</f>
        <v>320.57880516480003</v>
      </c>
      <c r="E13" s="1476">
        <f t="shared" ref="E13:E14" si="86">E14*(1+P13)</f>
        <v>615.96110553196797</v>
      </c>
      <c r="F13" s="1476">
        <f t="shared" ref="F13:F14" si="87">F14*(1+Q13)</f>
        <v>279.46777300108801</v>
      </c>
      <c r="G13" s="3363"/>
      <c r="H13" s="1463">
        <v>3</v>
      </c>
      <c r="I13" s="1463">
        <v>2.98</v>
      </c>
      <c r="J13" s="1463">
        <v>2.11</v>
      </c>
      <c r="K13" s="1463">
        <v>3.24</v>
      </c>
      <c r="L13" s="1477">
        <v>1.72</v>
      </c>
      <c r="M13" s="1470"/>
      <c r="N13" s="1471">
        <f t="shared" si="71"/>
        <v>2.98E-2</v>
      </c>
      <c r="O13" s="1472">
        <f t="shared" ref="O13" si="88">J13/100</f>
        <v>2.1099999999999997E-2</v>
      </c>
      <c r="P13" s="1472">
        <f t="shared" ref="P13" si="89">K13/100</f>
        <v>3.2400000000000005E-2</v>
      </c>
      <c r="Q13" s="1472">
        <f t="shared" ref="Q13" si="90">L13/100</f>
        <v>1.72E-2</v>
      </c>
      <c r="R13" s="1473"/>
      <c r="S13" s="1471"/>
      <c r="T13" s="1472"/>
      <c r="U13" s="1472"/>
      <c r="V13" s="1472"/>
      <c r="W13" s="1789"/>
      <c r="X13" s="1787">
        <f>ROUND(SUMPRODUCT(PRODUCT(1+N13:N$26)),4)</f>
        <v>1.4034</v>
      </c>
      <c r="Y13" s="1787">
        <f>ROUND(SUMPRODUCT(PRODUCT(1+O13:O$26)),4)</f>
        <v>1.2463</v>
      </c>
      <c r="Z13" s="1787">
        <f t="shared" si="0"/>
        <v>1.2463</v>
      </c>
      <c r="AA13" s="1787">
        <f>ROUND(SUMPRODUCT(PRODUCT(1+P13:P$26)),4)</f>
        <v>1.4577</v>
      </c>
      <c r="AB13" s="1787">
        <f>ROUND(SUMPRODUCT(PRODUCT(1+Q13:Q$26)),4)</f>
        <v>1.2136</v>
      </c>
      <c r="AC13" s="1789"/>
      <c r="AD13" s="1788">
        <f>ROUND(AVERAGE(I13:I$27)/100,4)</f>
        <v>2.4899999999999999E-2</v>
      </c>
      <c r="AE13" s="1788">
        <f>ROUND(AVERAGE(J13:J$27)/100,4)</f>
        <v>1.6400000000000001E-2</v>
      </c>
      <c r="AF13" s="1788">
        <f t="shared" si="1"/>
        <v>1.6400000000000001E-2</v>
      </c>
      <c r="AG13" s="1788">
        <f>ROUND(AVERAGE(K13:K$27)/100,4)</f>
        <v>2.7799999999999998E-2</v>
      </c>
      <c r="AH13" s="1788">
        <f>ROUND(AVERAGE(L13:L$27)/100,4)</f>
        <v>1.3899999999999999E-2</v>
      </c>
    </row>
    <row r="14" spans="1:34" s="1730" customFormat="1" ht="14.45" customHeight="1">
      <c r="A14" s="1460" t="s">
        <v>1381</v>
      </c>
      <c r="B14" s="1476">
        <f t="shared" si="83"/>
        <v>419.31181600000002</v>
      </c>
      <c r="C14" s="1476">
        <f t="shared" si="84"/>
        <v>313.95436800000004</v>
      </c>
      <c r="D14" s="1476">
        <f t="shared" si="85"/>
        <v>313.95436800000004</v>
      </c>
      <c r="E14" s="1476">
        <f t="shared" si="86"/>
        <v>596.63028431999999</v>
      </c>
      <c r="F14" s="1476">
        <f t="shared" si="87"/>
        <v>274.74220703999998</v>
      </c>
      <c r="G14" s="3363"/>
      <c r="H14" s="1464">
        <v>2</v>
      </c>
      <c r="I14" s="1464">
        <v>3.4</v>
      </c>
      <c r="J14" s="1464">
        <v>2</v>
      </c>
      <c r="K14" s="1464">
        <v>3.82</v>
      </c>
      <c r="L14" s="1478">
        <v>1.68</v>
      </c>
      <c r="M14" s="1470"/>
      <c r="N14" s="1471">
        <f t="shared" si="71"/>
        <v>3.4000000000000002E-2</v>
      </c>
      <c r="O14" s="1472">
        <f t="shared" ref="O14" si="91">J14/100</f>
        <v>0.02</v>
      </c>
      <c r="P14" s="1472">
        <f t="shared" ref="P14" si="92">K14/100</f>
        <v>3.8199999999999998E-2</v>
      </c>
      <c r="Q14" s="1472">
        <f t="shared" ref="Q14" si="93">L14/100</f>
        <v>1.6799999999999999E-2</v>
      </c>
      <c r="R14" s="1473"/>
      <c r="S14" s="1474"/>
      <c r="T14" s="1475"/>
      <c r="U14" s="1475"/>
      <c r="V14" s="1475"/>
      <c r="W14" s="1452"/>
      <c r="X14" s="1787">
        <f>ROUND(SUMPRODUCT(PRODUCT(1+N14:N$26)),4)</f>
        <v>1.3628</v>
      </c>
      <c r="Y14" s="1787">
        <f>ROUND(SUMPRODUCT(PRODUCT(1+O14:O$26)),4)</f>
        <v>1.2205999999999999</v>
      </c>
      <c r="Z14" s="1787">
        <f t="shared" si="0"/>
        <v>1.2205999999999999</v>
      </c>
      <c r="AA14" s="1787">
        <f>ROUND(SUMPRODUCT(PRODUCT(1+P14:P$26)),4)</f>
        <v>1.4118999999999999</v>
      </c>
      <c r="AB14" s="1787">
        <f>ROUND(SUMPRODUCT(PRODUCT(1+Q14:Q$26)),4)</f>
        <v>1.1930000000000001</v>
      </c>
      <c r="AC14" s="1452"/>
      <c r="AD14" s="1788">
        <f>ROUND(AVERAGE(I14:I$27)/100,4)</f>
        <v>2.46E-2</v>
      </c>
      <c r="AE14" s="1788">
        <f>ROUND(AVERAGE(J14:J$27)/100,4)</f>
        <v>1.6E-2</v>
      </c>
      <c r="AF14" s="1788">
        <f t="shared" si="1"/>
        <v>1.6E-2</v>
      </c>
      <c r="AG14" s="1788">
        <f>ROUND(AVERAGE(K14:K$27)/100,4)</f>
        <v>2.75E-2</v>
      </c>
      <c r="AH14" s="1788">
        <f>ROUND(AVERAGE(L14:L$27)/100,4)</f>
        <v>1.37E-2</v>
      </c>
    </row>
    <row r="15" spans="1:34" s="1465" customFormat="1" ht="15" customHeight="1" thickBot="1">
      <c r="A15" s="1460" t="s">
        <v>1157</v>
      </c>
      <c r="B15" s="1476">
        <f>B16*(1+N15)</f>
        <v>405.524</v>
      </c>
      <c r="C15" s="1476">
        <f>C16*(1+O15)</f>
        <v>307.79840000000002</v>
      </c>
      <c r="D15" s="1476">
        <f>C15</f>
        <v>307.79840000000002</v>
      </c>
      <c r="E15" s="1476">
        <f>E16*(1+P15)</f>
        <v>574.67759999999998</v>
      </c>
      <c r="F15" s="1476">
        <f>F16*(1+Q15)</f>
        <v>270.20280000000002</v>
      </c>
      <c r="G15" s="3372"/>
      <c r="H15" s="1463">
        <v>1</v>
      </c>
      <c r="I15" s="1463">
        <v>3.45</v>
      </c>
      <c r="J15" s="1463">
        <v>1.92</v>
      </c>
      <c r="K15" s="1463">
        <v>3.92</v>
      </c>
      <c r="L15" s="1477">
        <v>1.58</v>
      </c>
      <c r="M15" s="1470"/>
      <c r="N15" s="1471">
        <f t="shared" si="71"/>
        <v>3.4500000000000003E-2</v>
      </c>
      <c r="O15" s="1472">
        <f t="shared" ref="O15:Q30" si="94">J15/100</f>
        <v>1.9199999999999998E-2</v>
      </c>
      <c r="P15" s="1472">
        <f t="shared" si="94"/>
        <v>3.9199999999999999E-2</v>
      </c>
      <c r="Q15" s="1472">
        <f t="shared" si="94"/>
        <v>1.5800000000000002E-2</v>
      </c>
      <c r="R15" s="1473"/>
      <c r="S15" s="1471">
        <f>B15/B16-1</f>
        <v>3.4499999999999975E-2</v>
      </c>
      <c r="T15" s="1472">
        <f t="shared" ref="T15:V15" si="95">C15/C16-1</f>
        <v>1.9200000000000106E-2</v>
      </c>
      <c r="U15" s="1472">
        <f t="shared" si="95"/>
        <v>1.9200000000000106E-2</v>
      </c>
      <c r="V15" s="1472">
        <f t="shared" si="95"/>
        <v>3.9199999999999902E-2</v>
      </c>
      <c r="W15" s="1789"/>
      <c r="X15" s="1787">
        <f>ROUND(SUMPRODUCT(PRODUCT(1+N15:N$26)),4)</f>
        <v>1.3180000000000001</v>
      </c>
      <c r="Y15" s="1787">
        <f>ROUND(SUMPRODUCT(PRODUCT(1+O15:O$26)),4)</f>
        <v>1.1966000000000001</v>
      </c>
      <c r="Z15" s="1787">
        <f t="shared" si="0"/>
        <v>1.1966000000000001</v>
      </c>
      <c r="AA15" s="1787">
        <f>ROUND(SUMPRODUCT(PRODUCT(1+P15:P$26)),4)</f>
        <v>1.36</v>
      </c>
      <c r="AB15" s="1787">
        <f>ROUND(SUMPRODUCT(PRODUCT(1+Q15:Q$26)),4)</f>
        <v>1.1733</v>
      </c>
      <c r="AC15" s="1789"/>
      <c r="AD15" s="1788">
        <f>ROUND(AVERAGE(I15:I$27)/100,4)</f>
        <v>2.3900000000000001E-2</v>
      </c>
      <c r="AE15" s="1788">
        <f>ROUND(AVERAGE(J15:J$27)/100,4)</f>
        <v>1.5699999999999999E-2</v>
      </c>
      <c r="AF15" s="1788">
        <f t="shared" si="1"/>
        <v>1.5699999999999999E-2</v>
      </c>
      <c r="AG15" s="1788">
        <f>ROUND(AVERAGE(K15:K$27)/100,4)</f>
        <v>2.6599999999999999E-2</v>
      </c>
      <c r="AH15" s="1788">
        <f>ROUND(AVERAGE(L15:L$27)/100,4)</f>
        <v>1.34E-2</v>
      </c>
    </row>
    <row r="16" spans="1:34">
      <c r="A16" s="1460" t="s">
        <v>154</v>
      </c>
      <c r="B16" s="1468">
        <v>392</v>
      </c>
      <c r="C16" s="1468">
        <v>302</v>
      </c>
      <c r="D16" s="1468">
        <f>C16</f>
        <v>302</v>
      </c>
      <c r="E16" s="1468">
        <v>553</v>
      </c>
      <c r="F16" s="1469">
        <v>266</v>
      </c>
      <c r="G16" s="3368">
        <v>2016</v>
      </c>
      <c r="H16" s="1461">
        <v>4</v>
      </c>
      <c r="I16" s="1461">
        <v>4.5599999999999996</v>
      </c>
      <c r="J16" s="1461">
        <v>2.15</v>
      </c>
      <c r="K16" s="1461">
        <v>5.32</v>
      </c>
      <c r="L16" s="1462">
        <v>1.57</v>
      </c>
      <c r="N16" s="1471">
        <f t="shared" si="71"/>
        <v>4.5599999999999995E-2</v>
      </c>
      <c r="O16" s="1472">
        <f t="shared" si="94"/>
        <v>2.1499999999999998E-2</v>
      </c>
      <c r="P16" s="1472">
        <f t="shared" si="94"/>
        <v>5.3200000000000004E-2</v>
      </c>
      <c r="Q16" s="1472">
        <f t="shared" si="94"/>
        <v>1.5700000000000002E-2</v>
      </c>
      <c r="R16" s="1473"/>
      <c r="S16" s="1474"/>
      <c r="T16" s="1475"/>
      <c r="U16" s="1475"/>
      <c r="V16" s="1475"/>
      <c r="X16" s="1458">
        <f>ROUND(SUMPRODUCT(PRODUCT(1+N16:N$26)),4)</f>
        <v>1.274</v>
      </c>
      <c r="Y16" s="1458">
        <f>ROUND(SUMPRODUCT(PRODUCT(1+O16:O$26)),4)</f>
        <v>1.1740999999999999</v>
      </c>
      <c r="Z16" s="1458">
        <f t="shared" si="0"/>
        <v>1.1740999999999999</v>
      </c>
      <c r="AA16" s="1458">
        <f>ROUND(SUMPRODUCT(PRODUCT(1+P16:P$26)),4)</f>
        <v>1.3087</v>
      </c>
      <c r="AB16" s="1458">
        <f>ROUND(SUMPRODUCT(PRODUCT(1+Q16:Q$26)),4)</f>
        <v>1.1551</v>
      </c>
      <c r="AD16" s="1459">
        <f>ROUND(AVERAGE(I16:I$27)/100,4)</f>
        <v>2.3E-2</v>
      </c>
      <c r="AE16" s="1459">
        <f>ROUND(AVERAGE(J16:J$27)/100,4)</f>
        <v>1.55E-2</v>
      </c>
      <c r="AF16" s="1459">
        <f t="shared" si="1"/>
        <v>1.55E-2</v>
      </c>
      <c r="AG16" s="1459">
        <f>ROUND(AVERAGE(K16:K$27)/100,4)</f>
        <v>2.5600000000000001E-2</v>
      </c>
      <c r="AH16" s="1459">
        <f>ROUND(AVERAGE(L16:L$27)/100,4)</f>
        <v>1.32E-2</v>
      </c>
    </row>
    <row r="17" spans="1:34">
      <c r="A17" s="1460" t="s">
        <v>153</v>
      </c>
      <c r="B17" s="1476">
        <f t="shared" ref="B17:C19" si="96">B16/(1+N16)</f>
        <v>374.90436113236416</v>
      </c>
      <c r="C17" s="1476">
        <f t="shared" si="96"/>
        <v>295.64366128242779</v>
      </c>
      <c r="D17" s="1476">
        <f t="shared" ref="D17:D76" si="97">C17</f>
        <v>295.64366128242779</v>
      </c>
      <c r="E17" s="1476">
        <f t="shared" ref="E17:F19" si="98">E16/(1+P16)</f>
        <v>525.06646410938095</v>
      </c>
      <c r="F17" s="1476">
        <f t="shared" si="98"/>
        <v>261.88835286009646</v>
      </c>
      <c r="G17" s="3363"/>
      <c r="H17" s="1463">
        <v>3</v>
      </c>
      <c r="I17" s="1463">
        <v>4.12</v>
      </c>
      <c r="J17" s="1463">
        <v>2</v>
      </c>
      <c r="K17" s="1463">
        <v>4.79</v>
      </c>
      <c r="L17" s="1477">
        <v>1.97</v>
      </c>
      <c r="N17" s="1471">
        <f t="shared" ref="N17:Q51" si="99">I17/100</f>
        <v>4.1200000000000001E-2</v>
      </c>
      <c r="O17" s="1472">
        <f t="shared" si="94"/>
        <v>0.02</v>
      </c>
      <c r="P17" s="1472">
        <f t="shared" si="94"/>
        <v>4.7899999999999998E-2</v>
      </c>
      <c r="Q17" s="1472">
        <f t="shared" si="94"/>
        <v>1.9699999999999999E-2</v>
      </c>
      <c r="R17" s="1473"/>
      <c r="S17" s="1471"/>
      <c r="T17" s="1472"/>
      <c r="U17" s="1472"/>
      <c r="V17" s="1472"/>
      <c r="X17" s="1458">
        <f>ROUND(SUMPRODUCT(PRODUCT(1+N17:N$26)),4)</f>
        <v>1.2184999999999999</v>
      </c>
      <c r="Y17" s="1458">
        <f>ROUND(SUMPRODUCT(PRODUCT(1+O17:O$26)),4)</f>
        <v>1.1494</v>
      </c>
      <c r="Z17" s="1458">
        <f t="shared" si="0"/>
        <v>1.1494</v>
      </c>
      <c r="AA17" s="1458">
        <f>ROUND(SUMPRODUCT(PRODUCT(1+P17:P$26)),4)</f>
        <v>1.2425999999999999</v>
      </c>
      <c r="AB17" s="1458">
        <f>ROUND(SUMPRODUCT(PRODUCT(1+Q17:Q$26)),4)</f>
        <v>1.1372</v>
      </c>
      <c r="AD17" s="1459">
        <f>ROUND(AVERAGE(I17:I$27)/100,4)</f>
        <v>2.0899999999999998E-2</v>
      </c>
      <c r="AE17" s="1459">
        <f>ROUND(AVERAGE(J17:J$27)/100,4)</f>
        <v>1.49E-2</v>
      </c>
      <c r="AF17" s="1459">
        <f t="shared" si="1"/>
        <v>1.49E-2</v>
      </c>
      <c r="AG17" s="1459">
        <f>ROUND(AVERAGE(K17:K$27)/100,4)</f>
        <v>2.3099999999999999E-2</v>
      </c>
      <c r="AH17" s="1459">
        <f>ROUND(AVERAGE(L17:L$27)/100,4)</f>
        <v>1.2999999999999999E-2</v>
      </c>
    </row>
    <row r="18" spans="1:34">
      <c r="A18" s="1460" t="s">
        <v>143</v>
      </c>
      <c r="B18" s="1476">
        <f t="shared" si="96"/>
        <v>360.06949782209392</v>
      </c>
      <c r="C18" s="1476">
        <f t="shared" si="96"/>
        <v>289.84672674747821</v>
      </c>
      <c r="D18" s="1476">
        <f t="shared" si="97"/>
        <v>289.84672674747821</v>
      </c>
      <c r="E18" s="1476">
        <f t="shared" si="98"/>
        <v>501.06543001181495</v>
      </c>
      <c r="F18" s="1476">
        <f t="shared" si="98"/>
        <v>256.82882500744967</v>
      </c>
      <c r="G18" s="3363"/>
      <c r="H18" s="1464">
        <v>2</v>
      </c>
      <c r="I18" s="1464">
        <v>3.85</v>
      </c>
      <c r="J18" s="1464">
        <v>1.95</v>
      </c>
      <c r="K18" s="1464">
        <v>4.4800000000000004</v>
      </c>
      <c r="L18" s="1478">
        <v>1.41</v>
      </c>
      <c r="N18" s="1471">
        <f t="shared" si="99"/>
        <v>3.85E-2</v>
      </c>
      <c r="O18" s="1472">
        <f t="shared" si="94"/>
        <v>1.95E-2</v>
      </c>
      <c r="P18" s="1472">
        <f t="shared" si="94"/>
        <v>4.4800000000000006E-2</v>
      </c>
      <c r="Q18" s="1472">
        <f t="shared" si="94"/>
        <v>1.41E-2</v>
      </c>
      <c r="R18" s="1473"/>
      <c r="S18" s="1471"/>
      <c r="T18" s="1472"/>
      <c r="U18" s="1472"/>
      <c r="V18" s="1472"/>
      <c r="X18" s="1458">
        <f>ROUND(SUMPRODUCT(PRODUCT(1+N18:N$26)),4)</f>
        <v>1.1702999999999999</v>
      </c>
      <c r="Y18" s="1458">
        <f>ROUND(SUMPRODUCT(PRODUCT(1+O18:O$26)),4)</f>
        <v>1.1269</v>
      </c>
      <c r="Z18" s="1458">
        <f t="shared" si="0"/>
        <v>1.1269</v>
      </c>
      <c r="AA18" s="1458">
        <f>ROUND(SUMPRODUCT(PRODUCT(1+P18:P$26)),4)</f>
        <v>1.1858</v>
      </c>
      <c r="AB18" s="1458">
        <f>ROUND(SUMPRODUCT(PRODUCT(1+Q18:Q$26)),4)</f>
        <v>1.1152</v>
      </c>
      <c r="AD18" s="1459">
        <f>ROUND(AVERAGE(I18:I$27)/100,4)</f>
        <v>1.89E-2</v>
      </c>
      <c r="AE18" s="1459">
        <f>ROUND(AVERAGE(J18:J$27)/100,4)</f>
        <v>1.44E-2</v>
      </c>
      <c r="AF18" s="1459">
        <f t="shared" si="1"/>
        <v>1.44E-2</v>
      </c>
      <c r="AG18" s="1459">
        <f>ROUND(AVERAGE(K18:K$27)/100,4)</f>
        <v>2.06E-2</v>
      </c>
      <c r="AH18" s="1459">
        <f>ROUND(AVERAGE(L18:L$27)/100,4)</f>
        <v>1.23E-2</v>
      </c>
    </row>
    <row r="19" spans="1:34" ht="13.5" thickBot="1">
      <c r="A19" s="1460" t="s">
        <v>152</v>
      </c>
      <c r="B19" s="1476">
        <f t="shared" si="96"/>
        <v>346.720748986128</v>
      </c>
      <c r="C19" s="1476">
        <f t="shared" si="96"/>
        <v>284.30282172386285</v>
      </c>
      <c r="D19" s="1476">
        <f t="shared" si="97"/>
        <v>284.30282172386285</v>
      </c>
      <c r="E19" s="1476">
        <f t="shared" si="98"/>
        <v>479.58023546306947</v>
      </c>
      <c r="F19" s="1476">
        <f t="shared" si="98"/>
        <v>253.25788877571213</v>
      </c>
      <c r="G19" s="3364"/>
      <c r="H19" s="1463">
        <v>1</v>
      </c>
      <c r="I19" s="1463">
        <v>4.09</v>
      </c>
      <c r="J19" s="1463">
        <v>2.93</v>
      </c>
      <c r="K19" s="1463">
        <v>4.54</v>
      </c>
      <c r="L19" s="1477">
        <v>1.48</v>
      </c>
      <c r="N19" s="1471">
        <f t="shared" si="99"/>
        <v>4.0899999999999999E-2</v>
      </c>
      <c r="O19" s="1472">
        <f t="shared" si="94"/>
        <v>2.9300000000000003E-2</v>
      </c>
      <c r="P19" s="1472">
        <f t="shared" si="94"/>
        <v>4.5400000000000003E-2</v>
      </c>
      <c r="Q19" s="1472">
        <f t="shared" si="94"/>
        <v>1.4800000000000001E-2</v>
      </c>
      <c r="R19" s="1473"/>
      <c r="S19" s="1479">
        <f>B19/B20-1</f>
        <v>4.1203450408792808E-2</v>
      </c>
      <c r="T19" s="1480">
        <f>C19/C20-1</f>
        <v>2.6363977342465095E-2</v>
      </c>
      <c r="U19" s="1480">
        <f>E19/E20-1</f>
        <v>4.4837114298626357E-2</v>
      </c>
      <c r="V19" s="1480">
        <f>F19/F20-1</f>
        <v>1.7099954922538574E-2</v>
      </c>
      <c r="X19" s="1458">
        <f>ROUND(SUMPRODUCT(PRODUCT(1+N19:N$26)),4)</f>
        <v>1.1269</v>
      </c>
      <c r="Y19" s="1458">
        <f>ROUND(SUMPRODUCT(PRODUCT(1+O19:O$26)),4)</f>
        <v>1.1052999999999999</v>
      </c>
      <c r="Z19" s="1458">
        <f t="shared" si="0"/>
        <v>1.1052999999999999</v>
      </c>
      <c r="AA19" s="1458">
        <f>ROUND(SUMPRODUCT(PRODUCT(1+P19:P$26)),4)</f>
        <v>1.1349</v>
      </c>
      <c r="AB19" s="1458">
        <f>ROUND(SUMPRODUCT(PRODUCT(1+Q19:Q$26)),4)</f>
        <v>1.0996999999999999</v>
      </c>
      <c r="AD19" s="1459">
        <f>ROUND(AVERAGE(I19:I$27)/100,4)</f>
        <v>1.67E-2</v>
      </c>
      <c r="AE19" s="1459">
        <f>ROUND(AVERAGE(J19:J$27)/100,4)</f>
        <v>1.38E-2</v>
      </c>
      <c r="AF19" s="1459">
        <f t="shared" si="1"/>
        <v>1.38E-2</v>
      </c>
      <c r="AG19" s="1459">
        <f>ROUND(AVERAGE(K19:K$27)/100,4)</f>
        <v>1.7899999999999999E-2</v>
      </c>
      <c r="AH19" s="1459">
        <f>ROUND(AVERAGE(L19:L$27)/100,4)</f>
        <v>1.21E-2</v>
      </c>
    </row>
    <row r="20" spans="1:34" ht="13.5" thickBot="1">
      <c r="A20" s="1460" t="s">
        <v>151</v>
      </c>
      <c r="B20" s="1468">
        <v>333</v>
      </c>
      <c r="C20" s="1468">
        <v>277</v>
      </c>
      <c r="D20" s="1468">
        <f t="shared" si="97"/>
        <v>277</v>
      </c>
      <c r="E20" s="1468">
        <v>459</v>
      </c>
      <c r="F20" s="1469">
        <v>249</v>
      </c>
      <c r="G20" s="3362">
        <v>2015</v>
      </c>
      <c r="H20" s="1481">
        <v>4</v>
      </c>
      <c r="I20" s="1481">
        <v>1.63</v>
      </c>
      <c r="J20" s="1481">
        <v>1.1100000000000001</v>
      </c>
      <c r="K20" s="1481">
        <v>1.77</v>
      </c>
      <c r="L20" s="1482">
        <v>1.89</v>
      </c>
      <c r="N20" s="1483">
        <f t="shared" si="99"/>
        <v>1.6299999999999999E-2</v>
      </c>
      <c r="O20" s="1484">
        <f t="shared" si="94"/>
        <v>1.11E-2</v>
      </c>
      <c r="P20" s="1484">
        <f t="shared" si="94"/>
        <v>1.77E-2</v>
      </c>
      <c r="Q20" s="1484">
        <f t="shared" si="94"/>
        <v>1.89E-2</v>
      </c>
      <c r="R20" s="1473"/>
      <c r="X20" s="1458">
        <f>ROUND(SUMPRODUCT(PRODUCT(1+N20:N$26)),4)</f>
        <v>1.0826</v>
      </c>
      <c r="Y20" s="1458">
        <f>ROUND(SUMPRODUCT(PRODUCT(1+O20:O$26)),4)</f>
        <v>1.0738000000000001</v>
      </c>
      <c r="Z20" s="1458">
        <f t="shared" si="0"/>
        <v>1.0738000000000001</v>
      </c>
      <c r="AA20" s="1458">
        <f>ROUND(SUMPRODUCT(PRODUCT(1+P20:P$26)),4)</f>
        <v>1.0855999999999999</v>
      </c>
      <c r="AB20" s="1458">
        <f>ROUND(SUMPRODUCT(PRODUCT(1+Q20:Q$26)),4)</f>
        <v>1.0837000000000001</v>
      </c>
      <c r="AD20" s="1459">
        <f>ROUND(AVERAGE(I20:I$27)/100,4)</f>
        <v>1.37E-2</v>
      </c>
      <c r="AE20" s="1459">
        <f>ROUND(AVERAGE(J20:J$27)/100,4)</f>
        <v>1.1900000000000001E-2</v>
      </c>
      <c r="AF20" s="1459">
        <f t="shared" si="1"/>
        <v>1.1900000000000001E-2</v>
      </c>
      <c r="AG20" s="1459">
        <f>ROUND(AVERAGE(K20:K$27)/100,4)</f>
        <v>1.4500000000000001E-2</v>
      </c>
      <c r="AH20" s="1459">
        <f>ROUND(AVERAGE(L20:L$27)/100,4)</f>
        <v>1.18E-2</v>
      </c>
    </row>
    <row r="21" spans="1:34">
      <c r="A21" s="1460" t="s">
        <v>150</v>
      </c>
      <c r="B21" s="1476">
        <f t="shared" ref="B21:C23" si="100">B20/(1+N20)</f>
        <v>327.65915576109415</v>
      </c>
      <c r="C21" s="1476">
        <f t="shared" si="100"/>
        <v>273.95905449510434</v>
      </c>
      <c r="D21" s="1476">
        <f t="shared" si="97"/>
        <v>273.95905449510434</v>
      </c>
      <c r="E21" s="1476">
        <f t="shared" ref="E21:F23" si="101">E20/(1+P20)</f>
        <v>451.01699911565294</v>
      </c>
      <c r="F21" s="1476">
        <f t="shared" si="101"/>
        <v>244.38119540681129</v>
      </c>
      <c r="G21" s="3363"/>
      <c r="H21" s="1486">
        <v>3</v>
      </c>
      <c r="I21" s="1486">
        <v>1.65</v>
      </c>
      <c r="J21" s="1486">
        <v>0.92</v>
      </c>
      <c r="K21" s="1486">
        <v>1.88</v>
      </c>
      <c r="L21" s="1487">
        <v>1.26</v>
      </c>
      <c r="N21" s="1471">
        <f t="shared" si="99"/>
        <v>1.6500000000000001E-2</v>
      </c>
      <c r="O21" s="1488">
        <f t="shared" si="94"/>
        <v>9.1999999999999998E-3</v>
      </c>
      <c r="P21" s="1488">
        <f t="shared" si="94"/>
        <v>1.8799999999999997E-2</v>
      </c>
      <c r="Q21" s="1488">
        <f t="shared" si="94"/>
        <v>1.26E-2</v>
      </c>
      <c r="R21" s="1473"/>
      <c r="S21" s="1471"/>
      <c r="T21" s="1472"/>
      <c r="U21" s="1472"/>
      <c r="V21" s="1472"/>
      <c r="X21" s="1458">
        <f>ROUND(SUMPRODUCT(PRODUCT(1+N21:N$26)),4)</f>
        <v>1.0651999999999999</v>
      </c>
      <c r="Y21" s="1458">
        <f>ROUND(SUMPRODUCT(PRODUCT(1+O21:O$26)),4)</f>
        <v>1.0621</v>
      </c>
      <c r="Z21" s="1458">
        <f t="shared" si="0"/>
        <v>1.0621</v>
      </c>
      <c r="AA21" s="1458">
        <f>ROUND(SUMPRODUCT(PRODUCT(1+P21:P$26)),4)</f>
        <v>1.0668</v>
      </c>
      <c r="AB21" s="1458">
        <f>ROUND(SUMPRODUCT(PRODUCT(1+Q21:Q$26)),4)</f>
        <v>1.0636000000000001</v>
      </c>
      <c r="AD21" s="1459">
        <f>ROUND(AVERAGE(I21:I$27)/100,4)</f>
        <v>1.3299999999999999E-2</v>
      </c>
      <c r="AE21" s="1459">
        <f>ROUND(AVERAGE(J21:J$27)/100,4)</f>
        <v>1.2E-2</v>
      </c>
      <c r="AF21" s="1459">
        <f t="shared" si="1"/>
        <v>1.2E-2</v>
      </c>
      <c r="AG21" s="1459">
        <f>ROUND(AVERAGE(K21:K$27)/100,4)</f>
        <v>1.4E-2</v>
      </c>
      <c r="AH21" s="1459">
        <f>ROUND(AVERAGE(L21:L$27)/100,4)</f>
        <v>1.0800000000000001E-2</v>
      </c>
    </row>
    <row r="22" spans="1:34">
      <c r="A22" s="1460" t="s">
        <v>149</v>
      </c>
      <c r="B22" s="1476">
        <f t="shared" si="100"/>
        <v>322.34053690220776</v>
      </c>
      <c r="C22" s="1476">
        <f t="shared" si="100"/>
        <v>271.46160770422546</v>
      </c>
      <c r="D22" s="1476">
        <f t="shared" si="97"/>
        <v>271.46160770422546</v>
      </c>
      <c r="E22" s="1476">
        <f t="shared" si="101"/>
        <v>442.69434542172456</v>
      </c>
      <c r="F22" s="1476">
        <f t="shared" si="101"/>
        <v>241.34030753190925</v>
      </c>
      <c r="G22" s="3363"/>
      <c r="H22" s="1464">
        <v>2</v>
      </c>
      <c r="I22" s="1464">
        <v>0.77</v>
      </c>
      <c r="J22" s="1464">
        <v>0.69</v>
      </c>
      <c r="K22" s="1464">
        <v>0.8</v>
      </c>
      <c r="L22" s="1478">
        <v>0.88</v>
      </c>
      <c r="N22" s="1471">
        <f t="shared" si="99"/>
        <v>7.7000000000000002E-3</v>
      </c>
      <c r="O22" s="1488">
        <f t="shared" si="94"/>
        <v>6.8999999999999999E-3</v>
      </c>
      <c r="P22" s="1488">
        <f t="shared" si="94"/>
        <v>8.0000000000000002E-3</v>
      </c>
      <c r="Q22" s="1488">
        <f t="shared" si="94"/>
        <v>8.8000000000000005E-3</v>
      </c>
      <c r="R22" s="1473"/>
      <c r="S22" s="1471"/>
      <c r="T22" s="1472"/>
      <c r="U22" s="1472"/>
      <c r="V22" s="1472"/>
      <c r="X22" s="1458">
        <f>ROUND(SUMPRODUCT(PRODUCT(1+N22:N$26)),4)</f>
        <v>1.048</v>
      </c>
      <c r="Y22" s="1458">
        <f>ROUND(SUMPRODUCT(PRODUCT(1+O22:O$26)),4)</f>
        <v>1.0524</v>
      </c>
      <c r="Z22" s="1458">
        <f t="shared" si="0"/>
        <v>1.0524</v>
      </c>
      <c r="AA22" s="1458">
        <f>ROUND(SUMPRODUCT(PRODUCT(1+P22:P$26)),4)</f>
        <v>1.0470999999999999</v>
      </c>
      <c r="AB22" s="1458">
        <f>ROUND(SUMPRODUCT(PRODUCT(1+Q22:Q$26)),4)</f>
        <v>1.0504</v>
      </c>
      <c r="AD22" s="1459">
        <f>ROUND(AVERAGE(I22:I$27)/100,4)</f>
        <v>1.2800000000000001E-2</v>
      </c>
      <c r="AE22" s="1459">
        <f>ROUND(AVERAGE(J22:J$27)/100,4)</f>
        <v>1.2500000000000001E-2</v>
      </c>
      <c r="AF22" s="1459">
        <f t="shared" si="1"/>
        <v>1.2500000000000001E-2</v>
      </c>
      <c r="AG22" s="1459">
        <f>ROUND(AVERAGE(K22:K$27)/100,4)</f>
        <v>1.32E-2</v>
      </c>
      <c r="AH22" s="1459">
        <f>ROUND(AVERAGE(L22:L$27)/100,4)</f>
        <v>1.0500000000000001E-2</v>
      </c>
    </row>
    <row r="23" spans="1:34">
      <c r="A23" s="1460" t="s">
        <v>148</v>
      </c>
      <c r="B23" s="1476">
        <f t="shared" si="100"/>
        <v>319.87748030386797</v>
      </c>
      <c r="C23" s="1476">
        <f t="shared" si="100"/>
        <v>269.60135833173649</v>
      </c>
      <c r="D23" s="1476">
        <f t="shared" si="97"/>
        <v>269.60135833173649</v>
      </c>
      <c r="E23" s="1476">
        <f t="shared" si="101"/>
        <v>439.18089823583784</v>
      </c>
      <c r="F23" s="1476">
        <f t="shared" si="101"/>
        <v>239.23503918706311</v>
      </c>
      <c r="G23" s="3364"/>
      <c r="H23" s="1463">
        <v>1</v>
      </c>
      <c r="I23" s="1463">
        <v>0.51</v>
      </c>
      <c r="J23" s="1463">
        <v>0.54</v>
      </c>
      <c r="K23" s="1463">
        <v>0.48</v>
      </c>
      <c r="L23" s="1477">
        <v>0.93</v>
      </c>
      <c r="N23" s="1479">
        <f t="shared" si="99"/>
        <v>5.1000000000000004E-3</v>
      </c>
      <c r="O23" s="1480">
        <f t="shared" si="94"/>
        <v>5.4000000000000003E-3</v>
      </c>
      <c r="P23" s="1480">
        <f t="shared" si="94"/>
        <v>4.7999999999999996E-3</v>
      </c>
      <c r="Q23" s="1480">
        <f t="shared" si="94"/>
        <v>9.300000000000001E-3</v>
      </c>
      <c r="R23" s="1473"/>
      <c r="S23" s="1479">
        <f>B23/B24-1</f>
        <v>5.9040261127922822E-3</v>
      </c>
      <c r="T23" s="1480">
        <f>C23/C24-1</f>
        <v>5.9752176557332781E-3</v>
      </c>
      <c r="U23" s="1480">
        <f>E23/E24-1</f>
        <v>4.9906138119859556E-3</v>
      </c>
      <c r="V23" s="1480">
        <f>F23/F24-1</f>
        <v>9.4305450930933787E-3</v>
      </c>
      <c r="X23" s="1458">
        <f>ROUND(SUMPRODUCT(PRODUCT(1+N23:N$26)),4)</f>
        <v>1.0399</v>
      </c>
      <c r="Y23" s="1458">
        <f>ROUND(SUMPRODUCT(PRODUCT(1+O23:O$26)),4)</f>
        <v>1.0451999999999999</v>
      </c>
      <c r="Z23" s="1458">
        <f t="shared" si="0"/>
        <v>1.0451999999999999</v>
      </c>
      <c r="AA23" s="1458">
        <f>ROUND(SUMPRODUCT(PRODUCT(1+P23:P$26)),4)</f>
        <v>1.0387999999999999</v>
      </c>
      <c r="AB23" s="1458">
        <f>ROUND(SUMPRODUCT(PRODUCT(1+Q23:Q$26)),4)</f>
        <v>1.0411999999999999</v>
      </c>
      <c r="AD23" s="1459">
        <f>ROUND(AVERAGE(I23:I$27)/100,4)</f>
        <v>1.38E-2</v>
      </c>
      <c r="AE23" s="1459">
        <f>ROUND(AVERAGE(J23:J$27)/100,4)</f>
        <v>1.3599999999999999E-2</v>
      </c>
      <c r="AF23" s="1459">
        <f t="shared" si="1"/>
        <v>1.3599999999999999E-2</v>
      </c>
      <c r="AG23" s="1459">
        <f>ROUND(AVERAGE(K23:K$27)/100,4)</f>
        <v>1.4200000000000001E-2</v>
      </c>
      <c r="AH23" s="1459">
        <f>ROUND(AVERAGE(L23:L$27)/100,4)</f>
        <v>1.0800000000000001E-2</v>
      </c>
    </row>
    <row r="24" spans="1:34" ht="13.5" thickBot="1">
      <c r="A24" s="1460" t="s">
        <v>147</v>
      </c>
      <c r="B24" s="1489">
        <v>318</v>
      </c>
      <c r="C24" s="1489">
        <v>268</v>
      </c>
      <c r="D24" s="1489">
        <f t="shared" si="97"/>
        <v>268</v>
      </c>
      <c r="E24" s="1489">
        <v>437</v>
      </c>
      <c r="F24" s="1490">
        <v>237</v>
      </c>
      <c r="G24" s="3362">
        <v>2014</v>
      </c>
      <c r="H24" s="1481">
        <v>4</v>
      </c>
      <c r="I24" s="1481">
        <v>0.21</v>
      </c>
      <c r="J24" s="1481">
        <v>0.41</v>
      </c>
      <c r="K24" s="1481">
        <v>0.12</v>
      </c>
      <c r="L24" s="1482">
        <v>0.89</v>
      </c>
      <c r="N24" s="1471">
        <f t="shared" si="99"/>
        <v>2.0999999999999999E-3</v>
      </c>
      <c r="O24" s="1472">
        <f t="shared" si="94"/>
        <v>4.0999999999999995E-3</v>
      </c>
      <c r="P24" s="1472">
        <f t="shared" si="94"/>
        <v>1.1999999999999999E-3</v>
      </c>
      <c r="Q24" s="1472">
        <f t="shared" si="94"/>
        <v>8.8999999999999999E-3</v>
      </c>
      <c r="R24" s="1473"/>
      <c r="S24" s="1474"/>
      <c r="T24" s="1475"/>
      <c r="U24" s="1475"/>
      <c r="V24" s="1475"/>
      <c r="X24" s="1458">
        <f>ROUND(SUMPRODUCT(PRODUCT(1+N24:N$26)),4)</f>
        <v>1.0347</v>
      </c>
      <c r="Y24" s="1458">
        <f>ROUND(SUMPRODUCT(PRODUCT(1+O24:O$26)),4)</f>
        <v>1.0395000000000001</v>
      </c>
      <c r="Z24" s="1458">
        <f t="shared" si="0"/>
        <v>1.0395000000000001</v>
      </c>
      <c r="AA24" s="1458">
        <f>ROUND(SUMPRODUCT(PRODUCT(1+P24:P$26)),4)</f>
        <v>1.0338000000000001</v>
      </c>
      <c r="AB24" s="1458">
        <f>ROUND(SUMPRODUCT(PRODUCT(1+Q24:Q$26)),4)</f>
        <v>1.0316000000000001</v>
      </c>
      <c r="AD24" s="1459">
        <f>ROUND(AVERAGE(I24:I$27)/100,4)</f>
        <v>1.6E-2</v>
      </c>
      <c r="AE24" s="1459">
        <f>ROUND(AVERAGE(J24:J$27)/100,4)</f>
        <v>1.5599999999999999E-2</v>
      </c>
      <c r="AF24" s="1459">
        <f t="shared" si="1"/>
        <v>1.5599999999999999E-2</v>
      </c>
      <c r="AG24" s="1459">
        <f>ROUND(AVERAGE(K24:K$27)/100,4)</f>
        <v>1.66E-2</v>
      </c>
      <c r="AH24" s="1459">
        <f>ROUND(AVERAGE(L24:L$27)/100,4)</f>
        <v>1.12E-2</v>
      </c>
    </row>
    <row r="25" spans="1:34">
      <c r="A25" s="1460" t="s">
        <v>146</v>
      </c>
      <c r="B25" s="1476">
        <f t="shared" ref="B25:C27" si="102">B24/(1+N24)</f>
        <v>317.33359944117353</v>
      </c>
      <c r="C25" s="1476">
        <f t="shared" si="102"/>
        <v>266.90568668459315</v>
      </c>
      <c r="D25" s="1476">
        <f t="shared" si="97"/>
        <v>266.90568668459315</v>
      </c>
      <c r="E25" s="1476">
        <f t="shared" ref="E25:F27" si="103">E24/(1+P24)</f>
        <v>436.47622852576905</v>
      </c>
      <c r="F25" s="1476">
        <f t="shared" si="103"/>
        <v>234.90930716622066</v>
      </c>
      <c r="G25" s="3363"/>
      <c r="H25" s="1491">
        <v>3</v>
      </c>
      <c r="I25" s="1491">
        <v>0.83</v>
      </c>
      <c r="J25" s="1491">
        <v>1.47</v>
      </c>
      <c r="K25" s="1491">
        <v>0.65</v>
      </c>
      <c r="L25" s="1492">
        <v>0.72</v>
      </c>
      <c r="N25" s="1471">
        <f t="shared" si="99"/>
        <v>8.3000000000000001E-3</v>
      </c>
      <c r="O25" s="1472">
        <f t="shared" si="94"/>
        <v>1.47E-2</v>
      </c>
      <c r="P25" s="1472">
        <f t="shared" si="94"/>
        <v>6.5000000000000006E-3</v>
      </c>
      <c r="Q25" s="1472">
        <f t="shared" si="94"/>
        <v>7.1999999999999998E-3</v>
      </c>
      <c r="R25" s="1473"/>
      <c r="S25" s="1471"/>
      <c r="T25" s="1472"/>
      <c r="U25" s="1472"/>
      <c r="V25" s="1472"/>
      <c r="X25" s="1458">
        <f>ROUND(SUMPRODUCT(PRODUCT(1+N25:N$26)),4)</f>
        <v>1.0325</v>
      </c>
      <c r="Y25" s="1458">
        <f>ROUND(SUMPRODUCT(PRODUCT(1+O25:O$26)),4)</f>
        <v>1.0353000000000001</v>
      </c>
      <c r="Z25" s="1458">
        <f t="shared" ref="Z25:Z26" si="104">Y25</f>
        <v>1.0353000000000001</v>
      </c>
      <c r="AA25" s="1458">
        <f>ROUND(SUMPRODUCT(PRODUCT(1+P25:P$26)),4)</f>
        <v>1.0326</v>
      </c>
      <c r="AB25" s="1458">
        <f>ROUND(SUMPRODUCT(PRODUCT(1+Q25:Q$26)),4)</f>
        <v>1.0225</v>
      </c>
      <c r="AD25" s="1459">
        <f>ROUND(AVERAGE(I25:I$27)/100,4)</f>
        <v>2.07E-2</v>
      </c>
      <c r="AE25" s="1459">
        <f>ROUND(AVERAGE(J25:J$27)/100,4)</f>
        <v>1.95E-2</v>
      </c>
      <c r="AF25" s="1459">
        <f t="shared" si="1"/>
        <v>1.95E-2</v>
      </c>
      <c r="AG25" s="1459">
        <f>ROUND(AVERAGE(K25:K$27)/100,4)</f>
        <v>2.1700000000000001E-2</v>
      </c>
      <c r="AH25" s="1459">
        <f>ROUND(AVERAGE(L25:L$27)/100,4)</f>
        <v>1.2E-2</v>
      </c>
    </row>
    <row r="26" spans="1:34" ht="13.5" thickBot="1">
      <c r="A26" s="1460" t="s">
        <v>145</v>
      </c>
      <c r="B26" s="1476">
        <f t="shared" si="102"/>
        <v>314.72141172386546</v>
      </c>
      <c r="C26" s="1476">
        <f t="shared" si="102"/>
        <v>263.03901319069001</v>
      </c>
      <c r="D26" s="1476">
        <f t="shared" si="97"/>
        <v>263.03901319069001</v>
      </c>
      <c r="E26" s="1476">
        <f t="shared" si="103"/>
        <v>433.65745506782821</v>
      </c>
      <c r="F26" s="1476">
        <f t="shared" si="103"/>
        <v>233.23005080045735</v>
      </c>
      <c r="G26" s="3363"/>
      <c r="H26" s="1481">
        <v>2</v>
      </c>
      <c r="I26" s="1481">
        <v>2.4</v>
      </c>
      <c r="J26" s="1481">
        <v>2.0299999999999998</v>
      </c>
      <c r="K26" s="1481">
        <v>2.59</v>
      </c>
      <c r="L26" s="1482">
        <v>1.52</v>
      </c>
      <c r="N26" s="1471">
        <f t="shared" si="99"/>
        <v>2.4E-2</v>
      </c>
      <c r="O26" s="1472">
        <f t="shared" si="94"/>
        <v>2.0299999999999999E-2</v>
      </c>
      <c r="P26" s="1472">
        <f t="shared" si="94"/>
        <v>2.5899999999999999E-2</v>
      </c>
      <c r="Q26" s="1472">
        <f t="shared" si="94"/>
        <v>1.52E-2</v>
      </c>
      <c r="R26" s="1473"/>
      <c r="S26" s="1471"/>
      <c r="T26" s="1472"/>
      <c r="U26" s="1472"/>
      <c r="V26" s="1472"/>
      <c r="X26" s="1458">
        <f>1+N26</f>
        <v>1.024</v>
      </c>
      <c r="Y26" s="1458">
        <f>1+O26</f>
        <v>1.0203</v>
      </c>
      <c r="Z26" s="1458">
        <f t="shared" si="104"/>
        <v>1.0203</v>
      </c>
      <c r="AA26" s="1458">
        <f>1+P26</f>
        <v>1.0259</v>
      </c>
      <c r="AB26" s="1458">
        <f>1+Q26</f>
        <v>1.0152000000000001</v>
      </c>
      <c r="AD26" s="1459">
        <f>ROUND(AVERAGE(I26:I$27)/100,4)</f>
        <v>2.69E-2</v>
      </c>
      <c r="AE26" s="1459">
        <f>ROUND(AVERAGE(J26:J$27)/100,4)</f>
        <v>2.1899999999999999E-2</v>
      </c>
      <c r="AF26" s="1459">
        <f t="shared" ref="AF26" si="105">AE26</f>
        <v>2.1899999999999999E-2</v>
      </c>
      <c r="AG26" s="1459">
        <f>ROUND(AVERAGE(K26:K$27)/100,4)</f>
        <v>2.9399999999999999E-2</v>
      </c>
      <c r="AH26" s="1459">
        <f>ROUND(AVERAGE(L26:L$27)/100,4)</f>
        <v>1.44E-2</v>
      </c>
    </row>
    <row r="27" spans="1:34" s="1497" customFormat="1" ht="13.5" thickBot="1">
      <c r="A27" s="1493" t="s">
        <v>144</v>
      </c>
      <c r="B27" s="1494">
        <f t="shared" si="102"/>
        <v>307.34512863658733</v>
      </c>
      <c r="C27" s="1494">
        <f t="shared" si="102"/>
        <v>257.80556031626975</v>
      </c>
      <c r="D27" s="1494">
        <f t="shared" si="97"/>
        <v>257.80556031626975</v>
      </c>
      <c r="E27" s="1494">
        <f t="shared" si="103"/>
        <v>422.70928459677179</v>
      </c>
      <c r="F27" s="1494">
        <f t="shared" si="103"/>
        <v>229.73803270336617</v>
      </c>
      <c r="G27" s="3364"/>
      <c r="H27" s="1495">
        <v>1</v>
      </c>
      <c r="I27" s="1495">
        <v>2.97</v>
      </c>
      <c r="J27" s="1495">
        <v>2.34</v>
      </c>
      <c r="K27" s="1495">
        <v>3.28</v>
      </c>
      <c r="L27" s="1496">
        <v>1.36</v>
      </c>
      <c r="N27" s="1498">
        <f t="shared" si="99"/>
        <v>2.9700000000000001E-2</v>
      </c>
      <c r="O27" s="1499">
        <f t="shared" si="94"/>
        <v>2.3399999999999997E-2</v>
      </c>
      <c r="P27" s="1499">
        <f t="shared" si="94"/>
        <v>3.2799999999999996E-2</v>
      </c>
      <c r="Q27" s="1499">
        <f t="shared" si="94"/>
        <v>1.3600000000000001E-2</v>
      </c>
      <c r="R27" s="1500"/>
      <c r="S27" s="1501">
        <f>B27/B28-1</f>
        <v>2.7910129219355539E-2</v>
      </c>
      <c r="T27" s="1502">
        <f>C27/C28-1</f>
        <v>2.3037937762975247E-2</v>
      </c>
      <c r="U27" s="1502">
        <f>E27/E28-1</f>
        <v>3.3519033243940788E-2</v>
      </c>
      <c r="V27" s="1502">
        <f>F27/F28-1</f>
        <v>1.2061818076502862E-2</v>
      </c>
      <c r="W27" s="1503" t="s">
        <v>1158</v>
      </c>
      <c r="X27" s="1504">
        <v>1</v>
      </c>
      <c r="Y27" s="1504">
        <v>1</v>
      </c>
      <c r="Z27" s="1504">
        <v>1</v>
      </c>
      <c r="AA27" s="1504">
        <v>1</v>
      </c>
      <c r="AB27" s="1504">
        <v>1</v>
      </c>
      <c r="AD27" s="1726">
        <f>I27/100</f>
        <v>2.9700000000000001E-2</v>
      </c>
      <c r="AE27" s="1726">
        <f>J27/100</f>
        <v>2.3399999999999997E-2</v>
      </c>
      <c r="AF27" s="1726">
        <f>AE27</f>
        <v>2.3399999999999997E-2</v>
      </c>
      <c r="AG27" s="1726">
        <f>K27/100</f>
        <v>3.2799999999999996E-2</v>
      </c>
      <c r="AH27" s="1726">
        <f>L27/100</f>
        <v>1.3600000000000001E-2</v>
      </c>
    </row>
    <row r="28" spans="1:34" ht="13.5" thickBot="1">
      <c r="A28" s="1460" t="s">
        <v>1159</v>
      </c>
      <c r="B28" s="1468">
        <v>299</v>
      </c>
      <c r="C28" s="1468">
        <v>252</v>
      </c>
      <c r="D28" s="1468">
        <f t="shared" si="97"/>
        <v>252</v>
      </c>
      <c r="E28" s="1468">
        <v>409</v>
      </c>
      <c r="F28" s="1469">
        <v>227</v>
      </c>
      <c r="G28" s="3369">
        <v>2013</v>
      </c>
      <c r="H28" s="1505">
        <v>4</v>
      </c>
      <c r="I28" s="1505">
        <v>1.83</v>
      </c>
      <c r="J28" s="1505">
        <v>1.68</v>
      </c>
      <c r="K28" s="1505">
        <v>1.97</v>
      </c>
      <c r="L28" s="1506">
        <v>0.87</v>
      </c>
      <c r="N28" s="1483">
        <f t="shared" si="99"/>
        <v>1.83E-2</v>
      </c>
      <c r="O28" s="1484">
        <f t="shared" si="94"/>
        <v>1.6799999999999999E-2</v>
      </c>
      <c r="P28" s="1484">
        <f t="shared" si="94"/>
        <v>1.9699999999999999E-2</v>
      </c>
      <c r="Q28" s="1484">
        <f t="shared" si="94"/>
        <v>8.6999999999999994E-3</v>
      </c>
      <c r="R28" s="1473"/>
      <c r="S28" s="1474"/>
      <c r="T28" s="1475"/>
      <c r="U28" s="1475"/>
      <c r="V28" s="1475"/>
      <c r="X28" s="1475"/>
      <c r="Y28" s="1475"/>
      <c r="Z28" s="1475"/>
    </row>
    <row r="29" spans="1:34">
      <c r="A29" s="1460" t="s">
        <v>1160</v>
      </c>
      <c r="B29" s="1476">
        <f t="shared" ref="B29:C31" si="106">B28/(1+N28)</f>
        <v>293.62663262299913</v>
      </c>
      <c r="C29" s="1476">
        <f t="shared" si="106"/>
        <v>247.83634933123525</v>
      </c>
      <c r="D29" s="1476">
        <f t="shared" si="97"/>
        <v>247.83634933123525</v>
      </c>
      <c r="E29" s="1476">
        <f t="shared" ref="E29:F31" si="107">E28/(1+P28)</f>
        <v>401.09836226341076</v>
      </c>
      <c r="F29" s="1476">
        <f t="shared" si="107"/>
        <v>225.04213343908003</v>
      </c>
      <c r="G29" s="3370"/>
      <c r="H29" s="1486">
        <v>3</v>
      </c>
      <c r="I29" s="1486">
        <v>1.86</v>
      </c>
      <c r="J29" s="1486">
        <v>1.72</v>
      </c>
      <c r="K29" s="1486">
        <v>1.98</v>
      </c>
      <c r="L29" s="1487">
        <v>0.88</v>
      </c>
      <c r="N29" s="1471">
        <f t="shared" si="99"/>
        <v>1.8600000000000002E-2</v>
      </c>
      <c r="O29" s="1488">
        <f t="shared" si="94"/>
        <v>1.72E-2</v>
      </c>
      <c r="P29" s="1488">
        <f t="shared" si="94"/>
        <v>1.9799999999999998E-2</v>
      </c>
      <c r="Q29" s="1488">
        <f t="shared" si="94"/>
        <v>8.8000000000000005E-3</v>
      </c>
      <c r="R29" s="1473"/>
      <c r="S29" s="1471"/>
      <c r="T29" s="1472"/>
      <c r="U29" s="1472"/>
      <c r="V29" s="1472"/>
    </row>
    <row r="30" spans="1:34">
      <c r="A30" s="1460" t="s">
        <v>1161</v>
      </c>
      <c r="B30" s="1476">
        <f t="shared" si="106"/>
        <v>288.2649053828776</v>
      </c>
      <c r="C30" s="1476">
        <f t="shared" si="106"/>
        <v>243.64564425013293</v>
      </c>
      <c r="D30" s="1476">
        <f t="shared" si="97"/>
        <v>243.64564425013293</v>
      </c>
      <c r="E30" s="1476">
        <f t="shared" si="107"/>
        <v>393.31080825986544</v>
      </c>
      <c r="F30" s="1476">
        <f t="shared" si="107"/>
        <v>223.07903790551154</v>
      </c>
      <c r="G30" s="3370"/>
      <c r="H30" s="1464">
        <v>2</v>
      </c>
      <c r="I30" s="1464">
        <v>2.04</v>
      </c>
      <c r="J30" s="1464">
        <v>2.33</v>
      </c>
      <c r="K30" s="1464">
        <v>2.0699999999999998</v>
      </c>
      <c r="L30" s="1478">
        <v>0.69</v>
      </c>
      <c r="N30" s="1471">
        <f t="shared" si="99"/>
        <v>2.0400000000000001E-2</v>
      </c>
      <c r="O30" s="1488">
        <f t="shared" si="94"/>
        <v>2.3300000000000001E-2</v>
      </c>
      <c r="P30" s="1488">
        <f t="shared" si="94"/>
        <v>2.07E-2</v>
      </c>
      <c r="Q30" s="1488">
        <f t="shared" si="94"/>
        <v>6.8999999999999999E-3</v>
      </c>
      <c r="R30" s="1473"/>
      <c r="S30" s="1471"/>
      <c r="T30" s="1472"/>
      <c r="U30" s="1472"/>
      <c r="V30" s="1472"/>
      <c r="X30" s="1507"/>
      <c r="Y30" s="1508"/>
    </row>
    <row r="31" spans="1:34">
      <c r="A31" s="1460" t="s">
        <v>1162</v>
      </c>
      <c r="B31" s="1476">
        <f t="shared" si="106"/>
        <v>282.50186729015837</v>
      </c>
      <c r="C31" s="1476">
        <f t="shared" si="106"/>
        <v>238.09796174155468</v>
      </c>
      <c r="D31" s="1476">
        <f t="shared" si="97"/>
        <v>238.09796174155468</v>
      </c>
      <c r="E31" s="1476">
        <f t="shared" si="107"/>
        <v>385.33438646014054</v>
      </c>
      <c r="F31" s="1476">
        <f t="shared" si="107"/>
        <v>221.55034055567739</v>
      </c>
      <c r="G31" s="3371"/>
      <c r="H31" s="1463">
        <v>1</v>
      </c>
      <c r="I31" s="1463">
        <v>1.67</v>
      </c>
      <c r="J31" s="1463">
        <v>1.31</v>
      </c>
      <c r="K31" s="1463">
        <v>1.85</v>
      </c>
      <c r="L31" s="1477">
        <v>0.96</v>
      </c>
      <c r="N31" s="1479">
        <f t="shared" si="99"/>
        <v>1.67E-2</v>
      </c>
      <c r="O31" s="1480">
        <f t="shared" si="99"/>
        <v>1.3100000000000001E-2</v>
      </c>
      <c r="P31" s="1480">
        <f t="shared" si="99"/>
        <v>1.8500000000000003E-2</v>
      </c>
      <c r="Q31" s="1480">
        <f t="shared" si="99"/>
        <v>9.5999999999999992E-3</v>
      </c>
      <c r="R31" s="1473"/>
      <c r="S31" s="1479">
        <f>B31/B32-1</f>
        <v>1.6193767230785472E-2</v>
      </c>
      <c r="T31" s="1480">
        <f>C31/C32-1</f>
        <v>1.7512657015190891E-2</v>
      </c>
      <c r="U31" s="1480">
        <f>E31/E32-1</f>
        <v>1.6713420739157048E-2</v>
      </c>
      <c r="V31" s="1480">
        <f>F31/F32-1</f>
        <v>7.0470025258062563E-3</v>
      </c>
      <c r="X31" s="1509"/>
      <c r="Y31" s="1459"/>
      <c r="Z31" s="1459"/>
    </row>
    <row r="32" spans="1:34" ht="13.5" thickBot="1">
      <c r="A32" s="1460" t="s">
        <v>1163</v>
      </c>
      <c r="B32" s="1510">
        <v>278</v>
      </c>
      <c r="C32" s="1510">
        <v>234</v>
      </c>
      <c r="D32" s="1510">
        <f t="shared" si="97"/>
        <v>234</v>
      </c>
      <c r="E32" s="1510">
        <v>379</v>
      </c>
      <c r="F32" s="1511">
        <v>220</v>
      </c>
      <c r="G32" s="3362">
        <v>2012</v>
      </c>
      <c r="H32" s="1481">
        <v>4</v>
      </c>
      <c r="I32" s="1481">
        <v>0.91</v>
      </c>
      <c r="J32" s="1481">
        <v>0.68</v>
      </c>
      <c r="K32" s="1481">
        <v>0.98</v>
      </c>
      <c r="L32" s="1482">
        <v>0.9</v>
      </c>
      <c r="N32" s="1471">
        <f t="shared" si="99"/>
        <v>9.1000000000000004E-3</v>
      </c>
      <c r="O32" s="1472">
        <f t="shared" si="99"/>
        <v>6.8000000000000005E-3</v>
      </c>
      <c r="P32" s="1472">
        <f t="shared" si="99"/>
        <v>9.7999999999999997E-3</v>
      </c>
      <c r="Q32" s="1472">
        <f t="shared" si="99"/>
        <v>9.0000000000000011E-3</v>
      </c>
      <c r="R32" s="1473"/>
      <c r="S32" s="1474"/>
      <c r="T32" s="1475"/>
      <c r="U32" s="1475"/>
      <c r="V32" s="1475"/>
      <c r="X32" s="1475"/>
      <c r="Y32" s="1475"/>
      <c r="Z32" s="1475"/>
    </row>
    <row r="33" spans="1:26">
      <c r="A33" s="1460" t="s">
        <v>1164</v>
      </c>
      <c r="B33" s="1476">
        <f>B32/(1+N32)</f>
        <v>275.49301357645425</v>
      </c>
      <c r="C33" s="1476">
        <f>C32/(1+O32)</f>
        <v>232.41954707985698</v>
      </c>
      <c r="D33" s="1476">
        <f t="shared" si="97"/>
        <v>232.41954707985698</v>
      </c>
      <c r="E33" s="1476">
        <f t="shared" ref="E33:F35" si="108">E32/(1+P32)</f>
        <v>375.32184591008121</v>
      </c>
      <c r="F33" s="1476">
        <f t="shared" si="108"/>
        <v>218.03766105054513</v>
      </c>
      <c r="G33" s="3363"/>
      <c r="H33" s="1486">
        <v>3</v>
      </c>
      <c r="I33" s="1486">
        <v>0.09</v>
      </c>
      <c r="J33" s="1486">
        <v>0.28999999999999998</v>
      </c>
      <c r="K33" s="1486">
        <v>-0.01</v>
      </c>
      <c r="L33" s="1487">
        <v>0.57999999999999996</v>
      </c>
      <c r="N33" s="1471">
        <f t="shared" si="99"/>
        <v>8.9999999999999998E-4</v>
      </c>
      <c r="O33" s="1472">
        <f t="shared" si="99"/>
        <v>2.8999999999999998E-3</v>
      </c>
      <c r="P33" s="1472">
        <f t="shared" si="99"/>
        <v>-1E-4</v>
      </c>
      <c r="Q33" s="1472">
        <f t="shared" si="99"/>
        <v>5.7999999999999996E-3</v>
      </c>
      <c r="R33" s="1473"/>
      <c r="S33" s="1471"/>
      <c r="T33" s="1472"/>
      <c r="U33" s="1472"/>
      <c r="V33" s="1472"/>
    </row>
    <row r="34" spans="1:26">
      <c r="A34" s="1460" t="s">
        <v>1165</v>
      </c>
      <c r="B34" s="1476">
        <f>B33/(1+N33)</f>
        <v>275.24529281292263</v>
      </c>
      <c r="C34" s="1476">
        <f>C33/(1+O33)</f>
        <v>231.74747938962707</v>
      </c>
      <c r="D34" s="1476">
        <f t="shared" si="97"/>
        <v>231.74747938962707</v>
      </c>
      <c r="E34" s="1476">
        <f t="shared" si="108"/>
        <v>375.35938184826603</v>
      </c>
      <c r="F34" s="1476">
        <f t="shared" si="108"/>
        <v>216.78033510692495</v>
      </c>
      <c r="G34" s="3363"/>
      <c r="H34" s="1464">
        <v>2</v>
      </c>
      <c r="I34" s="1464">
        <v>0.02</v>
      </c>
      <c r="J34" s="1464">
        <v>0.12</v>
      </c>
      <c r="K34" s="1464">
        <v>-0.08</v>
      </c>
      <c r="L34" s="1478">
        <v>1.24</v>
      </c>
      <c r="N34" s="1471">
        <f t="shared" si="99"/>
        <v>2.0000000000000001E-4</v>
      </c>
      <c r="O34" s="1472">
        <f t="shared" si="99"/>
        <v>1.1999999999999999E-3</v>
      </c>
      <c r="P34" s="1472">
        <f t="shared" si="99"/>
        <v>-8.0000000000000004E-4</v>
      </c>
      <c r="Q34" s="1472">
        <f t="shared" si="99"/>
        <v>1.24E-2</v>
      </c>
      <c r="R34" s="1473"/>
      <c r="S34" s="1471"/>
      <c r="T34" s="1472"/>
      <c r="U34" s="1472"/>
      <c r="V34" s="1472"/>
    </row>
    <row r="35" spans="1:26" ht="13.5" thickBot="1">
      <c r="A35" s="1460" t="s">
        <v>1166</v>
      </c>
      <c r="B35" s="1476">
        <f>B34/(1+N34)</f>
        <v>275.19025476197027</v>
      </c>
      <c r="C35" s="1512">
        <v>232</v>
      </c>
      <c r="D35" s="1512">
        <f t="shared" si="97"/>
        <v>232</v>
      </c>
      <c r="E35" s="1476">
        <f t="shared" si="108"/>
        <v>375.65990977608692</v>
      </c>
      <c r="F35" s="1476">
        <f t="shared" si="108"/>
        <v>214.12518283971252</v>
      </c>
      <c r="G35" s="3364"/>
      <c r="H35" s="1463">
        <v>1</v>
      </c>
      <c r="I35" s="1463">
        <v>0.02</v>
      </c>
      <c r="J35" s="1463">
        <v>0.13</v>
      </c>
      <c r="K35" s="1463">
        <v>-0.04</v>
      </c>
      <c r="L35" s="1477">
        <v>0.46</v>
      </c>
      <c r="N35" s="1471">
        <f t="shared" si="99"/>
        <v>2.0000000000000001E-4</v>
      </c>
      <c r="O35" s="1472">
        <f t="shared" si="99"/>
        <v>1.2999999999999999E-3</v>
      </c>
      <c r="P35" s="1472">
        <f t="shared" si="99"/>
        <v>-4.0000000000000002E-4</v>
      </c>
      <c r="Q35" s="1472">
        <f t="shared" si="99"/>
        <v>4.5999999999999999E-3</v>
      </c>
      <c r="R35" s="1473"/>
      <c r="S35" s="1479">
        <f>B35/B36-1</f>
        <v>6.9183549807361189E-4</v>
      </c>
      <c r="T35" s="1480">
        <f>C35/C36-1</f>
        <v>0</v>
      </c>
      <c r="U35" s="1480">
        <f>E35/E36-1</f>
        <v>-9.0449527636460303E-4</v>
      </c>
      <c r="V35" s="1480">
        <f>F35/F36-1</f>
        <v>5.2825485432512753E-3</v>
      </c>
      <c r="X35" s="1459"/>
      <c r="Y35" s="1459"/>
      <c r="Z35" s="1459"/>
    </row>
    <row r="36" spans="1:26" ht="13.5" thickBot="1">
      <c r="A36" s="1460" t="s">
        <v>1167</v>
      </c>
      <c r="B36" s="1468">
        <v>275</v>
      </c>
      <c r="C36" s="1468">
        <v>232</v>
      </c>
      <c r="D36" s="1468">
        <f t="shared" si="97"/>
        <v>232</v>
      </c>
      <c r="E36" s="1468">
        <v>376</v>
      </c>
      <c r="F36" s="1469">
        <v>213</v>
      </c>
      <c r="G36" s="3362">
        <v>2011</v>
      </c>
      <c r="H36" s="1481">
        <v>4</v>
      </c>
      <c r="I36" s="1481">
        <v>-0.2</v>
      </c>
      <c r="J36" s="1481">
        <v>0.04</v>
      </c>
      <c r="K36" s="1481">
        <v>-0.34</v>
      </c>
      <c r="L36" s="1482">
        <v>0.46</v>
      </c>
      <c r="N36" s="1483">
        <f t="shared" si="99"/>
        <v>-2E-3</v>
      </c>
      <c r="O36" s="1484">
        <f t="shared" si="99"/>
        <v>4.0000000000000002E-4</v>
      </c>
      <c r="P36" s="1484">
        <f t="shared" si="99"/>
        <v>-3.4000000000000002E-3</v>
      </c>
      <c r="Q36" s="1484">
        <f t="shared" si="99"/>
        <v>4.5999999999999999E-3</v>
      </c>
      <c r="R36" s="1473"/>
      <c r="S36" s="1474"/>
      <c r="T36" s="1475"/>
      <c r="U36" s="1475"/>
      <c r="V36" s="1475"/>
      <c r="X36" s="1475"/>
      <c r="Y36" s="1475"/>
      <c r="Z36" s="1475"/>
    </row>
    <row r="37" spans="1:26">
      <c r="A37" s="1460" t="s">
        <v>1168</v>
      </c>
      <c r="B37" s="1476">
        <f t="shared" ref="B37:C39" si="109">B36/(1+N36)</f>
        <v>275.55110220440883</v>
      </c>
      <c r="C37" s="1476">
        <f t="shared" si="109"/>
        <v>231.90723710515795</v>
      </c>
      <c r="D37" s="1476">
        <f t="shared" si="97"/>
        <v>231.90723710515795</v>
      </c>
      <c r="E37" s="1476">
        <f t="shared" ref="E37:F39" si="110">E36/(1+P36)</f>
        <v>377.28276138872161</v>
      </c>
      <c r="F37" s="1476">
        <f t="shared" si="110"/>
        <v>212.02468644236512</v>
      </c>
      <c r="G37" s="3363">
        <v>2011</v>
      </c>
      <c r="H37" s="1486">
        <v>3</v>
      </c>
      <c r="I37" s="1486">
        <v>0.13</v>
      </c>
      <c r="J37" s="1486">
        <v>0.75</v>
      </c>
      <c r="K37" s="1486">
        <v>-0.08</v>
      </c>
      <c r="L37" s="1487">
        <v>0.53</v>
      </c>
      <c r="N37" s="1471">
        <f t="shared" si="99"/>
        <v>1.2999999999999999E-3</v>
      </c>
      <c r="O37" s="1488">
        <f t="shared" si="99"/>
        <v>7.4999999999999997E-3</v>
      </c>
      <c r="P37" s="1488">
        <f t="shared" si="99"/>
        <v>-8.0000000000000004E-4</v>
      </c>
      <c r="Q37" s="1488">
        <f t="shared" si="99"/>
        <v>5.3E-3</v>
      </c>
      <c r="R37" s="1473"/>
      <c r="S37" s="1471"/>
      <c r="T37" s="1472"/>
      <c r="U37" s="1472"/>
      <c r="V37" s="1472"/>
    </row>
    <row r="38" spans="1:26">
      <c r="A38" s="1460" t="s">
        <v>1169</v>
      </c>
      <c r="B38" s="1476">
        <f t="shared" si="109"/>
        <v>275.19335084830601</v>
      </c>
      <c r="C38" s="1476">
        <f t="shared" si="109"/>
        <v>230.18088050139744</v>
      </c>
      <c r="D38" s="1476">
        <f t="shared" si="97"/>
        <v>230.18088050139744</v>
      </c>
      <c r="E38" s="1476">
        <f t="shared" si="110"/>
        <v>377.58482925212331</v>
      </c>
      <c r="F38" s="1476">
        <f t="shared" si="110"/>
        <v>210.90687997847917</v>
      </c>
      <c r="G38" s="3363">
        <v>2011</v>
      </c>
      <c r="H38" s="1464">
        <v>2</v>
      </c>
      <c r="I38" s="1464">
        <v>-0.4</v>
      </c>
      <c r="J38" s="1464">
        <v>0.17</v>
      </c>
      <c r="K38" s="1464">
        <v>-0.57999999999999996</v>
      </c>
      <c r="L38" s="1478">
        <v>-0.2</v>
      </c>
      <c r="N38" s="1471">
        <f t="shared" si="99"/>
        <v>-4.0000000000000001E-3</v>
      </c>
      <c r="O38" s="1488">
        <f t="shared" si="99"/>
        <v>1.7000000000000001E-3</v>
      </c>
      <c r="P38" s="1488">
        <f t="shared" si="99"/>
        <v>-5.7999999999999996E-3</v>
      </c>
      <c r="Q38" s="1488">
        <f t="shared" si="99"/>
        <v>-2E-3</v>
      </c>
      <c r="R38" s="1473"/>
      <c r="S38" s="1471"/>
      <c r="T38" s="1472"/>
      <c r="U38" s="1472"/>
      <c r="V38" s="1472"/>
    </row>
    <row r="39" spans="1:26" ht="13.5" thickBot="1">
      <c r="A39" s="1460" t="s">
        <v>1170</v>
      </c>
      <c r="B39" s="1476">
        <f t="shared" si="109"/>
        <v>276.29854502841971</v>
      </c>
      <c r="C39" s="1476">
        <f t="shared" si="109"/>
        <v>229.79023709833027</v>
      </c>
      <c r="D39" s="1476">
        <f t="shared" si="97"/>
        <v>229.79023709833027</v>
      </c>
      <c r="E39" s="1476">
        <f t="shared" si="110"/>
        <v>379.78759731655936</v>
      </c>
      <c r="F39" s="1476">
        <f t="shared" si="110"/>
        <v>211.32953905659235</v>
      </c>
      <c r="G39" s="3364">
        <v>2011</v>
      </c>
      <c r="H39" s="1463">
        <v>1</v>
      </c>
      <c r="I39" s="1463">
        <v>2.65</v>
      </c>
      <c r="J39" s="1463">
        <v>3.76</v>
      </c>
      <c r="K39" s="1463">
        <v>1.89</v>
      </c>
      <c r="L39" s="1477">
        <v>7.95</v>
      </c>
      <c r="N39" s="1479">
        <f t="shared" si="99"/>
        <v>2.6499999999999999E-2</v>
      </c>
      <c r="O39" s="1480">
        <f t="shared" si="99"/>
        <v>3.7599999999999995E-2</v>
      </c>
      <c r="P39" s="1480">
        <f t="shared" si="99"/>
        <v>1.89E-2</v>
      </c>
      <c r="Q39" s="1480">
        <f t="shared" si="99"/>
        <v>7.9500000000000001E-2</v>
      </c>
      <c r="R39" s="1473"/>
      <c r="S39" s="1479">
        <f>B39/B40-1</f>
        <v>2.713213765211786E-2</v>
      </c>
      <c r="T39" s="1480">
        <f>C39/C40-1</f>
        <v>3.9774828499231862E-2</v>
      </c>
      <c r="U39" s="1480">
        <f>E39/E40-1</f>
        <v>1.8197311840641772E-2</v>
      </c>
      <c r="V39" s="1480">
        <f>F39/F40-1</f>
        <v>7.8211933962205826E-2</v>
      </c>
      <c r="X39" s="1459"/>
      <c r="Y39" s="1459"/>
      <c r="Z39" s="1459"/>
    </row>
    <row r="40" spans="1:26" ht="13.5" thickBot="1">
      <c r="A40" s="1460" t="s">
        <v>1171</v>
      </c>
      <c r="B40" s="1468">
        <v>269</v>
      </c>
      <c r="C40" s="1468">
        <v>221</v>
      </c>
      <c r="D40" s="1468">
        <f t="shared" si="97"/>
        <v>221</v>
      </c>
      <c r="E40" s="1468">
        <v>373</v>
      </c>
      <c r="F40" s="1469">
        <v>196</v>
      </c>
      <c r="G40" s="3362">
        <v>2010</v>
      </c>
      <c r="H40" s="1481">
        <v>4</v>
      </c>
      <c r="I40" s="1481">
        <v>5.72</v>
      </c>
      <c r="J40" s="1481">
        <v>6.57</v>
      </c>
      <c r="K40" s="1481">
        <v>5.72</v>
      </c>
      <c r="L40" s="1482">
        <v>2.72</v>
      </c>
      <c r="N40" s="1471">
        <f t="shared" si="99"/>
        <v>5.7200000000000001E-2</v>
      </c>
      <c r="O40" s="1472">
        <f t="shared" si="99"/>
        <v>6.5700000000000008E-2</v>
      </c>
      <c r="P40" s="1472">
        <f t="shared" si="99"/>
        <v>5.7200000000000001E-2</v>
      </c>
      <c r="Q40" s="1472">
        <f t="shared" si="99"/>
        <v>2.7200000000000002E-2</v>
      </c>
      <c r="R40" s="1473"/>
      <c r="S40" s="1474"/>
      <c r="T40" s="1475"/>
      <c r="U40" s="1475"/>
      <c r="V40" s="1475"/>
      <c r="X40" s="1475"/>
      <c r="Y40" s="1475"/>
      <c r="Z40" s="1475"/>
    </row>
    <row r="41" spans="1:26">
      <c r="A41" s="1460" t="s">
        <v>1172</v>
      </c>
      <c r="B41" s="1476">
        <f t="shared" ref="B41:C43" si="111">B40/(1+N40)</f>
        <v>254.44570563753314</v>
      </c>
      <c r="C41" s="1476">
        <f t="shared" si="111"/>
        <v>207.37543398705074</v>
      </c>
      <c r="D41" s="1476">
        <f t="shared" si="97"/>
        <v>207.37543398705074</v>
      </c>
      <c r="E41" s="1476">
        <f t="shared" ref="E41:F43" si="112">E40/(1+P40)</f>
        <v>352.81876655315932</v>
      </c>
      <c r="F41" s="1476">
        <f t="shared" si="112"/>
        <v>190.809968847352</v>
      </c>
      <c r="G41" s="3363">
        <v>2010</v>
      </c>
      <c r="H41" s="1486">
        <v>3</v>
      </c>
      <c r="I41" s="1486">
        <v>4.7300000000000004</v>
      </c>
      <c r="J41" s="1486">
        <v>3.9</v>
      </c>
      <c r="K41" s="1486">
        <v>5.03</v>
      </c>
      <c r="L41" s="1487">
        <v>4.21</v>
      </c>
      <c r="N41" s="1471">
        <f t="shared" si="99"/>
        <v>4.7300000000000002E-2</v>
      </c>
      <c r="O41" s="1472">
        <f t="shared" si="99"/>
        <v>3.9E-2</v>
      </c>
      <c r="P41" s="1472">
        <f t="shared" si="99"/>
        <v>5.0300000000000004E-2</v>
      </c>
      <c r="Q41" s="1472">
        <f t="shared" si="99"/>
        <v>4.2099999999999999E-2</v>
      </c>
      <c r="R41" s="1473"/>
      <c r="S41" s="1471"/>
      <c r="T41" s="1472"/>
      <c r="U41" s="1472"/>
      <c r="V41" s="1472"/>
    </row>
    <row r="42" spans="1:26">
      <c r="A42" s="1460" t="s">
        <v>1173</v>
      </c>
      <c r="B42" s="1476">
        <f t="shared" si="111"/>
        <v>242.95398227588385</v>
      </c>
      <c r="C42" s="1476">
        <f t="shared" si="111"/>
        <v>199.59137053614126</v>
      </c>
      <c r="D42" s="1476">
        <f t="shared" si="97"/>
        <v>199.59137053614126</v>
      </c>
      <c r="E42" s="1476">
        <f t="shared" si="112"/>
        <v>335.92189522342125</v>
      </c>
      <c r="F42" s="1476">
        <f t="shared" si="112"/>
        <v>183.10139991109489</v>
      </c>
      <c r="G42" s="3363">
        <v>2010</v>
      </c>
      <c r="H42" s="1464">
        <v>2</v>
      </c>
      <c r="I42" s="1464">
        <v>4.6900000000000004</v>
      </c>
      <c r="J42" s="1464">
        <v>3.55</v>
      </c>
      <c r="K42" s="1464">
        <v>5.07</v>
      </c>
      <c r="L42" s="1478">
        <v>4.2300000000000004</v>
      </c>
      <c r="N42" s="1471">
        <f t="shared" si="99"/>
        <v>4.6900000000000004E-2</v>
      </c>
      <c r="O42" s="1472">
        <f t="shared" si="99"/>
        <v>3.5499999999999997E-2</v>
      </c>
      <c r="P42" s="1472">
        <f t="shared" si="99"/>
        <v>5.0700000000000002E-2</v>
      </c>
      <c r="Q42" s="1472">
        <f t="shared" si="99"/>
        <v>4.2300000000000004E-2</v>
      </c>
      <c r="R42" s="1473"/>
      <c r="S42" s="1471"/>
      <c r="T42" s="1472"/>
      <c r="U42" s="1472"/>
      <c r="V42" s="1472"/>
    </row>
    <row r="43" spans="1:26" ht="13.5" thickBot="1">
      <c r="A43" s="1460" t="s">
        <v>1174</v>
      </c>
      <c r="B43" s="1476">
        <f t="shared" si="111"/>
        <v>232.06990378821649</v>
      </c>
      <c r="C43" s="1476">
        <f t="shared" si="111"/>
        <v>192.74878854286936</v>
      </c>
      <c r="D43" s="1476">
        <f t="shared" si="97"/>
        <v>192.74878854286936</v>
      </c>
      <c r="E43" s="1476">
        <f t="shared" si="112"/>
        <v>319.71247284992984</v>
      </c>
      <c r="F43" s="1476">
        <f t="shared" si="112"/>
        <v>175.67053622862409</v>
      </c>
      <c r="G43" s="3364">
        <v>2010</v>
      </c>
      <c r="H43" s="1463">
        <v>1</v>
      </c>
      <c r="I43" s="1463">
        <v>5.4</v>
      </c>
      <c r="J43" s="1463">
        <v>3.2</v>
      </c>
      <c r="K43" s="1463">
        <v>6.16</v>
      </c>
      <c r="L43" s="1477">
        <v>4.51</v>
      </c>
      <c r="N43" s="1471">
        <f t="shared" si="99"/>
        <v>5.4000000000000006E-2</v>
      </c>
      <c r="O43" s="1472">
        <f t="shared" si="99"/>
        <v>3.2000000000000001E-2</v>
      </c>
      <c r="P43" s="1472">
        <f t="shared" si="99"/>
        <v>6.1600000000000002E-2</v>
      </c>
      <c r="Q43" s="1472">
        <f t="shared" si="99"/>
        <v>4.5100000000000001E-2</v>
      </c>
      <c r="R43" s="1473"/>
      <c r="S43" s="1479">
        <f>B43/B44-1</f>
        <v>5.4863199037347599E-2</v>
      </c>
      <c r="T43" s="1480">
        <f>C43/C44-1</f>
        <v>3.0742184721226584E-2</v>
      </c>
      <c r="U43" s="1480">
        <f>E43/E44-1</f>
        <v>6.2167683886810154E-2</v>
      </c>
      <c r="V43" s="1480">
        <f>F43/F44-1</f>
        <v>4.5657953741810031E-2</v>
      </c>
      <c r="X43" s="1459"/>
      <c r="Y43" s="1459"/>
      <c r="Z43" s="1459"/>
    </row>
    <row r="44" spans="1:26" ht="13.5" thickBot="1">
      <c r="A44" s="1460" t="s">
        <v>1175</v>
      </c>
      <c r="B44" s="1468">
        <v>220</v>
      </c>
      <c r="C44" s="1468">
        <v>187</v>
      </c>
      <c r="D44" s="1468">
        <f t="shared" si="97"/>
        <v>187</v>
      </c>
      <c r="E44" s="1468">
        <v>301</v>
      </c>
      <c r="F44" s="1469">
        <v>168</v>
      </c>
      <c r="G44" s="3362">
        <v>2009</v>
      </c>
      <c r="H44" s="1481">
        <v>4</v>
      </c>
      <c r="I44" s="1481">
        <v>2.2999999999999998</v>
      </c>
      <c r="J44" s="1481">
        <v>1.04</v>
      </c>
      <c r="K44" s="1481">
        <v>2.84</v>
      </c>
      <c r="L44" s="1482">
        <v>0.67</v>
      </c>
      <c r="N44" s="1483">
        <f t="shared" si="99"/>
        <v>2.3E-2</v>
      </c>
      <c r="O44" s="1484">
        <f t="shared" si="99"/>
        <v>1.04E-2</v>
      </c>
      <c r="P44" s="1484">
        <f t="shared" si="99"/>
        <v>2.8399999999999998E-2</v>
      </c>
      <c r="Q44" s="1484">
        <f t="shared" si="99"/>
        <v>6.7000000000000002E-3</v>
      </c>
      <c r="R44" s="1473"/>
      <c r="S44" s="1474"/>
      <c r="T44" s="1475"/>
      <c r="U44" s="1475"/>
      <c r="V44" s="1475"/>
      <c r="X44" s="1475"/>
      <c r="Y44" s="1475"/>
      <c r="Z44" s="1475"/>
    </row>
    <row r="45" spans="1:26">
      <c r="A45" s="1460" t="s">
        <v>1176</v>
      </c>
      <c r="B45" s="1476">
        <f t="shared" ref="B45:C47" si="113">B44/(1+N44)</f>
        <v>215.05376344086022</v>
      </c>
      <c r="C45" s="1476">
        <f t="shared" si="113"/>
        <v>185.0752177355503</v>
      </c>
      <c r="D45" s="1476">
        <f t="shared" si="97"/>
        <v>185.0752177355503</v>
      </c>
      <c r="E45" s="1476">
        <f t="shared" ref="E45:F47" si="114">E44/(1+P44)</f>
        <v>292.68767016725008</v>
      </c>
      <c r="F45" s="1476">
        <f t="shared" si="114"/>
        <v>166.88189132810174</v>
      </c>
      <c r="G45" s="3363">
        <v>2009</v>
      </c>
      <c r="H45" s="1486">
        <v>3</v>
      </c>
      <c r="I45" s="1486">
        <v>2.1</v>
      </c>
      <c r="J45" s="1486">
        <v>1.86</v>
      </c>
      <c r="K45" s="1486">
        <v>2.29</v>
      </c>
      <c r="L45" s="1487">
        <v>0.85</v>
      </c>
      <c r="N45" s="1471">
        <f t="shared" si="99"/>
        <v>2.1000000000000001E-2</v>
      </c>
      <c r="O45" s="1488">
        <f t="shared" si="99"/>
        <v>1.8600000000000002E-2</v>
      </c>
      <c r="P45" s="1488">
        <f t="shared" si="99"/>
        <v>2.29E-2</v>
      </c>
      <c r="Q45" s="1488">
        <f t="shared" si="99"/>
        <v>8.5000000000000006E-3</v>
      </c>
      <c r="R45" s="1473"/>
      <c r="S45" s="1471"/>
      <c r="T45" s="1472"/>
      <c r="U45" s="1472"/>
      <c r="V45" s="1472"/>
    </row>
    <row r="46" spans="1:26">
      <c r="A46" s="1460" t="s">
        <v>1177</v>
      </c>
      <c r="B46" s="1476">
        <f t="shared" si="113"/>
        <v>210.630522469011</v>
      </c>
      <c r="C46" s="1476">
        <f t="shared" si="113"/>
        <v>181.69567812247232</v>
      </c>
      <c r="D46" s="1476">
        <f t="shared" si="97"/>
        <v>181.69567812247232</v>
      </c>
      <c r="E46" s="1476">
        <f t="shared" si="114"/>
        <v>286.13517466736738</v>
      </c>
      <c r="F46" s="1476">
        <f t="shared" si="114"/>
        <v>165.47535084591149</v>
      </c>
      <c r="G46" s="3363">
        <v>2009</v>
      </c>
      <c r="H46" s="1464">
        <v>2</v>
      </c>
      <c r="I46" s="1464">
        <v>0.86</v>
      </c>
      <c r="J46" s="1464">
        <v>-1.1299999999999999</v>
      </c>
      <c r="K46" s="1464">
        <v>1.79</v>
      </c>
      <c r="L46" s="1478">
        <v>-2.0699999999999998</v>
      </c>
      <c r="N46" s="1471">
        <f t="shared" si="99"/>
        <v>8.6E-3</v>
      </c>
      <c r="O46" s="1488">
        <f t="shared" si="99"/>
        <v>-1.1299999999999999E-2</v>
      </c>
      <c r="P46" s="1488">
        <f t="shared" si="99"/>
        <v>1.7899999999999999E-2</v>
      </c>
      <c r="Q46" s="1488">
        <f t="shared" si="99"/>
        <v>-2.07E-2</v>
      </c>
      <c r="R46" s="1473"/>
      <c r="S46" s="1471"/>
      <c r="T46" s="1472"/>
      <c r="U46" s="1472"/>
      <c r="V46" s="1472"/>
    </row>
    <row r="47" spans="1:26">
      <c r="A47" s="1460" t="s">
        <v>1178</v>
      </c>
      <c r="B47" s="1476">
        <f t="shared" si="113"/>
        <v>208.83454537875372</v>
      </c>
      <c r="C47" s="1476">
        <f t="shared" si="113"/>
        <v>183.77230517090351</v>
      </c>
      <c r="D47" s="1476">
        <f t="shared" si="97"/>
        <v>183.77230517090351</v>
      </c>
      <c r="E47" s="1476">
        <f t="shared" si="114"/>
        <v>281.10342338870947</v>
      </c>
      <c r="F47" s="1476">
        <f t="shared" si="114"/>
        <v>168.97309388942256</v>
      </c>
      <c r="G47" s="3364">
        <v>2009</v>
      </c>
      <c r="H47" s="1463">
        <v>1</v>
      </c>
      <c r="I47" s="1463">
        <v>-2.64</v>
      </c>
      <c r="J47" s="1463">
        <v>-2.5299999999999998</v>
      </c>
      <c r="K47" s="1463">
        <v>-3.02</v>
      </c>
      <c r="L47" s="1477">
        <v>1.52</v>
      </c>
      <c r="N47" s="1479">
        <f t="shared" si="99"/>
        <v>-2.64E-2</v>
      </c>
      <c r="O47" s="1480">
        <f t="shared" si="99"/>
        <v>-2.53E-2</v>
      </c>
      <c r="P47" s="1480">
        <f t="shared" si="99"/>
        <v>-3.0200000000000001E-2</v>
      </c>
      <c r="Q47" s="1480">
        <f t="shared" si="99"/>
        <v>1.52E-2</v>
      </c>
      <c r="R47" s="1473"/>
      <c r="S47" s="1479">
        <f>B47/B48-1</f>
        <v>-2.4137638417038754E-2</v>
      </c>
      <c r="T47" s="1480">
        <f>C47/C48-1</f>
        <v>-2.248773845264096E-2</v>
      </c>
      <c r="U47" s="1480">
        <f>E47/E48-1</f>
        <v>-2.7323794502735366E-2</v>
      </c>
      <c r="V47" s="1480">
        <f>F47/F48-1</f>
        <v>1.7910204153148035E-2</v>
      </c>
      <c r="X47" s="1459"/>
      <c r="Y47" s="1459"/>
      <c r="Z47" s="1459"/>
    </row>
    <row r="48" spans="1:26" ht="13.5" thickBot="1">
      <c r="A48" s="1460" t="s">
        <v>1179</v>
      </c>
      <c r="B48" s="1510">
        <v>214</v>
      </c>
      <c r="C48" s="1510">
        <v>188</v>
      </c>
      <c r="D48" s="1510">
        <f t="shared" si="97"/>
        <v>188</v>
      </c>
      <c r="E48" s="1510">
        <v>289</v>
      </c>
      <c r="F48" s="1511">
        <v>166</v>
      </c>
      <c r="G48" s="3362">
        <v>2008</v>
      </c>
      <c r="H48" s="1481">
        <v>4</v>
      </c>
      <c r="I48" s="1481">
        <v>1.73</v>
      </c>
      <c r="J48" s="1481">
        <v>0.03</v>
      </c>
      <c r="K48" s="1481">
        <v>2.59</v>
      </c>
      <c r="L48" s="1482">
        <v>-1.66</v>
      </c>
      <c r="N48" s="1471">
        <f t="shared" si="99"/>
        <v>1.7299999999999999E-2</v>
      </c>
      <c r="O48" s="1472">
        <f t="shared" si="99"/>
        <v>2.9999999999999997E-4</v>
      </c>
      <c r="P48" s="1472">
        <f t="shared" si="99"/>
        <v>2.5899999999999999E-2</v>
      </c>
      <c r="Q48" s="1472">
        <f t="shared" si="99"/>
        <v>-1.66E-2</v>
      </c>
      <c r="R48" s="1473"/>
      <c r="S48" s="1474"/>
      <c r="T48" s="1475"/>
      <c r="U48" s="1475"/>
      <c r="V48" s="1475"/>
      <c r="X48" s="1475"/>
      <c r="Y48" s="1475"/>
      <c r="Z48" s="1475"/>
    </row>
    <row r="49" spans="1:26">
      <c r="A49" s="1460" t="s">
        <v>1180</v>
      </c>
      <c r="B49" s="1476">
        <f t="shared" ref="B49:C51" si="115">B48/(1+N48)</f>
        <v>210.36075887152265</v>
      </c>
      <c r="C49" s="1476">
        <f t="shared" si="115"/>
        <v>187.94361691492554</v>
      </c>
      <c r="D49" s="1476">
        <f t="shared" si="97"/>
        <v>187.94361691492554</v>
      </c>
      <c r="E49" s="1476">
        <f t="shared" ref="E49:F51" si="116">E48/(1+P48)</f>
        <v>281.70386977288234</v>
      </c>
      <c r="F49" s="1476">
        <f t="shared" si="116"/>
        <v>168.80211511083994</v>
      </c>
      <c r="G49" s="3363">
        <v>2008</v>
      </c>
      <c r="H49" s="1486">
        <v>3</v>
      </c>
      <c r="I49" s="1486">
        <v>1.96</v>
      </c>
      <c r="J49" s="1486">
        <v>2.36</v>
      </c>
      <c r="K49" s="1486">
        <v>1.82</v>
      </c>
      <c r="L49" s="1487">
        <v>2.2200000000000002</v>
      </c>
      <c r="N49" s="1471">
        <f t="shared" si="99"/>
        <v>1.9599999999999999E-2</v>
      </c>
      <c r="O49" s="1472">
        <f t="shared" si="99"/>
        <v>2.3599999999999999E-2</v>
      </c>
      <c r="P49" s="1472">
        <f t="shared" si="99"/>
        <v>1.8200000000000001E-2</v>
      </c>
      <c r="Q49" s="1472">
        <f t="shared" si="99"/>
        <v>2.2200000000000001E-2</v>
      </c>
      <c r="R49" s="1473"/>
      <c r="S49" s="1471"/>
      <c r="T49" s="1472"/>
      <c r="U49" s="1472"/>
      <c r="V49" s="1472"/>
    </row>
    <row r="50" spans="1:26">
      <c r="A50" s="1460" t="s">
        <v>1181</v>
      </c>
      <c r="B50" s="1476">
        <f t="shared" si="115"/>
        <v>206.31694671589116</v>
      </c>
      <c r="C50" s="1476">
        <f t="shared" si="115"/>
        <v>183.61041121036101</v>
      </c>
      <c r="D50" s="1476">
        <f t="shared" si="97"/>
        <v>183.61041121036101</v>
      </c>
      <c r="E50" s="1476">
        <f t="shared" si="116"/>
        <v>276.66850301795557</v>
      </c>
      <c r="F50" s="1476">
        <f t="shared" si="116"/>
        <v>165.1360938278614</v>
      </c>
      <c r="G50" s="3363">
        <v>2008</v>
      </c>
      <c r="H50" s="1464">
        <v>2</v>
      </c>
      <c r="I50" s="1464">
        <v>4.93</v>
      </c>
      <c r="J50" s="1464">
        <v>7.38</v>
      </c>
      <c r="K50" s="1464">
        <v>3.98</v>
      </c>
      <c r="L50" s="1478">
        <v>6.86</v>
      </c>
      <c r="N50" s="1471">
        <f t="shared" si="99"/>
        <v>4.9299999999999997E-2</v>
      </c>
      <c r="O50" s="1472">
        <f t="shared" si="99"/>
        <v>7.3800000000000004E-2</v>
      </c>
      <c r="P50" s="1472">
        <f t="shared" si="99"/>
        <v>3.9800000000000002E-2</v>
      </c>
      <c r="Q50" s="1472">
        <f t="shared" si="99"/>
        <v>6.8600000000000008E-2</v>
      </c>
      <c r="R50" s="1473"/>
      <c r="S50" s="1471"/>
      <c r="T50" s="1472"/>
      <c r="U50" s="1472"/>
      <c r="V50" s="1472"/>
    </row>
    <row r="51" spans="1:26" s="1516" customFormat="1" ht="13.5" thickBot="1">
      <c r="A51" s="1460" t="s">
        <v>1182</v>
      </c>
      <c r="B51" s="1513">
        <f t="shared" si="115"/>
        <v>196.62341248059772</v>
      </c>
      <c r="C51" s="1513">
        <f t="shared" si="115"/>
        <v>170.99125648199012</v>
      </c>
      <c r="D51" s="1513">
        <f t="shared" si="97"/>
        <v>170.99125648199012</v>
      </c>
      <c r="E51" s="1513">
        <f t="shared" si="116"/>
        <v>266.07857570490052</v>
      </c>
      <c r="F51" s="1513">
        <f t="shared" si="116"/>
        <v>154.53499328828505</v>
      </c>
      <c r="G51" s="3364">
        <v>2008</v>
      </c>
      <c r="H51" s="1514">
        <v>1</v>
      </c>
      <c r="I51" s="1514">
        <v>4.1399999999999997</v>
      </c>
      <c r="J51" s="1514">
        <v>3.45</v>
      </c>
      <c r="K51" s="1514">
        <v>4.95</v>
      </c>
      <c r="L51" s="1515">
        <v>4.82</v>
      </c>
      <c r="N51" s="1517">
        <f t="shared" si="99"/>
        <v>4.1399999999999999E-2</v>
      </c>
      <c r="O51" s="1518">
        <f t="shared" si="99"/>
        <v>3.4500000000000003E-2</v>
      </c>
      <c r="P51" s="1518">
        <f t="shared" si="99"/>
        <v>4.9500000000000002E-2</v>
      </c>
      <c r="Q51" s="1518">
        <f t="shared" si="99"/>
        <v>4.82E-2</v>
      </c>
      <c r="R51" s="1519"/>
      <c r="S51" s="1517">
        <f>B51/B52-1</f>
        <v>4.5869215322328349E-2</v>
      </c>
      <c r="T51" s="1518">
        <f>C51/C52-1</f>
        <v>3.6310645345394743E-2</v>
      </c>
      <c r="U51" s="1518">
        <f>E51/E52-1</f>
        <v>4.7553447657088688E-2</v>
      </c>
      <c r="V51" s="1518">
        <f>F51/F52-1</f>
        <v>4.4155360055980086E-2</v>
      </c>
      <c r="X51" s="1520"/>
      <c r="Y51" s="1520"/>
      <c r="Z51" s="1520"/>
    </row>
    <row r="52" spans="1:26" ht="13.5" thickBot="1">
      <c r="A52" s="1460" t="s">
        <v>1183</v>
      </c>
      <c r="B52" s="1468">
        <v>188</v>
      </c>
      <c r="C52" s="1468">
        <v>165</v>
      </c>
      <c r="D52" s="1468">
        <f t="shared" si="97"/>
        <v>165</v>
      </c>
      <c r="E52" s="1468">
        <v>254</v>
      </c>
      <c r="F52" s="1469">
        <v>148</v>
      </c>
      <c r="G52" s="3362">
        <v>2007</v>
      </c>
      <c r="H52" s="1521">
        <v>4</v>
      </c>
      <c r="I52" s="1521">
        <v>5.51</v>
      </c>
      <c r="J52" s="1521">
        <v>4.8899999999999997</v>
      </c>
      <c r="K52" s="1521">
        <v>6.43</v>
      </c>
      <c r="L52" s="1522">
        <v>5.36</v>
      </c>
      <c r="N52" s="1523">
        <f t="shared" ref="N52:O55" si="117">B52/B53-1</f>
        <v>4.1339718365245526E-2</v>
      </c>
      <c r="O52" s="1524">
        <f t="shared" si="117"/>
        <v>4.0324492593776018E-2</v>
      </c>
      <c r="P52" s="1524">
        <f t="shared" ref="P52:Q55" si="118">E52/E53-1</f>
        <v>6.1625555347990968E-2</v>
      </c>
      <c r="Q52" s="1524">
        <f t="shared" si="118"/>
        <v>4.6757569250590603E-2</v>
      </c>
      <c r="R52" s="1473"/>
      <c r="S52" s="1474"/>
      <c r="T52" s="1475"/>
      <c r="U52" s="1475"/>
      <c r="V52" s="1475"/>
      <c r="X52" s="1475"/>
      <c r="Y52" s="1475"/>
      <c r="Z52" s="1475"/>
    </row>
    <row r="53" spans="1:26">
      <c r="A53" s="1460" t="s">
        <v>1184</v>
      </c>
      <c r="B53" s="1476">
        <f t="shared" ref="B53:C55" si="119">B54+(B$52-B$56)*I53/SUM(I$52:I$55)</f>
        <v>180.5366651097618</v>
      </c>
      <c r="C53" s="1476">
        <f t="shared" si="119"/>
        <v>158.60435967302453</v>
      </c>
      <c r="D53" s="1476">
        <f t="shared" si="97"/>
        <v>158.60435967302453</v>
      </c>
      <c r="E53" s="1476">
        <f t="shared" ref="E53:F55" si="120">E54+(E$52-E$56)*K53/SUM(K$52:K$55)</f>
        <v>239.25573260785075</v>
      </c>
      <c r="F53" s="1476">
        <f t="shared" si="120"/>
        <v>141.38899430740037</v>
      </c>
      <c r="G53" s="3363">
        <v>2007</v>
      </c>
      <c r="H53" s="1486">
        <v>3</v>
      </c>
      <c r="I53" s="1486">
        <v>8.65</v>
      </c>
      <c r="J53" s="1486">
        <v>8.06</v>
      </c>
      <c r="K53" s="1486">
        <v>9.94</v>
      </c>
      <c r="L53" s="1487">
        <v>5.8</v>
      </c>
      <c r="N53" s="1523">
        <f t="shared" si="117"/>
        <v>6.940217571740015E-2</v>
      </c>
      <c r="O53" s="1524">
        <f t="shared" si="117"/>
        <v>7.1197482471153428E-2</v>
      </c>
      <c r="P53" s="1524">
        <f t="shared" si="118"/>
        <v>0.10529679922579582</v>
      </c>
      <c r="Q53" s="1524">
        <f t="shared" si="118"/>
        <v>5.3292245059512133E-2</v>
      </c>
      <c r="R53" s="1473"/>
      <c r="S53" s="1471"/>
      <c r="T53" s="1472"/>
      <c r="U53" s="1472"/>
      <c r="V53" s="1472"/>
      <c r="X53" s="1525"/>
      <c r="Y53" s="1525"/>
      <c r="Z53" s="1525"/>
    </row>
    <row r="54" spans="1:26">
      <c r="A54" s="1460" t="s">
        <v>1185</v>
      </c>
      <c r="B54" s="1476">
        <f t="shared" si="119"/>
        <v>168.82017748715555</v>
      </c>
      <c r="C54" s="1476">
        <f t="shared" si="119"/>
        <v>148.06267029972753</v>
      </c>
      <c r="D54" s="1476">
        <f t="shared" si="97"/>
        <v>148.06267029972753</v>
      </c>
      <c r="E54" s="1476">
        <f t="shared" si="120"/>
        <v>216.46288379323747</v>
      </c>
      <c r="F54" s="1476">
        <f t="shared" si="120"/>
        <v>134.23529411764704</v>
      </c>
      <c r="G54" s="3363">
        <v>2007</v>
      </c>
      <c r="H54" s="1464">
        <v>2</v>
      </c>
      <c r="I54" s="1464">
        <v>3.67</v>
      </c>
      <c r="J54" s="1464">
        <v>2.3199999999999998</v>
      </c>
      <c r="K54" s="1464">
        <v>5.0199999999999996</v>
      </c>
      <c r="L54" s="1478">
        <v>6.71</v>
      </c>
      <c r="N54" s="1523">
        <f t="shared" si="117"/>
        <v>3.0339138143848032E-2</v>
      </c>
      <c r="O54" s="1524">
        <f t="shared" si="117"/>
        <v>2.0922341588790472E-2</v>
      </c>
      <c r="P54" s="1524">
        <f t="shared" si="118"/>
        <v>5.6164796592717003E-2</v>
      </c>
      <c r="Q54" s="1524">
        <f t="shared" si="118"/>
        <v>6.5704536723887319E-2</v>
      </c>
      <c r="R54" s="1473"/>
      <c r="S54" s="1471"/>
      <c r="T54" s="1472"/>
      <c r="U54" s="1472"/>
      <c r="V54" s="1472"/>
      <c r="X54" s="1525"/>
      <c r="Y54" s="1525"/>
      <c r="Z54" s="1525"/>
    </row>
    <row r="55" spans="1:26">
      <c r="A55" s="1460" t="s">
        <v>1186</v>
      </c>
      <c r="B55" s="1476">
        <f t="shared" si="119"/>
        <v>163.84913591779542</v>
      </c>
      <c r="C55" s="1476">
        <f t="shared" si="119"/>
        <v>145.0283378746594</v>
      </c>
      <c r="D55" s="1476">
        <f t="shared" si="97"/>
        <v>145.0283378746594</v>
      </c>
      <c r="E55" s="1476">
        <f t="shared" si="120"/>
        <v>204.95180722891567</v>
      </c>
      <c r="F55" s="1476">
        <f t="shared" si="120"/>
        <v>125.95920303605313</v>
      </c>
      <c r="G55" s="3364">
        <v>2007</v>
      </c>
      <c r="H55" s="1463">
        <v>1</v>
      </c>
      <c r="I55" s="1463">
        <v>3.58</v>
      </c>
      <c r="J55" s="1463">
        <v>3.08</v>
      </c>
      <c r="K55" s="1463">
        <v>4.34</v>
      </c>
      <c r="L55" s="1477">
        <v>3.21</v>
      </c>
      <c r="N55" s="1526">
        <f t="shared" si="117"/>
        <v>3.0497710174814063E-2</v>
      </c>
      <c r="O55" s="1527">
        <f t="shared" si="117"/>
        <v>2.8569772160704998E-2</v>
      </c>
      <c r="P55" s="1527">
        <f t="shared" si="118"/>
        <v>5.1034908866234296E-2</v>
      </c>
      <c r="Q55" s="1527">
        <f t="shared" si="118"/>
        <v>3.245248390207478E-2</v>
      </c>
      <c r="R55" s="1473"/>
      <c r="S55" s="1479">
        <f>B55/B56-1</f>
        <v>3.0497710174814063E-2</v>
      </c>
      <c r="T55" s="1480">
        <f>C55/C56-1</f>
        <v>2.8569772160704998E-2</v>
      </c>
      <c r="U55" s="1480">
        <f>E55/E56-1</f>
        <v>5.1034908866234296E-2</v>
      </c>
      <c r="V55" s="1480">
        <f>F55/F56-1</f>
        <v>3.245248390207478E-2</v>
      </c>
      <c r="X55" s="1525"/>
      <c r="Y55" s="1525"/>
      <c r="Z55" s="1525"/>
    </row>
    <row r="56" spans="1:26" ht="13.5" thickBot="1">
      <c r="A56" s="1460" t="s">
        <v>1187</v>
      </c>
      <c r="B56" s="1489">
        <v>159</v>
      </c>
      <c r="C56" s="1489">
        <v>141</v>
      </c>
      <c r="D56" s="1489">
        <f t="shared" si="97"/>
        <v>141</v>
      </c>
      <c r="E56" s="1489">
        <v>195</v>
      </c>
      <c r="F56" s="1490">
        <v>122</v>
      </c>
      <c r="G56" s="3362">
        <v>2006</v>
      </c>
      <c r="H56" s="1481">
        <v>4</v>
      </c>
      <c r="I56" s="1481">
        <v>3.79</v>
      </c>
      <c r="J56" s="1481">
        <v>2.21</v>
      </c>
      <c r="K56" s="1481">
        <v>5.65</v>
      </c>
      <c r="L56" s="1482">
        <v>5.41</v>
      </c>
      <c r="N56" s="1523">
        <f t="shared" ref="N56:O59" si="121">I56/SUM(I$56:I$59)*(B$56/B$60-1)</f>
        <v>7.245466462748526E-2</v>
      </c>
      <c r="O56" s="1524">
        <f t="shared" si="121"/>
        <v>2.3237230038062766E-2</v>
      </c>
      <c r="P56" s="1524">
        <f t="shared" ref="P56:Q59" si="122">K56/SUM(K$56:K$59)*(E$56/E$60-1)</f>
        <v>0.16146893866323722</v>
      </c>
      <c r="Q56" s="1524">
        <f t="shared" si="122"/>
        <v>5.0755230321793784E-2</v>
      </c>
      <c r="R56" s="1473"/>
      <c r="S56" s="1474"/>
      <c r="T56" s="1475"/>
      <c r="U56" s="1475"/>
      <c r="V56" s="1475"/>
      <c r="X56" s="1525"/>
      <c r="Y56" s="1525"/>
      <c r="Z56" s="1525"/>
    </row>
    <row r="57" spans="1:26">
      <c r="A57" s="1460" t="s">
        <v>1188</v>
      </c>
      <c r="B57" s="1476">
        <f t="shared" ref="B57:C59" si="123">B58+(B$56-B$60)*I57/SUM(I$56:I$59)</f>
        <v>149.00125628140702</v>
      </c>
      <c r="C57" s="1476">
        <f t="shared" si="123"/>
        <v>137.95592286501378</v>
      </c>
      <c r="D57" s="1476">
        <f t="shared" si="97"/>
        <v>137.95592286501378</v>
      </c>
      <c r="E57" s="1476">
        <f t="shared" ref="E57:F59" si="124">E58+(E$56-E$60)*K57/SUM(K$56:K$59)</f>
        <v>169.97231450719823</v>
      </c>
      <c r="F57" s="1476">
        <f t="shared" si="124"/>
        <v>116.21390374331551</v>
      </c>
      <c r="G57" s="3363">
        <v>2006</v>
      </c>
      <c r="H57" s="1486">
        <v>3</v>
      </c>
      <c r="I57" s="1486">
        <v>0.92</v>
      </c>
      <c r="J57" s="1486">
        <v>1.08</v>
      </c>
      <c r="K57" s="1486">
        <v>0.73</v>
      </c>
      <c r="L57" s="1487">
        <v>1.08</v>
      </c>
      <c r="N57" s="1523">
        <f t="shared" si="121"/>
        <v>1.7587939698492462E-2</v>
      </c>
      <c r="O57" s="1524">
        <f t="shared" si="121"/>
        <v>1.1355750425840628E-2</v>
      </c>
      <c r="P57" s="1524">
        <f t="shared" si="122"/>
        <v>2.0862358446754544E-2</v>
      </c>
      <c r="Q57" s="1524">
        <f t="shared" si="122"/>
        <v>1.0132282578103011E-2</v>
      </c>
      <c r="R57" s="1473"/>
      <c r="S57" s="1471"/>
      <c r="T57" s="1472"/>
      <c r="U57" s="1472"/>
      <c r="V57" s="1472"/>
      <c r="X57" s="1525"/>
      <c r="Y57" s="1525"/>
      <c r="Z57" s="1525"/>
    </row>
    <row r="58" spans="1:26">
      <c r="A58" s="1460" t="s">
        <v>1189</v>
      </c>
      <c r="B58" s="1476">
        <f t="shared" si="123"/>
        <v>146.57412060301507</v>
      </c>
      <c r="C58" s="1476">
        <f t="shared" si="123"/>
        <v>136.46831955922866</v>
      </c>
      <c r="D58" s="1476">
        <f t="shared" si="97"/>
        <v>136.46831955922866</v>
      </c>
      <c r="E58" s="1476">
        <f t="shared" si="124"/>
        <v>166.73864894795128</v>
      </c>
      <c r="F58" s="1476">
        <f t="shared" si="124"/>
        <v>115.05882352941177</v>
      </c>
      <c r="G58" s="3363">
        <v>2006</v>
      </c>
      <c r="H58" s="1464">
        <v>2</v>
      </c>
      <c r="I58" s="1464">
        <v>0.96</v>
      </c>
      <c r="J58" s="1464">
        <v>0.25</v>
      </c>
      <c r="K58" s="1464">
        <v>1.9</v>
      </c>
      <c r="L58" s="1478">
        <v>0.95</v>
      </c>
      <c r="N58" s="1523">
        <f t="shared" si="121"/>
        <v>1.8352632728861701E-2</v>
      </c>
      <c r="O58" s="1524">
        <f t="shared" si="121"/>
        <v>2.6286459319075526E-3</v>
      </c>
      <c r="P58" s="1524">
        <f t="shared" si="122"/>
        <v>5.4299289107991269E-2</v>
      </c>
      <c r="Q58" s="1524">
        <f t="shared" si="122"/>
        <v>8.9126559714794995E-3</v>
      </c>
      <c r="R58" s="1473"/>
      <c r="S58" s="1471"/>
      <c r="T58" s="1472"/>
      <c r="U58" s="1472"/>
      <c r="V58" s="1472"/>
      <c r="X58" s="1525"/>
      <c r="Y58" s="1525"/>
      <c r="Z58" s="1525"/>
    </row>
    <row r="59" spans="1:26">
      <c r="A59" s="1460" t="s">
        <v>1190</v>
      </c>
      <c r="B59" s="1476">
        <f t="shared" si="123"/>
        <v>144.04145728643215</v>
      </c>
      <c r="C59" s="1476">
        <f t="shared" si="123"/>
        <v>136.12396694214877</v>
      </c>
      <c r="D59" s="1476">
        <f t="shared" si="97"/>
        <v>136.12396694214877</v>
      </c>
      <c r="E59" s="1476">
        <f t="shared" si="124"/>
        <v>158.32225913621264</v>
      </c>
      <c r="F59" s="1476">
        <f t="shared" si="124"/>
        <v>114.04278074866311</v>
      </c>
      <c r="G59" s="3364">
        <v>2006</v>
      </c>
      <c r="H59" s="1463">
        <v>1</v>
      </c>
      <c r="I59" s="1463">
        <v>2.29</v>
      </c>
      <c r="J59" s="1463">
        <v>3.72</v>
      </c>
      <c r="K59" s="1463">
        <v>0.75</v>
      </c>
      <c r="L59" s="1477">
        <v>0.04</v>
      </c>
      <c r="N59" s="1526">
        <f t="shared" si="121"/>
        <v>4.3778675988638847E-2</v>
      </c>
      <c r="O59" s="1527">
        <f t="shared" si="121"/>
        <v>3.9114251466784385E-2</v>
      </c>
      <c r="P59" s="1527">
        <f t="shared" si="122"/>
        <v>2.1433929911049188E-2</v>
      </c>
      <c r="Q59" s="1527">
        <f t="shared" si="122"/>
        <v>3.7526972511492629E-4</v>
      </c>
      <c r="R59" s="1473"/>
      <c r="S59" s="1479">
        <f>B59/B60-1</f>
        <v>4.3778675988638716E-2</v>
      </c>
      <c r="T59" s="1480">
        <f>C59/C60-1</f>
        <v>3.91142514667846E-2</v>
      </c>
      <c r="U59" s="1480">
        <f>E59/E60-1</f>
        <v>2.143392991104931E-2</v>
      </c>
      <c r="V59" s="1480">
        <f>F59/F60-1</f>
        <v>3.7526972511492396E-4</v>
      </c>
      <c r="X59" s="1525"/>
      <c r="Y59" s="1525"/>
      <c r="Z59" s="1525"/>
    </row>
    <row r="60" spans="1:26" ht="13.5" thickBot="1">
      <c r="A60" s="1460" t="s">
        <v>1191</v>
      </c>
      <c r="B60" s="1489">
        <v>138</v>
      </c>
      <c r="C60" s="1489">
        <v>131</v>
      </c>
      <c r="D60" s="1489">
        <f t="shared" si="97"/>
        <v>131</v>
      </c>
      <c r="E60" s="1489">
        <v>155</v>
      </c>
      <c r="F60" s="1490">
        <v>114</v>
      </c>
      <c r="G60" s="3362">
        <v>2005</v>
      </c>
      <c r="H60" s="1481">
        <v>4</v>
      </c>
      <c r="I60" s="1481">
        <v>3.29</v>
      </c>
      <c r="J60" s="1481">
        <v>1.44</v>
      </c>
      <c r="K60" s="1481">
        <v>0.66</v>
      </c>
      <c r="L60" s="1482">
        <v>7.78</v>
      </c>
      <c r="N60" s="1523">
        <f t="shared" ref="N60:O63" si="125">I60/SUM(I$60:I$63)*(B$60/B$64-1)</f>
        <v>9.9404603216919935E-2</v>
      </c>
      <c r="O60" s="1524">
        <f t="shared" si="125"/>
        <v>4.7636550760861554E-2</v>
      </c>
      <c r="P60" s="1524">
        <f t="shared" ref="P60:Q63" si="126">K60/SUM(K$60:K$63)*(E$60/E$64-1)</f>
        <v>8.3756345177664976E-2</v>
      </c>
      <c r="Q60" s="1524">
        <f t="shared" si="126"/>
        <v>5.2148766661559584E-2</v>
      </c>
      <c r="R60" s="1473"/>
      <c r="S60" s="1474"/>
      <c r="T60" s="1475"/>
      <c r="U60" s="1475"/>
      <c r="V60" s="1475"/>
      <c r="X60" s="1525"/>
      <c r="Y60" s="1525"/>
      <c r="Z60" s="1525"/>
    </row>
    <row r="61" spans="1:26">
      <c r="A61" s="1460" t="s">
        <v>1192</v>
      </c>
      <c r="B61" s="1476">
        <f t="shared" ref="B61:C63" si="127">B62+(B$60-B$64)*I61/SUM(I$60:I$63)</f>
        <v>125.9720430107527</v>
      </c>
      <c r="C61" s="1476">
        <f t="shared" si="127"/>
        <v>125.1883408071749</v>
      </c>
      <c r="D61" s="1476">
        <f t="shared" si="97"/>
        <v>125.1883408071749</v>
      </c>
      <c r="E61" s="1476">
        <f t="shared" ref="E61:F63" si="128">E62+(E$60-E$64)*K61/SUM(K$60:K$63)</f>
        <v>144.61421319796952</v>
      </c>
      <c r="F61" s="1476">
        <f t="shared" si="128"/>
        <v>108.42008196721311</v>
      </c>
      <c r="G61" s="3363">
        <v>2005</v>
      </c>
      <c r="H61" s="1486">
        <v>3</v>
      </c>
      <c r="I61" s="1486">
        <v>0.46</v>
      </c>
      <c r="J61" s="1486">
        <v>0.32</v>
      </c>
      <c r="K61" s="1486">
        <v>0.42</v>
      </c>
      <c r="L61" s="1487">
        <v>0.64</v>
      </c>
      <c r="N61" s="1523">
        <f t="shared" si="125"/>
        <v>1.3898515951301874E-2</v>
      </c>
      <c r="O61" s="1524">
        <f t="shared" si="125"/>
        <v>1.0585900169080346E-2</v>
      </c>
      <c r="P61" s="1524">
        <f t="shared" si="126"/>
        <v>5.3299492385786795E-2</v>
      </c>
      <c r="Q61" s="1524">
        <f t="shared" si="126"/>
        <v>4.2898728359123568E-3</v>
      </c>
      <c r="R61" s="1473"/>
      <c r="S61" s="1471"/>
      <c r="T61" s="1472"/>
      <c r="U61" s="1472"/>
      <c r="V61" s="1472"/>
      <c r="X61" s="1525"/>
      <c r="Y61" s="1525"/>
      <c r="Z61" s="1525"/>
    </row>
    <row r="62" spans="1:26">
      <c r="A62" s="1460" t="s">
        <v>1193</v>
      </c>
      <c r="B62" s="1476">
        <f t="shared" si="127"/>
        <v>124.29032258064517</v>
      </c>
      <c r="C62" s="1476">
        <f t="shared" si="127"/>
        <v>123.8968609865471</v>
      </c>
      <c r="D62" s="1476">
        <f t="shared" si="97"/>
        <v>123.8968609865471</v>
      </c>
      <c r="E62" s="1476">
        <f t="shared" si="128"/>
        <v>138.00507614213197</v>
      </c>
      <c r="F62" s="1476">
        <f t="shared" si="128"/>
        <v>107.96106557377048</v>
      </c>
      <c r="G62" s="3363">
        <v>2005</v>
      </c>
      <c r="H62" s="1464">
        <v>2</v>
      </c>
      <c r="I62" s="1464">
        <v>0.47</v>
      </c>
      <c r="J62" s="1464">
        <v>0.1</v>
      </c>
      <c r="K62" s="1464">
        <v>0.52</v>
      </c>
      <c r="L62" s="1478">
        <v>0.79</v>
      </c>
      <c r="N62" s="1523">
        <f t="shared" si="125"/>
        <v>1.420065760241713E-2</v>
      </c>
      <c r="O62" s="1524">
        <f t="shared" si="125"/>
        <v>3.3080938028376083E-3</v>
      </c>
      <c r="P62" s="1524">
        <f t="shared" si="126"/>
        <v>6.598984771573603E-2</v>
      </c>
      <c r="Q62" s="1524">
        <f t="shared" si="126"/>
        <v>5.2953117818293153E-3</v>
      </c>
      <c r="R62" s="1473"/>
      <c r="S62" s="1471"/>
      <c r="T62" s="1472"/>
      <c r="U62" s="1472"/>
      <c r="V62" s="1472"/>
      <c r="X62" s="1525"/>
      <c r="Y62" s="1525"/>
      <c r="Z62" s="1525"/>
    </row>
    <row r="63" spans="1:26">
      <c r="A63" s="1460" t="s">
        <v>1194</v>
      </c>
      <c r="B63" s="1476">
        <f t="shared" si="127"/>
        <v>122.57204301075269</v>
      </c>
      <c r="C63" s="1476">
        <f t="shared" si="127"/>
        <v>123.4932735426009</v>
      </c>
      <c r="D63" s="1476">
        <f t="shared" si="97"/>
        <v>123.4932735426009</v>
      </c>
      <c r="E63" s="1476">
        <f t="shared" si="128"/>
        <v>129.82233502538071</v>
      </c>
      <c r="F63" s="1476">
        <f t="shared" si="128"/>
        <v>107.39446721311475</v>
      </c>
      <c r="G63" s="3364">
        <v>2005</v>
      </c>
      <c r="H63" s="1463">
        <v>1</v>
      </c>
      <c r="I63" s="1463">
        <v>0.43</v>
      </c>
      <c r="J63" s="1463">
        <v>0.37</v>
      </c>
      <c r="K63" s="1463">
        <v>0.37</v>
      </c>
      <c r="L63" s="1477">
        <v>0.55000000000000004</v>
      </c>
      <c r="N63" s="1526">
        <f t="shared" si="125"/>
        <v>1.2992090997956099E-2</v>
      </c>
      <c r="O63" s="1527">
        <f t="shared" si="125"/>
        <v>1.2239947070499151E-2</v>
      </c>
      <c r="P63" s="1527">
        <f t="shared" si="126"/>
        <v>4.6954314720812178E-2</v>
      </c>
      <c r="Q63" s="1527">
        <f t="shared" si="126"/>
        <v>3.6866094683621815E-3</v>
      </c>
      <c r="R63" s="1473"/>
      <c r="S63" s="1479">
        <f>B63/B64-1</f>
        <v>1.2992090997956174E-2</v>
      </c>
      <c r="T63" s="1480">
        <f>C63/C64-1</f>
        <v>1.2239947070499246E-2</v>
      </c>
      <c r="U63" s="1480">
        <f>E63/E64-1</f>
        <v>4.695431472081224E-2</v>
      </c>
      <c r="V63" s="1480">
        <f>F63/F64-1</f>
        <v>3.6866094683620787E-3</v>
      </c>
      <c r="X63" s="1525"/>
      <c r="Y63" s="1525"/>
      <c r="Z63" s="1525"/>
    </row>
    <row r="64" spans="1:26" ht="13.5" thickBot="1">
      <c r="A64" s="1460" t="s">
        <v>1195</v>
      </c>
      <c r="B64" s="1510">
        <v>121</v>
      </c>
      <c r="C64" s="1510">
        <v>122</v>
      </c>
      <c r="D64" s="1510">
        <f t="shared" si="97"/>
        <v>122</v>
      </c>
      <c r="E64" s="1510">
        <v>124</v>
      </c>
      <c r="F64" s="1511">
        <v>107</v>
      </c>
      <c r="G64" s="3362">
        <v>2004</v>
      </c>
      <c r="H64" s="1481">
        <v>4</v>
      </c>
      <c r="I64" s="1481">
        <v>0.33</v>
      </c>
      <c r="J64" s="1481">
        <v>0.5</v>
      </c>
      <c r="K64" s="1481">
        <v>0.5</v>
      </c>
      <c r="L64" s="1482">
        <v>0</v>
      </c>
      <c r="N64" s="1523">
        <f t="shared" ref="N64:O67" si="129">I64/SUM(I$64:I$67)*(B$64/B$68-1)</f>
        <v>1.3391770148526898E-2</v>
      </c>
      <c r="O64" s="1524">
        <f t="shared" si="129"/>
        <v>1.063264221158958E-2</v>
      </c>
      <c r="P64" s="1524">
        <f t="shared" ref="P64:Q67" si="130">K64/SUM(K$64:K$67)*(E$64/E$68-1)</f>
        <v>2.2244466688911134E-2</v>
      </c>
      <c r="Q64" s="1524">
        <f t="shared" si="130"/>
        <v>0</v>
      </c>
      <c r="R64" s="1473"/>
      <c r="S64" s="1474"/>
      <c r="T64" s="1475"/>
      <c r="U64" s="1475"/>
      <c r="V64" s="1475"/>
      <c r="X64" s="1525"/>
      <c r="Y64" s="1525"/>
      <c r="Z64" s="1525"/>
    </row>
    <row r="65" spans="1:26">
      <c r="A65" s="1460" t="s">
        <v>1196</v>
      </c>
      <c r="B65" s="1476">
        <f t="shared" ref="B65:C67" si="131">B66+(B$64-B$68)*I65/SUM(I$64:I$67)</f>
        <v>119.51351351351352</v>
      </c>
      <c r="C65" s="1476">
        <f t="shared" si="131"/>
        <v>120.7878787878788</v>
      </c>
      <c r="D65" s="1476">
        <f t="shared" si="97"/>
        <v>120.7878787878788</v>
      </c>
      <c r="E65" s="1476">
        <f t="shared" ref="E65:F67" si="132">E66+(E$64-E$68)*K65/SUM(K$64:K$67)</f>
        <v>121.5975975975976</v>
      </c>
      <c r="F65" s="1476">
        <f t="shared" si="132"/>
        <v>107</v>
      </c>
      <c r="G65" s="3363">
        <v>2004</v>
      </c>
      <c r="H65" s="1486">
        <v>3</v>
      </c>
      <c r="I65" s="1486">
        <v>0.56000000000000005</v>
      </c>
      <c r="J65" s="1486">
        <v>0.8</v>
      </c>
      <c r="K65" s="1486">
        <v>0.83</v>
      </c>
      <c r="L65" s="1487">
        <v>0.06</v>
      </c>
      <c r="N65" s="1523">
        <f t="shared" si="129"/>
        <v>2.2725428130833527E-2</v>
      </c>
      <c r="O65" s="1524">
        <f t="shared" si="129"/>
        <v>1.7012227538543329E-2</v>
      </c>
      <c r="P65" s="1524">
        <f t="shared" si="130"/>
        <v>3.6925814703592477E-2</v>
      </c>
      <c r="Q65" s="1524">
        <f t="shared" si="130"/>
        <v>2.8846153846153744E-2</v>
      </c>
      <c r="R65" s="1473"/>
      <c r="S65" s="1471"/>
      <c r="T65" s="1472"/>
      <c r="U65" s="1472"/>
      <c r="V65" s="1472"/>
      <c r="X65" s="1525"/>
      <c r="Y65" s="1525"/>
      <c r="Z65" s="1525"/>
    </row>
    <row r="66" spans="1:26">
      <c r="A66" s="1460" t="s">
        <v>1197</v>
      </c>
      <c r="B66" s="1476">
        <f t="shared" si="131"/>
        <v>116.99099099099099</v>
      </c>
      <c r="C66" s="1476">
        <f t="shared" si="131"/>
        <v>118.84848484848486</v>
      </c>
      <c r="D66" s="1476">
        <f t="shared" si="97"/>
        <v>118.84848484848486</v>
      </c>
      <c r="E66" s="1476">
        <f t="shared" si="132"/>
        <v>117.60960960960961</v>
      </c>
      <c r="F66" s="1476">
        <f t="shared" si="132"/>
        <v>104</v>
      </c>
      <c r="G66" s="3363">
        <v>2004</v>
      </c>
      <c r="H66" s="1464">
        <v>2</v>
      </c>
      <c r="I66" s="1464">
        <v>1</v>
      </c>
      <c r="J66" s="1464">
        <v>1.5</v>
      </c>
      <c r="K66" s="1464">
        <v>1.5</v>
      </c>
      <c r="L66" s="1478">
        <v>0</v>
      </c>
      <c r="N66" s="1523">
        <f t="shared" si="129"/>
        <v>4.0581121662202721E-2</v>
      </c>
      <c r="O66" s="1524">
        <f t="shared" si="129"/>
        <v>3.1897926634768738E-2</v>
      </c>
      <c r="P66" s="1524">
        <f t="shared" si="130"/>
        <v>6.6733400066733395E-2</v>
      </c>
      <c r="Q66" s="1524">
        <f t="shared" si="130"/>
        <v>0</v>
      </c>
      <c r="R66" s="1473"/>
      <c r="S66" s="1471"/>
      <c r="T66" s="1472"/>
      <c r="U66" s="1472"/>
      <c r="V66" s="1472"/>
      <c r="X66" s="1525"/>
      <c r="Y66" s="1525"/>
      <c r="Z66" s="1525"/>
    </row>
    <row r="67" spans="1:26" s="1516" customFormat="1" ht="13.5" thickBot="1">
      <c r="A67" s="1460" t="s">
        <v>1198</v>
      </c>
      <c r="B67" s="1513">
        <f t="shared" si="131"/>
        <v>112.48648648648648</v>
      </c>
      <c r="C67" s="1513">
        <f t="shared" si="131"/>
        <v>115.21212121212122</v>
      </c>
      <c r="D67" s="1513">
        <f t="shared" si="97"/>
        <v>115.21212121212122</v>
      </c>
      <c r="E67" s="1513">
        <f t="shared" si="132"/>
        <v>110.4024024024024</v>
      </c>
      <c r="F67" s="1513">
        <f t="shared" si="132"/>
        <v>104</v>
      </c>
      <c r="G67" s="3364">
        <v>2004</v>
      </c>
      <c r="H67" s="1514">
        <v>1</v>
      </c>
      <c r="I67" s="1514">
        <v>0.33</v>
      </c>
      <c r="J67" s="1514">
        <v>0.5</v>
      </c>
      <c r="K67" s="1514">
        <v>0.5</v>
      </c>
      <c r="L67" s="1515">
        <v>0</v>
      </c>
      <c r="N67" s="1528">
        <f t="shared" si="129"/>
        <v>1.3391770148526898E-2</v>
      </c>
      <c r="O67" s="1529">
        <f t="shared" si="129"/>
        <v>1.063264221158958E-2</v>
      </c>
      <c r="P67" s="1529">
        <f t="shared" si="130"/>
        <v>2.2244466688911134E-2</v>
      </c>
      <c r="Q67" s="1529">
        <f t="shared" si="130"/>
        <v>0</v>
      </c>
      <c r="R67" s="1519"/>
      <c r="S67" s="1517">
        <f>B67/B68-1</f>
        <v>1.3391770148526883E-2</v>
      </c>
      <c r="T67" s="1518">
        <f>C67/C68-1</f>
        <v>1.063264221158966E-2</v>
      </c>
      <c r="U67" s="1518">
        <f>E67/E68-1</f>
        <v>2.2244466688911224E-2</v>
      </c>
      <c r="V67" s="1518">
        <f>F67/F68-1</f>
        <v>0</v>
      </c>
      <c r="X67" s="1530"/>
      <c r="Y67" s="1530"/>
      <c r="Z67" s="1530"/>
    </row>
    <row r="68" spans="1:26" ht="13.5" thickBot="1">
      <c r="A68" s="1460" t="s">
        <v>1199</v>
      </c>
      <c r="B68" s="1531">
        <v>111</v>
      </c>
      <c r="C68" s="1531">
        <v>114</v>
      </c>
      <c r="D68" s="1531">
        <f t="shared" si="97"/>
        <v>114</v>
      </c>
      <c r="E68" s="1531">
        <v>108</v>
      </c>
      <c r="F68" s="1532">
        <v>104</v>
      </c>
      <c r="G68" s="3362">
        <v>2003</v>
      </c>
      <c r="H68" s="1521">
        <v>4</v>
      </c>
      <c r="I68" s="1533"/>
      <c r="J68" s="1533"/>
      <c r="K68" s="1533"/>
      <c r="L68" s="1533"/>
      <c r="N68" s="1534"/>
      <c r="O68" s="1533"/>
      <c r="P68" s="1533"/>
      <c r="Q68" s="1533"/>
      <c r="S68" s="1534"/>
      <c r="T68" s="1533"/>
      <c r="U68" s="1533"/>
      <c r="V68" s="1533"/>
      <c r="X68" s="1525"/>
      <c r="Y68" s="1525"/>
      <c r="Z68" s="1525"/>
    </row>
    <row r="69" spans="1:26">
      <c r="A69" s="1460" t="s">
        <v>1200</v>
      </c>
      <c r="B69" s="1535">
        <f t="shared" ref="B69:C71" si="133">B70+(B$68-B$72)/4</f>
        <v>109.75</v>
      </c>
      <c r="C69" s="1535">
        <f t="shared" si="133"/>
        <v>112.25</v>
      </c>
      <c r="D69" s="1535">
        <f t="shared" si="97"/>
        <v>112.25</v>
      </c>
      <c r="E69" s="1535">
        <f t="shared" ref="E69:F71" si="134">E70+(E$68-E$72)/4</f>
        <v>107.25</v>
      </c>
      <c r="F69" s="1535">
        <f t="shared" si="134"/>
        <v>103.5</v>
      </c>
      <c r="G69" s="3363">
        <v>2003</v>
      </c>
      <c r="H69" s="1486">
        <v>3</v>
      </c>
      <c r="I69" s="1533"/>
      <c r="J69" s="1533"/>
      <c r="K69" s="1533"/>
      <c r="L69" s="1533"/>
      <c r="X69" s="1525"/>
      <c r="Y69" s="1525"/>
      <c r="Z69" s="1525"/>
    </row>
    <row r="70" spans="1:26">
      <c r="A70" s="1460" t="s">
        <v>1201</v>
      </c>
      <c r="B70" s="1535">
        <f t="shared" si="133"/>
        <v>108.5</v>
      </c>
      <c r="C70" s="1535">
        <f t="shared" si="133"/>
        <v>110.5</v>
      </c>
      <c r="D70" s="1535">
        <f t="shared" si="97"/>
        <v>110.5</v>
      </c>
      <c r="E70" s="1535">
        <f t="shared" si="134"/>
        <v>106.5</v>
      </c>
      <c r="F70" s="1535">
        <f t="shared" si="134"/>
        <v>103</v>
      </c>
      <c r="G70" s="3363">
        <v>2003</v>
      </c>
      <c r="H70" s="1464">
        <v>2</v>
      </c>
      <c r="I70" s="1533"/>
      <c r="J70" s="1533"/>
      <c r="K70" s="1533"/>
      <c r="L70" s="1533"/>
      <c r="X70" s="1525"/>
      <c r="Y70" s="1525"/>
      <c r="Z70" s="1525"/>
    </row>
    <row r="71" spans="1:26" ht="13.5" thickBot="1">
      <c r="A71" s="1460" t="s">
        <v>1202</v>
      </c>
      <c r="B71" s="1535">
        <f t="shared" si="133"/>
        <v>107.25</v>
      </c>
      <c r="C71" s="1535">
        <f t="shared" si="133"/>
        <v>108.75</v>
      </c>
      <c r="D71" s="1535">
        <f t="shared" si="97"/>
        <v>108.75</v>
      </c>
      <c r="E71" s="1535">
        <f t="shared" si="134"/>
        <v>105.75</v>
      </c>
      <c r="F71" s="1535">
        <f t="shared" si="134"/>
        <v>102.5</v>
      </c>
      <c r="G71" s="3364">
        <v>2003</v>
      </c>
      <c r="H71" s="1536">
        <v>1</v>
      </c>
      <c r="I71" s="1533"/>
      <c r="J71" s="1533"/>
      <c r="K71" s="1533"/>
      <c r="L71" s="1533"/>
      <c r="S71" s="1471"/>
      <c r="T71" s="1472"/>
      <c r="U71" s="1472"/>
      <c r="X71" s="1525"/>
      <c r="Y71" s="1525"/>
      <c r="Z71" s="1525"/>
    </row>
    <row r="72" spans="1:26" ht="13.5" thickBot="1">
      <c r="A72" s="1460" t="s">
        <v>1203</v>
      </c>
      <c r="B72" s="1537">
        <v>106</v>
      </c>
      <c r="C72" s="1537">
        <v>107</v>
      </c>
      <c r="D72" s="1537">
        <f t="shared" si="97"/>
        <v>107</v>
      </c>
      <c r="E72" s="1537">
        <v>105</v>
      </c>
      <c r="F72" s="1538">
        <v>102</v>
      </c>
      <c r="G72" s="3362">
        <v>2002</v>
      </c>
      <c r="H72" s="1481">
        <v>4</v>
      </c>
      <c r="I72" s="1533"/>
      <c r="J72" s="1533"/>
      <c r="K72" s="1533"/>
      <c r="L72" s="1533"/>
      <c r="N72" s="1534"/>
      <c r="O72" s="1533"/>
      <c r="P72" s="1533"/>
      <c r="Q72" s="1533"/>
      <c r="S72" s="1534"/>
      <c r="T72" s="1533"/>
      <c r="U72" s="1533"/>
      <c r="V72" s="1533"/>
      <c r="X72" s="1525"/>
      <c r="Y72" s="1525"/>
      <c r="Z72" s="1525"/>
    </row>
    <row r="73" spans="1:26">
      <c r="A73" s="1460" t="s">
        <v>1204</v>
      </c>
      <c r="B73" s="1535">
        <f t="shared" ref="B73:C75" si="135">B74+(B$72-B$76)/4</f>
        <v>105</v>
      </c>
      <c r="C73" s="1535">
        <f t="shared" si="135"/>
        <v>106</v>
      </c>
      <c r="D73" s="1535">
        <f t="shared" si="97"/>
        <v>106</v>
      </c>
      <c r="E73" s="1535">
        <f t="shared" ref="E73:F75" si="136">E74+(E$72-E$76)/4</f>
        <v>104.5</v>
      </c>
      <c r="F73" s="1535">
        <f t="shared" si="136"/>
        <v>101.5</v>
      </c>
      <c r="G73" s="3363">
        <v>2002</v>
      </c>
      <c r="H73" s="1486">
        <v>3</v>
      </c>
      <c r="I73" s="1533"/>
      <c r="J73" s="1533"/>
      <c r="K73" s="1533"/>
      <c r="L73" s="1533"/>
      <c r="X73" s="1525"/>
      <c r="Y73" s="1525"/>
      <c r="Z73" s="1525"/>
    </row>
    <row r="74" spans="1:26">
      <c r="A74" s="1460" t="s">
        <v>1205</v>
      </c>
      <c r="B74" s="1535">
        <f t="shared" si="135"/>
        <v>104</v>
      </c>
      <c r="C74" s="1535">
        <f t="shared" si="135"/>
        <v>105</v>
      </c>
      <c r="D74" s="1535">
        <f t="shared" si="97"/>
        <v>105</v>
      </c>
      <c r="E74" s="1535">
        <f t="shared" si="136"/>
        <v>104</v>
      </c>
      <c r="F74" s="1535">
        <f t="shared" si="136"/>
        <v>101</v>
      </c>
      <c r="G74" s="3363">
        <v>2002</v>
      </c>
      <c r="H74" s="1464">
        <v>2</v>
      </c>
      <c r="I74" s="1533"/>
      <c r="J74" s="1533"/>
      <c r="K74" s="1533"/>
      <c r="L74" s="1533"/>
      <c r="X74" s="1525"/>
      <c r="Y74" s="1525"/>
      <c r="Z74" s="1525"/>
    </row>
    <row r="75" spans="1:26" s="1497" customFormat="1" ht="13.5" thickBot="1">
      <c r="A75" s="1493" t="s">
        <v>1206</v>
      </c>
      <c r="B75" s="1539">
        <f t="shared" si="135"/>
        <v>103</v>
      </c>
      <c r="C75" s="1539">
        <f t="shared" si="135"/>
        <v>104</v>
      </c>
      <c r="D75" s="1539">
        <f t="shared" si="97"/>
        <v>104</v>
      </c>
      <c r="E75" s="1539">
        <f t="shared" si="136"/>
        <v>103.5</v>
      </c>
      <c r="F75" s="1539">
        <f t="shared" si="136"/>
        <v>100.5</v>
      </c>
      <c r="G75" s="3364">
        <v>2002</v>
      </c>
      <c r="H75" s="1540">
        <v>1</v>
      </c>
      <c r="I75" s="1541"/>
      <c r="J75" s="1541"/>
      <c r="K75" s="1541"/>
      <c r="L75" s="1541"/>
      <c r="N75" s="1542"/>
      <c r="S75" s="1542"/>
      <c r="X75" s="1543"/>
      <c r="Y75" s="1543"/>
      <c r="Z75" s="1543"/>
    </row>
    <row r="76" spans="1:26" ht="13.5" thickBot="1">
      <c r="B76" s="1544">
        <v>102</v>
      </c>
      <c r="C76" s="1545">
        <v>103</v>
      </c>
      <c r="D76" s="1545">
        <f t="shared" si="97"/>
        <v>103</v>
      </c>
      <c r="E76" s="1545">
        <v>103</v>
      </c>
      <c r="F76" s="1546">
        <v>100</v>
      </c>
      <c r="I76" s="1533"/>
      <c r="J76" s="1533"/>
      <c r="K76" s="1533"/>
      <c r="L76" s="1533"/>
      <c r="N76" s="1534"/>
      <c r="O76" s="1533"/>
      <c r="P76" s="1533"/>
      <c r="Q76" s="1533"/>
      <c r="S76" s="1534"/>
      <c r="T76" s="1533"/>
      <c r="U76" s="1533"/>
      <c r="V76" s="1533"/>
      <c r="X76" s="1475"/>
      <c r="Y76" s="1475"/>
      <c r="Z76" s="1475"/>
    </row>
    <row r="78" spans="1:26" s="1548" customFormat="1">
      <c r="A78" s="1547" t="s">
        <v>1207</v>
      </c>
      <c r="G78" s="1549"/>
      <c r="N78" s="1549"/>
      <c r="S78" s="1549"/>
    </row>
    <row r="79" spans="1:26" s="1548" customFormat="1">
      <c r="A79" s="1548" t="s">
        <v>1208</v>
      </c>
      <c r="G79" s="1549"/>
      <c r="N79" s="1549"/>
      <c r="S79" s="1549"/>
    </row>
    <row r="80" spans="1:26" s="1548" customFormat="1">
      <c r="A80" s="1548" t="s">
        <v>1209</v>
      </c>
      <c r="G80" s="1549"/>
      <c r="I80" s="1550"/>
      <c r="J80" s="1550"/>
      <c r="K80" s="1550"/>
      <c r="L80" s="1550"/>
      <c r="N80" s="1551"/>
      <c r="O80" s="1550"/>
      <c r="P80" s="1550"/>
      <c r="Q80" s="1550"/>
      <c r="S80" s="1551"/>
      <c r="T80" s="1550"/>
      <c r="U80" s="1550"/>
      <c r="V80" s="1550"/>
    </row>
    <row r="81" spans="1:22" s="1548" customFormat="1">
      <c r="A81" s="1548" t="s">
        <v>1210</v>
      </c>
      <c r="G81" s="1549"/>
      <c r="N81" s="1549"/>
      <c r="S81" s="1549"/>
    </row>
    <row r="88" spans="1:22" ht="13.5" thickBot="1"/>
    <row r="89" spans="1:22">
      <c r="G89" s="1470"/>
      <c r="S89" s="1552" t="s">
        <v>1211</v>
      </c>
      <c r="T89" s="1553" t="s">
        <v>1212</v>
      </c>
      <c r="U89" s="1553" t="s">
        <v>1213</v>
      </c>
      <c r="V89" s="1553" t="s">
        <v>1214</v>
      </c>
    </row>
    <row r="90" spans="1:22">
      <c r="G90" s="1470"/>
      <c r="N90" s="1474"/>
      <c r="O90" s="1475"/>
      <c r="P90" s="1475"/>
      <c r="Q90" s="1475"/>
      <c r="S90" s="1554">
        <v>2006</v>
      </c>
      <c r="T90" s="1555">
        <v>15.1</v>
      </c>
      <c r="U90" s="1555">
        <v>7.43</v>
      </c>
      <c r="V90" s="1555">
        <v>26.26</v>
      </c>
    </row>
    <row r="91" spans="1:22">
      <c r="G91" s="1470"/>
      <c r="N91" s="1474"/>
      <c r="O91" s="1475"/>
      <c r="P91" s="1475"/>
      <c r="Q91" s="1475"/>
      <c r="S91" s="1556">
        <v>2005</v>
      </c>
      <c r="T91" s="1557">
        <v>13.9</v>
      </c>
      <c r="U91" s="1557">
        <v>7.49</v>
      </c>
      <c r="V91" s="1557">
        <v>24.92</v>
      </c>
    </row>
    <row r="92" spans="1:22">
      <c r="G92" s="1470"/>
      <c r="N92" s="1474"/>
      <c r="O92" s="1475"/>
      <c r="P92" s="1475"/>
      <c r="Q92" s="1475"/>
      <c r="S92" s="1554">
        <v>2004</v>
      </c>
      <c r="T92" s="1555">
        <v>9.48</v>
      </c>
      <c r="U92" s="1555">
        <v>7.2</v>
      </c>
      <c r="V92" s="1555">
        <v>14.68</v>
      </c>
    </row>
    <row r="93" spans="1:22">
      <c r="G93" s="1470"/>
      <c r="N93" s="1474"/>
      <c r="O93" s="1475"/>
      <c r="P93" s="1475"/>
      <c r="Q93" s="1475"/>
      <c r="S93" s="1556">
        <v>2003</v>
      </c>
      <c r="T93" s="1557">
        <v>4.5</v>
      </c>
      <c r="U93" s="1557">
        <v>6.12</v>
      </c>
      <c r="V93" s="1557">
        <v>2.34</v>
      </c>
    </row>
    <row r="94" spans="1:22" ht="13.5" thickBot="1">
      <c r="G94" s="1470"/>
      <c r="N94" s="1474"/>
      <c r="O94" s="1475"/>
      <c r="P94" s="1475"/>
      <c r="Q94" s="1475"/>
      <c r="S94" s="1558">
        <v>2002</v>
      </c>
      <c r="T94" s="1559">
        <v>3.59</v>
      </c>
      <c r="U94" s="1559">
        <v>4.54</v>
      </c>
      <c r="V94" s="1559">
        <v>2.5499999999999998</v>
      </c>
    </row>
    <row r="95" spans="1:22">
      <c r="G95" s="1470"/>
      <c r="N95" s="1474"/>
      <c r="O95" s="1475"/>
      <c r="P95" s="1475"/>
      <c r="Q95" s="1475"/>
    </row>
    <row r="96" spans="1: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3" t="s">
        <v>2997</v>
      </c>
      <c r="C1" s="3374" t="s">
        <v>2998</v>
      </c>
      <c r="D1" s="3375"/>
      <c r="E1" s="3375"/>
      <c r="F1" s="3375"/>
      <c r="G1" s="3375"/>
      <c r="H1" s="3375"/>
      <c r="I1" s="3375"/>
      <c r="J1" s="3375"/>
      <c r="K1" s="3375"/>
      <c r="L1" s="3375"/>
      <c r="M1" s="3375"/>
      <c r="N1" s="3375"/>
      <c r="O1" s="3375"/>
      <c r="P1" s="3375"/>
      <c r="Q1" s="3375"/>
      <c r="R1" s="3375"/>
      <c r="S1" s="3376"/>
      <c r="T1" s="1203" t="s">
        <v>2999</v>
      </c>
    </row>
    <row r="2" spans="1:45" s="706" customFormat="1">
      <c r="A2" s="1204"/>
      <c r="B2" s="702" t="s">
        <v>3000</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8" t="s">
        <v>3001</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9" t="s">
        <v>3002</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9" t="s">
        <v>3003</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8" t="s">
        <v>3004</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8" t="s">
        <v>3005</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3006</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6" t="s">
        <v>3007</v>
      </c>
      <c r="B17" s="2907" t="s">
        <v>3008</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08" t="s">
        <v>3009</v>
      </c>
      <c r="E19" s="1791"/>
      <c r="F19" s="1791"/>
      <c r="G19" s="1791"/>
      <c r="H19" s="1279"/>
      <c r="I19" s="167"/>
      <c r="J19" s="167"/>
      <c r="K19" s="167"/>
      <c r="L19" s="167"/>
      <c r="M19" s="167"/>
      <c r="N19" s="167"/>
      <c r="O19" s="167"/>
      <c r="P19" s="167"/>
      <c r="Q19" s="167"/>
      <c r="R19" s="787"/>
      <c r="S19" s="137"/>
    </row>
    <row r="20" spans="1:45" ht="16.5" thickBot="1">
      <c r="A20" s="714" t="s">
        <v>3010</v>
      </c>
      <c r="B20" s="337" t="e">
        <f ca="1">IF(D20="——",S22,S22-F20)</f>
        <v>#REF!</v>
      </c>
      <c r="C20" s="167"/>
      <c r="D20" s="2909" t="s">
        <v>3011</v>
      </c>
      <c r="E20" s="1792"/>
      <c r="F20" s="1203" t="e">
        <f ca="1">SUMIF(INDIRECT("'"&amp;H20&amp;"'"&amp;"!A:A"),"承租人权益价值",INDIRECT("'"&amp;H20&amp;"'"&amp;"!c:c"))</f>
        <v>#REF!</v>
      </c>
      <c r="G20" s="1203" t="s">
        <v>3012</v>
      </c>
      <c r="H20" s="2910"/>
      <c r="I20" s="167"/>
      <c r="J20" s="167"/>
      <c r="K20" s="167"/>
      <c r="L20" s="167"/>
      <c r="M20" s="167"/>
      <c r="N20" s="167"/>
      <c r="O20" s="167"/>
      <c r="P20" s="167"/>
      <c r="Q20" s="167"/>
      <c r="R20" s="787"/>
      <c r="S20" s="137"/>
    </row>
    <row r="21" spans="1:45" ht="15.75">
      <c r="A21" s="714" t="s">
        <v>3013</v>
      </c>
      <c r="B21" s="337">
        <f>R22</f>
        <v>10000</v>
      </c>
      <c r="C21" s="167"/>
      <c r="D21" s="167"/>
      <c r="E21" s="167"/>
      <c r="F21" s="167"/>
      <c r="G21" s="167"/>
      <c r="H21" s="167"/>
      <c r="I21" s="167"/>
      <c r="J21" s="167"/>
      <c r="K21" s="167"/>
      <c r="L21" s="167"/>
      <c r="M21" s="167"/>
      <c r="N21" s="167"/>
      <c r="O21" s="167"/>
      <c r="P21" s="167"/>
      <c r="Q21" s="167"/>
      <c r="R21" s="787"/>
      <c r="S21" s="137"/>
    </row>
    <row r="22" spans="1:45">
      <c r="A22" s="360" t="s">
        <v>3014</v>
      </c>
      <c r="B22" s="24">
        <f>SUM(B24:B10000)</f>
        <v>100</v>
      </c>
      <c r="C22" s="3218" t="s">
        <v>33</v>
      </c>
      <c r="D22" s="3219"/>
      <c r="E22" s="3219"/>
      <c r="F22" s="3219"/>
      <c r="G22" s="3219"/>
      <c r="H22" s="3219"/>
      <c r="I22" s="3219"/>
      <c r="J22" s="3219"/>
      <c r="K22" s="3219"/>
      <c r="L22" s="3219"/>
      <c r="M22" s="3219"/>
      <c r="N22" s="3219"/>
      <c r="O22" s="3219"/>
      <c r="P22" s="3219"/>
      <c r="Q22" s="3373"/>
      <c r="R22" s="715">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6" t="s">
        <v>3018</v>
      </c>
      <c r="S23" s="11" t="s">
        <v>3019</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3020</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7"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54087</v>
      </c>
      <c r="C2" s="2" t="s">
        <v>133</v>
      </c>
      <c r="D2" s="242"/>
      <c r="E2" s="242"/>
      <c r="F2" s="242"/>
      <c r="G2" s="242"/>
    </row>
    <row r="3" spans="1:7" s="243" customFormat="1" ht="18" customHeight="1" thickBot="1">
      <c r="A3" s="246" t="s">
        <v>85</v>
      </c>
      <c r="B3" s="247">
        <f ca="1">ROUND(B2*10000/'数据-汇总表'!E3,0)</f>
        <v>6491</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1145</v>
      </c>
    </row>
    <row r="9" spans="1:7" s="257" customFormat="1" ht="13.5" customHeight="1">
      <c r="A9" s="949" t="s">
        <v>800</v>
      </c>
      <c r="B9" s="267" t="s">
        <v>93</v>
      </c>
      <c r="C9" s="268">
        <f>ROUND(D9*E9/10000,0)</f>
        <v>0</v>
      </c>
      <c r="D9" s="1031">
        <f>'数据-汇总表'!E5</f>
        <v>0</v>
      </c>
      <c r="E9" s="268">
        <f>'数据-取费表'!B27</f>
        <v>0</v>
      </c>
      <c r="F9" s="264"/>
      <c r="G9" s="269"/>
    </row>
    <row r="10" spans="1:7" s="257" customFormat="1" ht="13.5" customHeight="1">
      <c r="A10" s="949" t="s">
        <v>801</v>
      </c>
      <c r="B10" s="267" t="s">
        <v>94</v>
      </c>
      <c r="C10" s="268">
        <f>ROUND(D10*E10/10000,0)</f>
        <v>1667</v>
      </c>
      <c r="D10" s="1031">
        <f>'数据-汇总表'!E6</f>
        <v>83329.149999999994</v>
      </c>
      <c r="E10" s="268">
        <f>'数据-取费表'!B28</f>
        <v>200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1052</v>
      </c>
      <c r="B19" s="253" t="s">
        <v>111</v>
      </c>
      <c r="C19" s="254">
        <f>IF(G19="已包含在土地取得成本中","0",ROUND(D19*E19/10000,0))</f>
        <v>1667</v>
      </c>
      <c r="D19" s="1035">
        <f>'数据-汇总表'!E3</f>
        <v>83329.149999999994</v>
      </c>
      <c r="E19" s="254">
        <f>'数据-取费表'!B31</f>
        <v>200</v>
      </c>
      <c r="F19" s="274"/>
      <c r="G19" s="1" t="s">
        <v>1071</v>
      </c>
    </row>
    <row r="20" spans="1:7" s="257" customFormat="1" ht="13.5" customHeight="1">
      <c r="A20" s="947" t="s">
        <v>1054</v>
      </c>
      <c r="B20" s="253" t="s">
        <v>104</v>
      </c>
      <c r="C20" s="275">
        <f>ROUND((C5+C19)*F20,0)</f>
        <v>223</v>
      </c>
      <c r="D20" s="275"/>
      <c r="E20" s="275"/>
      <c r="F20" s="276">
        <f>'数据-取费表'!B37</f>
        <v>0.01</v>
      </c>
      <c r="G20" s="1288" t="s">
        <v>1065</v>
      </c>
    </row>
    <row r="21" spans="1:7" s="257" customFormat="1" ht="13.5" customHeight="1">
      <c r="A21" s="947" t="s">
        <v>1056</v>
      </c>
      <c r="B21" s="253" t="s">
        <v>105</v>
      </c>
      <c r="C21" s="278">
        <f>F21</f>
        <v>0.01</v>
      </c>
      <c r="D21" s="279" t="s">
        <v>126</v>
      </c>
      <c r="E21" s="275"/>
      <c r="F21" s="276">
        <f>'数据-取费表'!B38</f>
        <v>0.01</v>
      </c>
      <c r="G21" s="277" t="s">
        <v>106</v>
      </c>
    </row>
    <row r="22" spans="1:7" s="257" customFormat="1" ht="13.5" customHeight="1">
      <c r="A22" s="947" t="s">
        <v>786</v>
      </c>
      <c r="B22" s="253" t="s">
        <v>107</v>
      </c>
      <c r="C22" s="1353">
        <f ca="1">ROUND(SUM(C23:C25),0)</f>
        <v>975</v>
      </c>
      <c r="D22" s="278">
        <f ca="1">C26</f>
        <v>2.0000000000000001E-4</v>
      </c>
      <c r="E22" s="279" t="s">
        <v>126</v>
      </c>
      <c r="F22" s="280">
        <f ca="1">'数据-取费表'!B40</f>
        <v>4.3499999999999997E-2</v>
      </c>
      <c r="G22" s="1288" t="str">
        <f>IF('数据-取费表'!B22&lt;=1,"单利计息","复利计息")</f>
        <v>单利计息</v>
      </c>
    </row>
    <row r="23" spans="1:7" s="257" customFormat="1" ht="13.5" customHeight="1">
      <c r="A23" s="950" t="s">
        <v>794</v>
      </c>
      <c r="B23" s="258" t="s">
        <v>1058</v>
      </c>
      <c r="C23" s="1354">
        <f ca="1">ROUND(IF('数据-取费表'!B22&lt;=1,C5*F22*'数据-取费表'!B23,C5*(POWER((1+F22),'数据-取费表'!B23)-1)),0)</f>
        <v>897</v>
      </c>
      <c r="D23" s="281"/>
      <c r="E23" s="281"/>
      <c r="F23" s="282"/>
      <c r="G23" s="283" t="s">
        <v>108</v>
      </c>
    </row>
    <row r="24" spans="1:7" s="257" customFormat="1" ht="13.5" customHeight="1">
      <c r="A24" s="950" t="s">
        <v>792</v>
      </c>
      <c r="B24" s="258" t="s">
        <v>1053</v>
      </c>
      <c r="C24" s="1354">
        <f ca="1">ROUND(IF('数据-取费表'!B22&lt;=1,C19*F22*('数据-取费表'!B19/2+'数据-取费表'!B21),C19*(POWER((1+F22),('数据-取费表'!B19/2+'数据-取费表'!B21))-1)),0)</f>
        <v>73</v>
      </c>
      <c r="D24" s="281"/>
      <c r="E24" s="281"/>
      <c r="F24" s="282"/>
      <c r="G24" s="283" t="s">
        <v>109</v>
      </c>
    </row>
    <row r="25" spans="1:7" s="257" customFormat="1" ht="24">
      <c r="A25" s="950" t="s">
        <v>793</v>
      </c>
      <c r="B25" s="258" t="s">
        <v>1055</v>
      </c>
      <c r="C25" s="1354">
        <f ca="1">ROUND(IF('数据-取费表'!B22&lt;=1,C20*F22*'数据-取费表'!B23/2,C20*(POWER((1+F22),'数据-取费表'!B23/2)-1)),0)</f>
        <v>5</v>
      </c>
      <c r="D25" s="281"/>
      <c r="E25" s="284"/>
      <c r="F25" s="282"/>
      <c r="G25" s="285" t="s">
        <v>110</v>
      </c>
    </row>
    <row r="26" spans="1:7" s="257" customFormat="1">
      <c r="A26" s="950" t="s">
        <v>795</v>
      </c>
      <c r="B26" s="258" t="s">
        <v>1057</v>
      </c>
      <c r="C26" s="281">
        <f ca="1">ROUND(IF('数据-取费表'!B22&lt;=1,F21*F22*'数据-取费表'!B23/2,F21*(POWER((1+F22),'数据-取费表'!B23/2)-1)),4)</f>
        <v>2.0000000000000001E-4</v>
      </c>
      <c r="D26" s="281"/>
      <c r="E26" s="284"/>
      <c r="F26" s="282"/>
      <c r="G26" s="286"/>
    </row>
    <row r="27" spans="1:7" s="257" customFormat="1" ht="24.75">
      <c r="A27" s="947" t="s">
        <v>787</v>
      </c>
      <c r="B27" s="287" t="s">
        <v>112</v>
      </c>
      <c r="C27" s="288">
        <f>C28</f>
        <v>2250</v>
      </c>
      <c r="D27" s="278">
        <f>C29</f>
        <v>1E-3</v>
      </c>
      <c r="E27" s="279" t="s">
        <v>126</v>
      </c>
      <c r="F27" s="289">
        <f>'数据-取费表'!Q16</f>
        <v>0.1</v>
      </c>
      <c r="G27" s="290" t="s">
        <v>1066</v>
      </c>
    </row>
    <row r="28" spans="1:7" s="257" customFormat="1" ht="13.5" customHeight="1">
      <c r="A28" s="950" t="s">
        <v>794</v>
      </c>
      <c r="B28" s="291" t="s">
        <v>1059</v>
      </c>
      <c r="C28" s="292">
        <f>ROUND((C5+C19+C20)*F27*'数据-取费表'!B21/'数据-取费表'!B20,0)</f>
        <v>2250</v>
      </c>
      <c r="D28" s="278"/>
      <c r="E28" s="279"/>
      <c r="F28" s="289"/>
      <c r="G28" s="290"/>
    </row>
    <row r="29" spans="1:7" s="257" customFormat="1" ht="13.5" customHeight="1">
      <c r="A29" s="950" t="s">
        <v>792</v>
      </c>
      <c r="B29" s="291" t="s">
        <v>1060</v>
      </c>
      <c r="C29" s="281">
        <f>ROUND(C21*F27*'数据-取费表'!B21/'数据-取费表'!B20,4)</f>
        <v>1E-3</v>
      </c>
      <c r="D29" s="278"/>
      <c r="E29" s="279"/>
      <c r="F29" s="289"/>
      <c r="G29" s="290"/>
    </row>
    <row r="30" spans="1:7" s="257" customFormat="1" ht="13.5" customHeight="1">
      <c r="A30" s="947"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27472</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23402</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20799</v>
      </c>
      <c r="D34" s="260"/>
      <c r="E34" s="263"/>
      <c r="F34" s="300">
        <f>IF('数据-取费表'!B24=0,1,'数据-取费表'!N16)</f>
        <v>1</v>
      </c>
      <c r="G34" s="262" t="s">
        <v>116</v>
      </c>
    </row>
    <row r="35" spans="1:7" ht="13.5" customHeight="1">
      <c r="A35" s="950" t="s">
        <v>796</v>
      </c>
      <c r="B35" s="258" t="s">
        <v>60</v>
      </c>
      <c r="C35" s="263">
        <f>ROUND(C34*F35,0)</f>
        <v>624</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1667</v>
      </c>
      <c r="D37" s="260">
        <f>'数据-汇总表'!E3</f>
        <v>83329.149999999994</v>
      </c>
      <c r="E37" s="292">
        <f>'数据-取费表'!B35</f>
        <v>200</v>
      </c>
      <c r="F37" s="302"/>
      <c r="G37" s="304" t="s">
        <v>119</v>
      </c>
    </row>
    <row r="38" spans="1:7" ht="13.5" customHeight="1">
      <c r="A38" s="950" t="s">
        <v>799</v>
      </c>
      <c r="B38" s="258" t="s">
        <v>63</v>
      </c>
      <c r="C38" s="263">
        <f>ROUND(C34*F38,0)</f>
        <v>312</v>
      </c>
      <c r="D38" s="263"/>
      <c r="E38" s="263"/>
      <c r="F38" s="302">
        <f>'数据-取费表'!B36</f>
        <v>1.4999999999999999E-2</v>
      </c>
      <c r="G38" s="262" t="s">
        <v>117</v>
      </c>
    </row>
    <row r="39" spans="1:7" s="257" customFormat="1" ht="13.5" customHeight="1">
      <c r="A39" s="947" t="s">
        <v>783</v>
      </c>
      <c r="B39" s="253" t="s">
        <v>104</v>
      </c>
      <c r="C39" s="275">
        <f>ROUND(C33*F20,0)</f>
        <v>234</v>
      </c>
      <c r="D39" s="275"/>
      <c r="E39" s="275"/>
      <c r="F39" s="276"/>
      <c r="G39" s="1288" t="s">
        <v>1068</v>
      </c>
    </row>
    <row r="40" spans="1:7" s="257" customFormat="1" ht="13.5" customHeight="1">
      <c r="A40" s="947" t="s">
        <v>784</v>
      </c>
      <c r="B40" s="253" t="s">
        <v>105</v>
      </c>
      <c r="C40" s="305">
        <f>F21</f>
        <v>0.01</v>
      </c>
      <c r="D40" s="279" t="s">
        <v>129</v>
      </c>
      <c r="E40" s="275"/>
      <c r="F40" s="276"/>
      <c r="G40" s="277" t="s">
        <v>120</v>
      </c>
    </row>
    <row r="41" spans="1:7" s="257" customFormat="1" ht="13.5" customHeight="1">
      <c r="A41" s="947" t="s">
        <v>785</v>
      </c>
      <c r="B41" s="253" t="s">
        <v>107</v>
      </c>
      <c r="C41" s="275">
        <f ca="1">ROUND(SUM(C42:C43),0)</f>
        <v>514</v>
      </c>
      <c r="D41" s="278">
        <f ca="1">C44</f>
        <v>2.0000000000000001E-4</v>
      </c>
      <c r="E41" s="279" t="s">
        <v>129</v>
      </c>
      <c r="F41" s="280"/>
      <c r="G41" s="1288" t="str">
        <f>IF('数据-取费表'!B22&lt;=1,"单利计息","复利计息")</f>
        <v>单利计息</v>
      </c>
    </row>
    <row r="42" spans="1:7" ht="13.5" customHeight="1">
      <c r="A42" s="950" t="s">
        <v>794</v>
      </c>
      <c r="B42" s="258" t="s">
        <v>1058</v>
      </c>
      <c r="C42" s="281">
        <f ca="1">ROUND(IF('数据-取费表'!B22&lt;=1,C33*F22*'数据-取费表'!B21/2,C33*(POWER((1+F22),'数据-取费表'!B21/2)-1)),0)</f>
        <v>509</v>
      </c>
      <c r="D42" s="281"/>
      <c r="E42" s="281"/>
      <c r="F42" s="282"/>
      <c r="G42" s="3223" t="s">
        <v>121</v>
      </c>
    </row>
    <row r="43" spans="1:7" ht="13.5" customHeight="1">
      <c r="A43" s="950" t="s">
        <v>792</v>
      </c>
      <c r="B43" s="258" t="s">
        <v>1061</v>
      </c>
      <c r="C43" s="281">
        <f ca="1">ROUND(IF('数据-取费表'!B22&lt;=1,C39*F22*'数据-取费表'!B21/2,C39*(POWER((1+F22),'数据-取费表'!B21/2)-1)),0)</f>
        <v>5</v>
      </c>
      <c r="D43" s="281"/>
      <c r="E43" s="281"/>
      <c r="F43" s="282"/>
      <c r="G43" s="3224"/>
    </row>
    <row r="44" spans="1:7" ht="13.5" customHeight="1">
      <c r="A44" s="950" t="s">
        <v>793</v>
      </c>
      <c r="B44" s="258" t="s">
        <v>1063</v>
      </c>
      <c r="C44" s="281">
        <f ca="1">ROUND(IF('数据-取费表'!B22&lt;=1,C40*F22*'数据-取费表'!B21/2,C40*(POWER((1+F22),'数据-取费表'!B21/2)-1)),4)</f>
        <v>2.0000000000000001E-4</v>
      </c>
      <c r="D44" s="281"/>
      <c r="E44" s="281"/>
      <c r="F44" s="282"/>
      <c r="G44" s="3225"/>
    </row>
    <row r="45" spans="1:7" s="257" customFormat="1" ht="13.5" customHeight="1">
      <c r="A45" s="947" t="s">
        <v>786</v>
      </c>
      <c r="B45" s="287" t="s">
        <v>112</v>
      </c>
      <c r="C45" s="288">
        <f>C46</f>
        <v>2364</v>
      </c>
      <c r="D45" s="278">
        <f>C47</f>
        <v>1E-3</v>
      </c>
      <c r="E45" s="279" t="s">
        <v>129</v>
      </c>
      <c r="F45" s="289"/>
      <c r="G45" s="290" t="s">
        <v>1069</v>
      </c>
    </row>
    <row r="46" spans="1:7" s="257" customFormat="1" ht="13.5" customHeight="1">
      <c r="A46" s="950" t="s">
        <v>794</v>
      </c>
      <c r="B46" s="291" t="s">
        <v>1062</v>
      </c>
      <c r="C46" s="292">
        <f>ROUND((C33+C39)*F27,0)</f>
        <v>2364</v>
      </c>
      <c r="D46" s="306"/>
      <c r="E46" s="279"/>
      <c r="F46" s="289"/>
      <c r="G46" s="290"/>
    </row>
    <row r="47" spans="1:7" s="257" customFormat="1" ht="13.5" customHeight="1">
      <c r="A47" s="950" t="s">
        <v>792</v>
      </c>
      <c r="B47" s="291" t="s">
        <v>1064</v>
      </c>
      <c r="C47" s="281">
        <f>ROUND(C40*F27,4)</f>
        <v>1E-3</v>
      </c>
      <c r="D47" s="306"/>
      <c r="E47" s="279"/>
      <c r="F47" s="289"/>
      <c r="G47" s="290"/>
    </row>
    <row r="48" spans="1:7" s="257" customFormat="1" ht="13.5" customHeight="1">
      <c r="A48" s="947" t="s">
        <v>787</v>
      </c>
      <c r="B48" s="253" t="s">
        <v>122</v>
      </c>
      <c r="C48" s="305">
        <f>F30</f>
        <v>5.5000000000000007E-2</v>
      </c>
      <c r="D48" s="279" t="s">
        <v>130</v>
      </c>
      <c r="E48" s="275"/>
      <c r="F48" s="280"/>
      <c r="G48" s="277" t="s">
        <v>123</v>
      </c>
    </row>
    <row r="49" spans="1:7" ht="16.5" customHeight="1">
      <c r="A49" s="947" t="s">
        <v>788</v>
      </c>
      <c r="B49" s="253" t="s">
        <v>131</v>
      </c>
      <c r="C49" s="275">
        <f ca="1">ROUND((C33+C39+C41+C45)/(1-C40-D41-D45-C48/(1+'数据-取费表'!B42)),0)</f>
        <v>28314</v>
      </c>
      <c r="D49" s="275"/>
      <c r="E49" s="275"/>
      <c r="F49" s="307"/>
      <c r="G49" s="277" t="s">
        <v>1070</v>
      </c>
    </row>
    <row r="50" spans="1:7" s="301" customFormat="1" ht="24">
      <c r="A50" s="947" t="s">
        <v>789</v>
      </c>
      <c r="B50" s="253" t="s">
        <v>124</v>
      </c>
      <c r="C50" s="275"/>
      <c r="D50" s="275"/>
      <c r="E50" s="275"/>
      <c r="F50" s="307">
        <f>IF('数据-取费表'!B24=0,'数据-取费表'!N16,1)</f>
        <v>0.94</v>
      </c>
      <c r="G50" s="290" t="s">
        <v>125</v>
      </c>
    </row>
    <row r="51" spans="1:7" ht="16.5" customHeight="1">
      <c r="A51" s="947" t="s">
        <v>790</v>
      </c>
      <c r="B51" s="253" t="s">
        <v>132</v>
      </c>
      <c r="C51" s="275">
        <f ca="1">ROUND(C49*F50,0)</f>
        <v>26615</v>
      </c>
      <c r="D51" s="275"/>
      <c r="E51" s="275"/>
      <c r="F51" s="307"/>
      <c r="G51" s="277" t="s">
        <v>64</v>
      </c>
    </row>
    <row r="52" spans="1:7" s="251" customFormat="1" ht="16.5" thickBot="1">
      <c r="A52" s="308" t="s">
        <v>65</v>
      </c>
      <c r="B52" s="309"/>
      <c r="C52" s="310">
        <f ca="1">C31+C51</f>
        <v>54087</v>
      </c>
      <c r="D52" s="309"/>
      <c r="E52" s="309"/>
      <c r="F52" s="309"/>
      <c r="G52" s="311"/>
    </row>
    <row r="55" spans="1:7" ht="15">
      <c r="B55" s="313" t="s">
        <v>66</v>
      </c>
      <c r="C55" s="314"/>
    </row>
    <row r="56" spans="1:7">
      <c r="B56" s="316" t="s">
        <v>67</v>
      </c>
      <c r="C56" s="317">
        <f ca="1">ROUND(C51/C52,3)</f>
        <v>0.49199999999999999</v>
      </c>
    </row>
    <row r="57" spans="1:7">
      <c r="B57" s="316" t="s">
        <v>68</v>
      </c>
      <c r="C57" s="318">
        <f ca="1">1-C56</f>
        <v>0.50800000000000001</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77" t="s">
        <v>156</v>
      </c>
      <c r="B1" s="3377"/>
      <c r="C1" s="3377"/>
      <c r="D1" s="3377"/>
      <c r="E1" s="3377"/>
      <c r="F1" s="3377"/>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78" t="s">
        <v>169</v>
      </c>
      <c r="B2" s="3378"/>
      <c r="C2" s="3378"/>
      <c r="D2" s="3378"/>
      <c r="E2" s="3378"/>
      <c r="F2" s="3378"/>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79"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80"/>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1"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77" t="s">
        <v>868</v>
      </c>
      <c r="B1" s="3377"/>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43691</v>
      </c>
      <c r="D1" s="1699" t="s">
        <v>1297</v>
      </c>
      <c r="E1" s="1694">
        <f>'数据-取费表'!B22</f>
        <v>1</v>
      </c>
      <c r="F1" s="1699" t="s">
        <v>1298</v>
      </c>
      <c r="G1" s="1695">
        <f ca="1">INDIRECT("d"&amp;$K$1)/100</f>
        <v>4.3499999999999997E-2</v>
      </c>
      <c r="H1" s="1699" t="s">
        <v>1328</v>
      </c>
      <c r="I1" s="1695">
        <f ca="1">F4/100</f>
        <v>1.4999999999999999E-2</v>
      </c>
      <c r="J1" s="1700">
        <f>IF(C1&gt;C13,0,MATCH(C1,C$13:C$100,-1))+IF(SUMIF(C13:C100,C1,D13:D100)=0,13,12)</f>
        <v>13</v>
      </c>
      <c r="K1" s="1700">
        <f ca="1">MATCH(E1,C3:C7,1)+IF(SUMIF(C3:C7,E1,D3:D7)=0,2,1)</f>
        <v>4</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53" t="str">
        <f>IF(项目基本情况!B9="房地产市场价值","估价结果一览表","结果表-2")</f>
        <v>结果表-2</v>
      </c>
      <c r="B1" s="3053"/>
      <c r="C1" s="3053"/>
      <c r="D1" s="3053"/>
      <c r="E1" s="3053"/>
      <c r="F1" s="3053"/>
      <c r="G1" s="3053"/>
      <c r="H1" s="3053"/>
      <c r="I1" s="3053"/>
    </row>
    <row r="2" spans="1:9" ht="30" customHeight="1" thickTop="1">
      <c r="A2" s="3054" t="s">
        <v>1635</v>
      </c>
      <c r="B2" s="3054" t="s">
        <v>1636</v>
      </c>
      <c r="C2" s="3054" t="s">
        <v>1637</v>
      </c>
      <c r="D2" s="3054" t="str">
        <f>结果表!D116</f>
        <v>出让国有建设用地使用权价值</v>
      </c>
      <c r="E2" s="3054"/>
      <c r="F2" s="3054" t="str">
        <f>结果表!F116</f>
        <v>建筑物价值</v>
      </c>
      <c r="G2" s="3054"/>
      <c r="H2" s="3054" t="str">
        <f>IF(项目基本情况!B9="房地产市场价值","房地产市场价值","房地产价值")</f>
        <v>房地产价值</v>
      </c>
      <c r="I2" s="3054"/>
    </row>
    <row r="3" spans="1:9" ht="15">
      <c r="A3" s="3048"/>
      <c r="B3" s="3048"/>
      <c r="C3" s="3048"/>
      <c r="D3" s="1043" t="s">
        <v>1632</v>
      </c>
      <c r="E3" s="1043" t="s">
        <v>1638</v>
      </c>
      <c r="F3" s="1043" t="s">
        <v>1632</v>
      </c>
      <c r="G3" s="1043" t="s">
        <v>1633</v>
      </c>
      <c r="H3" s="1043" t="s">
        <v>1632</v>
      </c>
      <c r="I3" s="1043" t="s">
        <v>1633</v>
      </c>
    </row>
    <row r="4" spans="1:9" ht="30">
      <c r="A4" s="1971" t="str">
        <f>项目基本情况!S2</f>
        <v>北京市通州区永乐南一街9号院1号楼等7幢楼房地产</v>
      </c>
      <c r="B4" s="1043">
        <f>项目基本情况!C17</f>
        <v>83329.149999999994</v>
      </c>
      <c r="C4" s="1043">
        <f>项目基本情况!C18</f>
        <v>86905.919999999998</v>
      </c>
      <c r="D4" s="1043">
        <f ca="1">结果表!D118</f>
        <v>11096</v>
      </c>
      <c r="E4" s="1043">
        <f ca="1">结果表!E118</f>
        <v>1331</v>
      </c>
      <c r="F4" s="1043">
        <f ca="1">结果表!F118</f>
        <v>30461</v>
      </c>
      <c r="G4" s="1043">
        <f ca="1">结果表!G118</f>
        <v>3656</v>
      </c>
      <c r="H4" s="1043">
        <f ca="1">结果表!H118</f>
        <v>41557</v>
      </c>
      <c r="I4" s="1043">
        <f ca="1">结果表!I118</f>
        <v>4987</v>
      </c>
    </row>
    <row r="5" spans="1:9" ht="30" customHeight="1">
      <c r="A5" s="3048" t="s">
        <v>1634</v>
      </c>
      <c r="B5" s="3048"/>
      <c r="C5" s="3048"/>
      <c r="D5" s="3049" t="str">
        <f ca="1">结果表!D119</f>
        <v>壹亿壹仟零玖拾陆万元整</v>
      </c>
      <c r="E5" s="3049"/>
      <c r="F5" s="3049" t="str">
        <f ca="1">结果表!F119</f>
        <v>叁亿零肆佰陆拾壹万元整</v>
      </c>
      <c r="G5" s="3049"/>
      <c r="H5" s="3049" t="str">
        <f ca="1">结果表!H119</f>
        <v>肆亿壹仟伍佰伍拾柒万元整</v>
      </c>
      <c r="I5" s="3049"/>
    </row>
    <row r="6" spans="1:9" ht="15.75">
      <c r="A6" s="3047" t="str">
        <f>结果表!A120</f>
        <v>估价师知悉的法定优先受偿款</v>
      </c>
      <c r="B6" s="3047"/>
      <c r="C6" s="3047"/>
      <c r="D6" s="3047">
        <f>结果表!D120</f>
        <v>0</v>
      </c>
      <c r="E6" s="3047"/>
      <c r="F6" s="3047"/>
      <c r="G6" s="3047"/>
      <c r="H6" s="3047"/>
      <c r="I6" s="3047"/>
    </row>
    <row r="7" spans="1:9" ht="15">
      <c r="A7" s="3048" t="s">
        <v>1634</v>
      </c>
      <c r="B7" s="3048"/>
      <c r="C7" s="3048"/>
      <c r="D7" s="3050" t="str">
        <f>结果表!D121</f>
        <v>零元整</v>
      </c>
      <c r="E7" s="3051"/>
      <c r="F7" s="3051"/>
      <c r="G7" s="3051"/>
      <c r="H7" s="3051"/>
      <c r="I7" s="3052"/>
    </row>
    <row r="8" spans="1:9" ht="15.75">
      <c r="A8" s="3047" t="str">
        <f>结果表!A122</f>
        <v>房地产抵押价值</v>
      </c>
      <c r="B8" s="3047"/>
      <c r="C8" s="3047"/>
      <c r="D8" s="3047">
        <f ca="1">结果表!D122</f>
        <v>41557</v>
      </c>
      <c r="E8" s="3047"/>
      <c r="F8" s="3047"/>
      <c r="G8" s="3047"/>
      <c r="H8" s="3047"/>
      <c r="I8" s="3047"/>
    </row>
    <row r="9" spans="1:9" ht="15">
      <c r="A9" s="3048" t="s">
        <v>1634</v>
      </c>
      <c r="B9" s="3048"/>
      <c r="C9" s="3048"/>
      <c r="D9" s="3049" t="str">
        <f ca="1">结果表!D123</f>
        <v>肆亿壹仟伍佰伍拾柒万元整</v>
      </c>
      <c r="E9" s="3049"/>
      <c r="F9" s="3049"/>
      <c r="G9" s="3049"/>
      <c r="H9" s="3049"/>
      <c r="I9" s="3049"/>
    </row>
    <row r="10" spans="1:9" ht="15.75">
      <c r="A10" s="3047" t="str">
        <f>结果表!A124</f>
        <v/>
      </c>
      <c r="B10" s="3047"/>
      <c r="C10" s="3047"/>
      <c r="D10" s="3047" t="str">
        <f>结果表!D124</f>
        <v>——</v>
      </c>
      <c r="E10" s="3047"/>
      <c r="F10" s="3047"/>
      <c r="G10" s="3047"/>
      <c r="H10" s="3047"/>
      <c r="I10" s="3047"/>
    </row>
    <row r="11" spans="1:9" ht="15">
      <c r="A11" s="3048" t="s">
        <v>1634</v>
      </c>
      <c r="B11" s="3048"/>
      <c r="C11" s="3048"/>
      <c r="D11" s="3049" t="e">
        <f>结果表!D125</f>
        <v>#VALUE!</v>
      </c>
      <c r="E11" s="3049"/>
      <c r="F11" s="3049"/>
      <c r="G11" s="3049"/>
      <c r="H11" s="3049"/>
      <c r="I11" s="3049"/>
    </row>
    <row r="12" spans="1:9" ht="15.75">
      <c r="A12" s="3047" t="str">
        <f>结果表!A126</f>
        <v>抵押净值</v>
      </c>
      <c r="B12" s="3047"/>
      <c r="C12" s="3047"/>
      <c r="D12" s="3047">
        <f ca="1">结果表!D126</f>
        <v>40239</v>
      </c>
      <c r="E12" s="3047"/>
      <c r="F12" s="3047"/>
      <c r="G12" s="3047"/>
      <c r="H12" s="3047"/>
      <c r="I12" s="3047"/>
    </row>
    <row r="13" spans="1:9" ht="15.75" thickBot="1">
      <c r="A13" s="3044" t="s">
        <v>1634</v>
      </c>
      <c r="B13" s="3044"/>
      <c r="C13" s="3044"/>
      <c r="D13" s="3045" t="str">
        <f ca="1">结果表!D127</f>
        <v>肆亿零贰佰叁拾玖万元整</v>
      </c>
      <c r="E13" s="3045"/>
      <c r="F13" s="3045"/>
      <c r="G13" s="3045"/>
      <c r="H13" s="3045"/>
      <c r="I13" s="3045"/>
    </row>
    <row r="14" spans="1:9" ht="15" thickTop="1">
      <c r="A14" s="3046" t="s">
        <v>1639</v>
      </c>
      <c r="B14" s="3046"/>
      <c r="C14" s="3046"/>
      <c r="D14" s="3046"/>
      <c r="E14" s="3046"/>
      <c r="F14" s="3046"/>
      <c r="G14" s="3046"/>
      <c r="H14" s="3046"/>
      <c r="I14" s="3046"/>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61" t="s">
        <v>1656</v>
      </c>
      <c r="B1" s="3061"/>
      <c r="C1" s="3061"/>
      <c r="D1" s="3061"/>
    </row>
    <row r="2" spans="1:4" ht="18">
      <c r="A2" s="3062" t="s">
        <v>1640</v>
      </c>
      <c r="B2" s="3062"/>
      <c r="C2" s="3062"/>
      <c r="D2" s="3062"/>
    </row>
    <row r="3" spans="1:4" ht="18.75">
      <c r="A3" s="1975" t="s">
        <v>1641</v>
      </c>
      <c r="B3" s="1975" t="s">
        <v>1642</v>
      </c>
      <c r="C3" s="1975" t="s">
        <v>1643</v>
      </c>
      <c r="D3" s="1975" t="s">
        <v>1644</v>
      </c>
    </row>
    <row r="4" spans="1:4" ht="56.25" customHeight="1">
      <c r="A4" s="1976" t="str">
        <f>项目基本情况!B4</f>
        <v>郑燚</v>
      </c>
      <c r="B4" s="1977">
        <f ca="1">项目基本情况!C4</f>
        <v>1120070131</v>
      </c>
      <c r="C4" s="1978"/>
      <c r="D4" s="1979" t="s">
        <v>1645</v>
      </c>
    </row>
    <row r="5" spans="1:4" ht="56.25" customHeight="1">
      <c r="A5" s="1976" t="str">
        <f>项目基本情况!D4</f>
        <v>王鹏</v>
      </c>
      <c r="B5" s="1977">
        <f ca="1">项目基本情况!E4</f>
        <v>1120050019</v>
      </c>
      <c r="C5" s="1980"/>
      <c r="D5" s="1979" t="s">
        <v>1645</v>
      </c>
    </row>
    <row r="6" spans="1:4" ht="18">
      <c r="A6" s="3062" t="s">
        <v>1646</v>
      </c>
      <c r="B6" s="3062"/>
      <c r="C6" s="3062"/>
      <c r="D6" s="3062"/>
    </row>
    <row r="7" spans="1:4" ht="18.75">
      <c r="A7" s="1975" t="s">
        <v>1641</v>
      </c>
      <c r="B7" s="1977" t="s">
        <v>1647</v>
      </c>
      <c r="C7" s="1975" t="s">
        <v>1643</v>
      </c>
      <c r="D7" s="1975" t="s">
        <v>1644</v>
      </c>
    </row>
    <row r="8" spans="1:4" ht="56.25" customHeight="1">
      <c r="A8" s="1981" t="s">
        <v>866</v>
      </c>
      <c r="B8" s="1981" t="s">
        <v>1</v>
      </c>
      <c r="C8" s="1978"/>
      <c r="D8" s="1979" t="s">
        <v>1645</v>
      </c>
    </row>
    <row r="9" spans="1:4">
      <c r="A9" s="727"/>
      <c r="B9" s="727"/>
      <c r="C9" s="727"/>
      <c r="D9" s="727"/>
    </row>
    <row r="10" spans="1:4" ht="18.75">
      <c r="A10" s="1982" t="s">
        <v>1648</v>
      </c>
      <c r="B10" s="727"/>
      <c r="C10" s="727"/>
      <c r="D10" s="727"/>
    </row>
    <row r="11" spans="1:4" ht="30" customHeight="1">
      <c r="A11" s="3063" t="s">
        <v>1649</v>
      </c>
      <c r="B11" s="3055"/>
      <c r="C11" s="3055"/>
      <c r="D11" s="3055"/>
    </row>
    <row r="12" spans="1:4" ht="15.75">
      <c r="A12" s="30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0"/>
      <c r="C12" s="3060"/>
      <c r="D12" s="3060"/>
    </row>
    <row r="13" spans="1:4" ht="30" customHeight="1">
      <c r="A13" s="30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0"/>
      <c r="C13" s="3060"/>
      <c r="D13" s="3060"/>
    </row>
    <row r="14" spans="1:4" ht="15.75" customHeight="1">
      <c r="A14" s="3055" t="str">
        <f>IF(项目基本情况!B8="抵押","4.本次评估估价师所知悉的法定优先受偿款情况说明如下：","——")</f>
        <v>4.本次评估估价师所知悉的法定优先受偿款情况说明如下：</v>
      </c>
      <c r="B14" s="3060"/>
      <c r="C14" s="3060"/>
      <c r="D14" s="3060"/>
    </row>
    <row r="15" spans="1:4" ht="42" customHeight="1">
      <c r="A15" s="305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根据《房屋他项权利证书》原件，估价对象已抵押给，权利范围为，权利价值为。</v>
      </c>
      <c r="B15" s="3055"/>
      <c r="C15" s="3055"/>
      <c r="D15" s="3055"/>
    </row>
    <row r="16" spans="1:4" ht="30" customHeight="1">
      <c r="A16" s="3057" t="s">
        <v>1650</v>
      </c>
      <c r="B16" s="3057"/>
      <c r="C16" s="3057"/>
      <c r="D16" s="3057"/>
    </row>
    <row r="17" spans="1:4" ht="144" customHeight="1">
      <c r="A17" s="3057" t="s">
        <v>1651</v>
      </c>
      <c r="B17" s="3057"/>
      <c r="C17" s="3057"/>
      <c r="D17" s="3057"/>
    </row>
    <row r="18" spans="1:4" ht="15.75" customHeight="1">
      <c r="A18" s="3055" t="str">
        <f>IF(项目基本情况!B8="抵押",结果表!K120,"——")</f>
        <v>故，本次评估不存在估价师知悉的法定优先受偿款</v>
      </c>
      <c r="B18" s="3055"/>
      <c r="C18" s="3055"/>
      <c r="D18" s="3055"/>
    </row>
    <row r="19" spans="1:4" ht="46.5" customHeight="1">
      <c r="A19" s="30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5"/>
      <c r="C19" s="3055"/>
      <c r="D19" s="3055"/>
    </row>
    <row r="20" spans="1:4" ht="57.75" customHeight="1">
      <c r="A20" s="30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5"/>
      <c r="C20" s="3055"/>
      <c r="D20" s="3055"/>
    </row>
    <row r="21" spans="1:4" ht="57.75" customHeight="1">
      <c r="A21" s="30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8"/>
      <c r="C21" s="3058"/>
      <c r="D21" s="3058"/>
    </row>
    <row r="22" spans="1:4" ht="18.75" customHeight="1">
      <c r="A22" s="3059" t="s">
        <v>1652</v>
      </c>
      <c r="B22" s="3059"/>
      <c r="C22" s="3059"/>
      <c r="D22" s="3059"/>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3056">
        <v>42551</v>
      </c>
      <c r="D31" s="305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3.5">
      <c r="A15" s="3069" t="s">
        <v>1663</v>
      </c>
      <c r="B15" s="3064" t="s">
        <v>136</v>
      </c>
      <c r="C15" s="3065"/>
    </row>
    <row r="16" spans="1:7" ht="13.5">
      <c r="A16" s="3070"/>
      <c r="B16" s="3064" t="s">
        <v>69</v>
      </c>
      <c r="C16" s="3065"/>
    </row>
    <row r="17" spans="1:3" ht="13.5">
      <c r="A17" s="3070"/>
      <c r="B17" s="3067" t="s">
        <v>1664</v>
      </c>
      <c r="C17" s="1998" t="s">
        <v>1663</v>
      </c>
    </row>
    <row r="18" spans="1:3" ht="13.5">
      <c r="A18" s="3070"/>
      <c r="B18" s="3067"/>
      <c r="C18" s="1998" t="s">
        <v>1665</v>
      </c>
    </row>
    <row r="19" spans="1:3" ht="13.5">
      <c r="A19" s="3070"/>
      <c r="B19" s="3067"/>
      <c r="C19" s="1998" t="s">
        <v>1666</v>
      </c>
    </row>
    <row r="20" spans="1:3" ht="13.5">
      <c r="A20" s="3071"/>
      <c r="B20" s="3066" t="s">
        <v>1667</v>
      </c>
      <c r="C20" s="3065"/>
    </row>
    <row r="21" spans="1:3" ht="13.5">
      <c r="A21" s="1999" t="s">
        <v>1668</v>
      </c>
      <c r="B21" s="2000"/>
      <c r="C21" s="2001"/>
    </row>
    <row r="22" spans="1:3" ht="13.5">
      <c r="A22" s="3068" t="s">
        <v>1669</v>
      </c>
      <c r="B22" s="3066" t="s">
        <v>1670</v>
      </c>
      <c r="C22" s="3065"/>
    </row>
    <row r="23" spans="1:3" ht="13.5">
      <c r="A23" s="3068"/>
      <c r="B23" s="3066" t="s">
        <v>1671</v>
      </c>
      <c r="C23" s="3065"/>
    </row>
    <row r="24" spans="1:3" ht="13.5">
      <c r="A24" s="3068"/>
      <c r="B24" s="3066" t="s">
        <v>1672</v>
      </c>
      <c r="C24" s="3065"/>
    </row>
    <row r="25" spans="1:3" ht="13.5">
      <c r="A25" s="3068"/>
      <c r="B25" s="3067" t="s">
        <v>1673</v>
      </c>
      <c r="C25" s="1998" t="s">
        <v>1674</v>
      </c>
    </row>
    <row r="26" spans="1:3" ht="13.5">
      <c r="A26" s="3068"/>
      <c r="B26" s="3067"/>
      <c r="C26" s="1998" t="s">
        <v>1675</v>
      </c>
    </row>
    <row r="27" spans="1:3" ht="13.5">
      <c r="A27" s="3068"/>
      <c r="B27" s="3067"/>
      <c r="C27" s="1998" t="s">
        <v>1676</v>
      </c>
    </row>
    <row r="28" spans="1:3" ht="13.5">
      <c r="A28" s="3068"/>
      <c r="B28" s="3067"/>
      <c r="C28" s="1998" t="s">
        <v>1677</v>
      </c>
    </row>
    <row r="29" spans="1:3" ht="13.5">
      <c r="A29" s="3068"/>
      <c r="B29" s="3067"/>
      <c r="C29" s="1998" t="s">
        <v>1678</v>
      </c>
    </row>
    <row r="30" spans="1:3" ht="13.5">
      <c r="A30" s="3068"/>
      <c r="B30" s="3067"/>
      <c r="C30" s="1998" t="s">
        <v>1679</v>
      </c>
    </row>
    <row r="31" spans="1:3" ht="13.5">
      <c r="A31" s="3068"/>
      <c r="B31" s="3067"/>
      <c r="C31" s="1998" t="s">
        <v>1680</v>
      </c>
    </row>
    <row r="32" spans="1:3" ht="13.5">
      <c r="A32" s="3068"/>
      <c r="B32" s="3067"/>
      <c r="C32" s="1998" t="s">
        <v>1681</v>
      </c>
    </row>
    <row r="33" spans="1:3" ht="13.5">
      <c r="A33" s="3068"/>
      <c r="B33" s="3067"/>
      <c r="C33" s="1998" t="s">
        <v>1682</v>
      </c>
    </row>
    <row r="34" spans="1:3">
      <c r="A34" s="2002" t="s">
        <v>76</v>
      </c>
    </row>
    <row r="37" spans="1:3">
      <c r="A37" s="2002" t="s">
        <v>1683</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43696</v>
      </c>
      <c r="C2" s="1018" t="s">
        <v>826</v>
      </c>
      <c r="D2" s="1018"/>
    </row>
    <row r="3" spans="1:6" ht="24" customHeight="1">
      <c r="A3" s="1019" t="s">
        <v>827</v>
      </c>
      <c r="B3" s="1020" t="s">
        <v>828</v>
      </c>
      <c r="C3" s="2342" t="s">
        <v>829</v>
      </c>
      <c r="D3" s="2345" t="s">
        <v>830</v>
      </c>
      <c r="E3" s="1021" t="s">
        <v>831</v>
      </c>
      <c r="F3" s="1020" t="s">
        <v>829</v>
      </c>
    </row>
    <row r="4" spans="1:6" ht="24" customHeight="1">
      <c r="A4" s="1701" t="s">
        <v>832</v>
      </c>
      <c r="B4" s="1021">
        <f ca="1">IF(C4&lt;B2,"已过期",1119970066)</f>
        <v>1119970066</v>
      </c>
      <c r="C4" s="2343">
        <v>43849</v>
      </c>
      <c r="D4" s="2346" t="s">
        <v>832</v>
      </c>
      <c r="E4" s="1021">
        <f ca="1">IF(F4&lt;B2,"已过期",96010014)</f>
        <v>96010014</v>
      </c>
      <c r="F4" s="1029">
        <v>47118</v>
      </c>
    </row>
    <row r="5" spans="1:6" ht="24" customHeight="1">
      <c r="A5" s="1701" t="s">
        <v>833</v>
      </c>
      <c r="B5" s="1021">
        <f ca="1">IF(C5&lt;B2,"已过期",1119970074)</f>
        <v>1119970074</v>
      </c>
      <c r="C5" s="2343">
        <v>43849</v>
      </c>
      <c r="D5" s="2346" t="s">
        <v>833</v>
      </c>
      <c r="E5" s="1021">
        <f ca="1">IF(F5&lt;B2,"已过期",2002110027)</f>
        <v>2002110027</v>
      </c>
      <c r="F5" s="1029">
        <v>46752</v>
      </c>
    </row>
    <row r="6" spans="1:6" ht="24" customHeight="1">
      <c r="A6" s="1701" t="s">
        <v>834</v>
      </c>
      <c r="B6" s="1021">
        <f ca="1">IF(C6&lt;B2,"已过期",1119970111)</f>
        <v>1119970111</v>
      </c>
      <c r="C6" s="2343">
        <v>43849</v>
      </c>
      <c r="D6" s="2346" t="s">
        <v>834</v>
      </c>
      <c r="E6" s="1021">
        <f ca="1">IF(F6&lt;B2,"已过期",94010078)</f>
        <v>94010078</v>
      </c>
      <c r="F6" s="1029">
        <v>46387</v>
      </c>
    </row>
    <row r="7" spans="1:6" ht="24" customHeight="1">
      <c r="A7" s="1701" t="s">
        <v>835</v>
      </c>
      <c r="B7" s="1021">
        <f ca="1">IF(C7&lt;B2,"已过期",1120050019)</f>
        <v>1120050019</v>
      </c>
      <c r="C7" s="2343">
        <v>44395</v>
      </c>
      <c r="D7" s="2346" t="s">
        <v>835</v>
      </c>
      <c r="E7" s="1021">
        <f ca="1">IF(F7&lt;B2,"已过期",2002110030)</f>
        <v>2002110030</v>
      </c>
      <c r="F7" s="1029">
        <v>46387</v>
      </c>
    </row>
    <row r="8" spans="1:6" ht="24" customHeight="1">
      <c r="A8" s="1701" t="s">
        <v>836</v>
      </c>
      <c r="B8" s="1021">
        <f ca="1">IF(C8&lt;B2,"已过期",1120000080)</f>
        <v>1120000080</v>
      </c>
      <c r="C8" s="2343">
        <v>43849</v>
      </c>
      <c r="D8" s="2346" t="s">
        <v>836</v>
      </c>
      <c r="E8" s="1021">
        <f ca="1">IF(F8&lt;B2,"已过期",2000110082)</f>
        <v>2000110082</v>
      </c>
      <c r="F8" s="1029">
        <v>46387</v>
      </c>
    </row>
    <row r="9" spans="1:6" ht="24" customHeight="1">
      <c r="A9" s="1701" t="s">
        <v>837</v>
      </c>
      <c r="B9" s="1021">
        <f ca="1">IF(C9&lt;B2,"已过期",1419970001)</f>
        <v>1419970001</v>
      </c>
      <c r="C9" s="2343">
        <v>43867</v>
      </c>
      <c r="D9" s="2346" t="s">
        <v>837</v>
      </c>
      <c r="E9" s="1021">
        <f ca="1">IF(F9&lt;B2,"已过期",2002110125)</f>
        <v>2002110125</v>
      </c>
      <c r="F9" s="1029">
        <v>47118</v>
      </c>
    </row>
    <row r="10" spans="1:6" ht="24" customHeight="1">
      <c r="A10" s="1701" t="s">
        <v>838</v>
      </c>
      <c r="B10" s="1021">
        <f ca="1">IF(C10&lt;B2,"已过期",1120060040)</f>
        <v>1120060040</v>
      </c>
      <c r="C10" s="2343">
        <v>44554</v>
      </c>
      <c r="D10" s="2346" t="s">
        <v>838</v>
      </c>
      <c r="E10" s="1021">
        <f ca="1">IF(F10&lt;B2,"已过期",2004110096)</f>
        <v>2004110096</v>
      </c>
      <c r="F10" s="1029">
        <v>47118</v>
      </c>
    </row>
    <row r="11" spans="1:6" ht="24" customHeight="1">
      <c r="A11" s="1701" t="s">
        <v>839</v>
      </c>
      <c r="B11" s="1021">
        <f ca="1">IF(C11&lt;B2,"已过期",1120100036)</f>
        <v>1120100036</v>
      </c>
      <c r="C11" s="2343">
        <v>44675</v>
      </c>
      <c r="D11" s="2346" t="s">
        <v>839</v>
      </c>
      <c r="E11" s="1021">
        <f ca="1">IF(F11&lt;B2,"已过期",2010110070)</f>
        <v>2010110070</v>
      </c>
      <c r="F11" s="1029">
        <v>47907</v>
      </c>
    </row>
    <row r="12" spans="1:6" ht="24" customHeight="1">
      <c r="A12" s="1701"/>
      <c r="B12" s="1021"/>
      <c r="C12" s="2926"/>
      <c r="D12" s="1701"/>
      <c r="E12" s="1021"/>
      <c r="F12" s="1029"/>
    </row>
    <row r="13" spans="1:6" ht="24" customHeight="1">
      <c r="A13" s="1701" t="s">
        <v>840</v>
      </c>
      <c r="B13" s="1021">
        <f ca="1">IF(C13&lt;B2,"已过期",1120070131)</f>
        <v>1120070131</v>
      </c>
      <c r="C13" s="2343">
        <v>43814</v>
      </c>
      <c r="D13" s="2346" t="s">
        <v>840</v>
      </c>
      <c r="E13" s="1021">
        <f ca="1">IF(F13&lt;B2,"已过期",2014110011)</f>
        <v>2014110011</v>
      </c>
      <c r="F13" s="1029">
        <v>49302</v>
      </c>
    </row>
    <row r="14" spans="1:6" ht="24" customHeight="1">
      <c r="A14" s="1701" t="s">
        <v>3038</v>
      </c>
      <c r="B14" s="1021">
        <f ca="1">IF(C14&lt;B2,"已过期",1120040230)</f>
        <v>1120040230</v>
      </c>
      <c r="C14" s="2343">
        <v>43835</v>
      </c>
      <c r="D14" s="2346" t="s">
        <v>3038</v>
      </c>
      <c r="E14" s="1021">
        <f ca="1">IF(F14&lt;B2,"已过期",98030020)</f>
        <v>98030020</v>
      </c>
      <c r="F14" s="1029">
        <v>47118</v>
      </c>
    </row>
    <row r="15" spans="1:6" ht="24" customHeight="1">
      <c r="A15" s="1702" t="s">
        <v>3039</v>
      </c>
      <c r="B15" s="1021">
        <f ca="1">IF(C15&lt;B2,"已过期",1120070085)</f>
        <v>1120070085</v>
      </c>
      <c r="C15" s="2343">
        <v>43814</v>
      </c>
      <c r="D15" s="2347" t="s">
        <v>3039</v>
      </c>
      <c r="E15" s="1021">
        <f ca="1">IF(F15&lt;B2,"已过期",2004110128)</f>
        <v>2004110128</v>
      </c>
      <c r="F15" s="1022">
        <v>47118</v>
      </c>
    </row>
    <row r="16" spans="1:6" ht="24" customHeight="1">
      <c r="A16" s="1701" t="s">
        <v>3040</v>
      </c>
      <c r="B16" s="1021">
        <f ca="1">IF(C16&lt;B2,"已过期",1120140022)</f>
        <v>1120140022</v>
      </c>
      <c r="C16" s="2926">
        <v>44029</v>
      </c>
      <c r="D16" s="2346" t="s">
        <v>3040</v>
      </c>
      <c r="E16" s="1021">
        <f ca="1">IF(F16&lt;B2,"已过期",2008110059)</f>
        <v>2008110059</v>
      </c>
      <c r="F16" s="1029">
        <v>47177</v>
      </c>
    </row>
    <row r="17" spans="1:7" ht="24" customHeight="1">
      <c r="A17" s="1701"/>
      <c r="B17" s="1021"/>
      <c r="C17" s="2343"/>
      <c r="D17" s="2346" t="s">
        <v>3041</v>
      </c>
      <c r="E17" s="1021">
        <f ca="1">IF(F17&lt;B2,"已过期",2014110076)</f>
        <v>2014110076</v>
      </c>
      <c r="F17" s="1029">
        <v>49302</v>
      </c>
    </row>
    <row r="18" spans="1:7" ht="24" customHeight="1">
      <c r="A18" s="1701"/>
      <c r="B18" s="1021"/>
      <c r="C18" s="2343"/>
      <c r="D18" s="2346"/>
      <c r="E18" s="1021"/>
      <c r="F18" s="1029"/>
    </row>
    <row r="19" spans="1:7" ht="24" customHeight="1">
      <c r="A19" s="1701"/>
      <c r="B19" s="1021"/>
      <c r="C19" s="2343"/>
      <c r="D19" s="2346"/>
      <c r="E19" s="1021"/>
      <c r="F19" s="1021"/>
    </row>
    <row r="20" spans="1:7" ht="24" customHeight="1">
      <c r="A20" s="1701"/>
      <c r="B20" s="1021"/>
      <c r="C20" s="2343"/>
      <c r="D20" s="2346"/>
      <c r="E20" s="1021"/>
      <c r="F20" s="1021"/>
    </row>
    <row r="21" spans="1:7" ht="24" customHeight="1">
      <c r="A21" s="1701"/>
      <c r="B21" s="1021"/>
      <c r="C21" s="2343"/>
      <c r="D21" s="2346" t="s">
        <v>841</v>
      </c>
      <c r="E21" s="1021">
        <f ca="1">IF(F21&lt;B2,"已过期",2011110090)</f>
        <v>2011110090</v>
      </c>
      <c r="F21" s="1029">
        <v>48302</v>
      </c>
    </row>
    <row r="22" spans="1:7" ht="24" customHeight="1">
      <c r="A22" s="1701" t="s">
        <v>842</v>
      </c>
      <c r="B22" s="1021">
        <f ca="1">IF(C22&lt;B2,"已过期",1120020033)</f>
        <v>1120020033</v>
      </c>
      <c r="C22" s="2926">
        <v>44339</v>
      </c>
      <c r="D22" s="2346" t="s">
        <v>842</v>
      </c>
      <c r="E22" s="1021">
        <f ca="1">IF(F22&lt;B2,"已过期",2000110137)</f>
        <v>2000110137</v>
      </c>
      <c r="F22" s="1029">
        <v>46387</v>
      </c>
    </row>
    <row r="23" spans="1:7" ht="24" customHeight="1">
      <c r="A23" s="1701"/>
      <c r="B23" s="1021"/>
      <c r="C23" s="2343"/>
      <c r="D23" s="2346"/>
      <c r="E23" s="1021"/>
      <c r="F23" s="1021"/>
    </row>
    <row r="24" spans="1:7" s="1023" customFormat="1" ht="24" customHeight="1">
      <c r="A24" s="1702" t="s">
        <v>1329</v>
      </c>
      <c r="B24" s="1702" t="s">
        <v>1329</v>
      </c>
      <c r="C24" s="2344" t="s">
        <v>1329</v>
      </c>
      <c r="D24" s="2347" t="s">
        <v>1329</v>
      </c>
      <c r="E24" s="1702" t="s">
        <v>1329</v>
      </c>
      <c r="F24" s="1702" t="s">
        <v>1329</v>
      </c>
    </row>
    <row r="25" spans="1:7" ht="24" customHeight="1">
      <c r="A25" s="3072" t="s">
        <v>843</v>
      </c>
      <c r="B25" s="3072"/>
      <c r="C25" s="3072"/>
      <c r="D25" s="3072"/>
      <c r="E25" s="3072"/>
      <c r="F25" s="3072"/>
      <c r="G25" s="3072"/>
    </row>
    <row r="26" spans="1:7" s="1024" customFormat="1" ht="24" customHeight="1">
      <c r="A26" s="3073" t="s">
        <v>844</v>
      </c>
      <c r="B26" s="3073"/>
      <c r="C26" s="3074"/>
      <c r="D26" s="3075" t="s">
        <v>845</v>
      </c>
      <c r="E26" s="3073"/>
      <c r="F26" s="3073"/>
    </row>
    <row r="27" spans="1:7" s="1026" customFormat="1" ht="24" customHeight="1">
      <c r="A27" s="1025" t="s">
        <v>846</v>
      </c>
      <c r="B27" s="1020" t="s">
        <v>847</v>
      </c>
      <c r="C27" s="2342" t="s">
        <v>848</v>
      </c>
      <c r="D27" s="2350" t="s">
        <v>846</v>
      </c>
      <c r="E27" s="1020" t="s">
        <v>847</v>
      </c>
      <c r="F27" s="1020" t="s">
        <v>848</v>
      </c>
    </row>
    <row r="28" spans="1:7" s="1026" customFormat="1" ht="24" customHeight="1">
      <c r="A28" s="1027" t="s">
        <v>849</v>
      </c>
      <c r="B28" s="1028" t="s">
        <v>850</v>
      </c>
      <c r="C28" s="2348">
        <v>43725</v>
      </c>
      <c r="D28" s="2351" t="s">
        <v>851</v>
      </c>
      <c r="E28" s="1027" t="s">
        <v>852</v>
      </c>
      <c r="F28" s="1057">
        <v>44377</v>
      </c>
    </row>
    <row r="29" spans="1:7" s="1026" customFormat="1" ht="24" customHeight="1">
      <c r="A29" s="1027"/>
      <c r="B29" s="1027"/>
      <c r="C29" s="2349"/>
      <c r="D29" s="2351" t="s">
        <v>853</v>
      </c>
      <c r="E29" s="1201" t="s">
        <v>3045</v>
      </c>
      <c r="F29" s="1202">
        <v>43646</v>
      </c>
    </row>
    <row r="30" spans="1:7" ht="24" customHeight="1">
      <c r="C30" s="1030"/>
      <c r="D30" s="1030"/>
    </row>
  </sheetData>
  <sheetProtection sheet="1" objects="1" scenarios="1"/>
  <mergeCells count="3">
    <mergeCell ref="A25:G25"/>
    <mergeCell ref="A26:C26"/>
    <mergeCell ref="D26:F26"/>
  </mergeCells>
  <phoneticPr fontId="88"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工作表</vt:lpstr>
      </vt:variant>
      <vt:variant>
        <vt:i4>46</vt:i4>
      </vt:variant>
      <vt:variant>
        <vt:lpstr>图表</vt:lpstr>
      </vt:variant>
      <vt:variant>
        <vt:i4>1</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Sheet1</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租赁情况核对</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Chart1</vt:lpstr>
      <vt:lpstr>估价师及机构信息!Print_Area</vt:lpstr>
      <vt:lpstr>收益法!Print_Area</vt:lpstr>
      <vt:lpstr>'收益法 (元)'!Print_Area</vt:lpstr>
      <vt:lpstr>'数据-汇总表'!Print_Area</vt:lpstr>
      <vt:lpstr>租赁情况核对!Print_Area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2019-08-19T07:11:30Z</dcterms:modified>
</cp:coreProperties>
</file>