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8" windowWidth="10464" windowHeight="11088" tabRatio="899" firstSheet="18"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Sheet1" sheetId="78" r:id="rId17"/>
    <sheet name="案例" sheetId="77" r:id="rId18"/>
    <sheet name="系统读取表" sheetId="74" r:id="rId19"/>
    <sheet name="结果表 (净值)" sheetId="79" r:id="rId20"/>
    <sheet name="结果表" sheetId="9" r:id="rId21"/>
    <sheet name="成本法" sheetId="68" state="hidden" r:id="rId22"/>
    <sheet name="成本法 (元)" sheetId="69" state="hidden" r:id="rId23"/>
    <sheet name="假设开发法" sheetId="12" state="hidden"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商业" sheetId="33" r:id="rId30"/>
    <sheet name="比较法-租金"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0" hidden="1">'比较法-租金'!$A$1:$L$50</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0">'比较法-租金'!$A$1:$K$55,'比较法-租金'!$A$58:$M$132</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20">结果表!$A$1:$I$127</definedName>
    <definedName name="_xlnm.Print_Area" localSheetId="19">'结果表 (净值)'!$A$1:$I$127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'比较法-租金'!$B$119:$M$119</definedName>
    <definedName name="办公朝向">'比较法-租金'!$B$91:$M$91</definedName>
    <definedName name="办公道路级别">'比较法-租金'!$B$87:$M$87</definedName>
    <definedName name="办公公共部分装修">'比较法-租金'!$B$108:$M$108</definedName>
    <definedName name="办公基础设施水平">'比较法-租金'!$B$117:$M$117</definedName>
    <definedName name="办公集聚程度">定义!$M$1:$M$6</definedName>
    <definedName name="办公建筑结构">'比较法-租金'!$B$106:$M$106</definedName>
    <definedName name="办公建筑类型">'比较法-租金'!$B$101:$M$101</definedName>
    <definedName name="办公交易情况">'比较法-租金'!$A$62:$M$62</definedName>
    <definedName name="办公楼层">'比较法-租金'!$B$89:$M$89</definedName>
    <definedName name="办公内部装修">'比较法-租金'!$B$123:$M$123</definedName>
    <definedName name="办公物业管理">'比较法-租金'!$B$115:$M$115</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8" i="74" l="1"/>
  <c r="B19" i="74"/>
  <c r="B20" i="74"/>
  <c r="F19" i="6"/>
  <c r="C34" i="34" l="1"/>
  <c r="B30" i="31"/>
  <c r="B25" i="31"/>
  <c r="B26" i="31"/>
  <c r="B27" i="31"/>
  <c r="B28" i="31"/>
  <c r="B29" i="31"/>
  <c r="B24" i="31"/>
  <c r="A126" i="79" l="1"/>
  <c r="A124" i="79"/>
  <c r="A122" i="79"/>
  <c r="A120" i="79"/>
  <c r="A118" i="79"/>
  <c r="E111" i="79"/>
  <c r="E109" i="79"/>
  <c r="E107" i="79"/>
  <c r="H106" i="79"/>
  <c r="H105" i="79"/>
  <c r="H104" i="79"/>
  <c r="H103" i="79"/>
  <c r="D120" i="79" s="1"/>
  <c r="D101" i="79"/>
  <c r="C101" i="79"/>
  <c r="D93" i="79"/>
  <c r="C91" i="79"/>
  <c r="E90" i="79"/>
  <c r="D89" i="79"/>
  <c r="C89" i="79" s="1"/>
  <c r="C87" i="79" s="1"/>
  <c r="D78" i="79"/>
  <c r="H77" i="79"/>
  <c r="D77" i="79"/>
  <c r="C77" i="79"/>
  <c r="C76" i="79"/>
  <c r="D68" i="79"/>
  <c r="F59" i="79"/>
  <c r="O55" i="79" s="1"/>
  <c r="E59" i="79"/>
  <c r="N55" i="79" s="1"/>
  <c r="N56" i="79"/>
  <c r="M56" i="79"/>
  <c r="K56" i="79"/>
  <c r="J56" i="79"/>
  <c r="F56" i="79"/>
  <c r="K55" i="79"/>
  <c r="J55" i="79"/>
  <c r="I55" i="79"/>
  <c r="F55" i="79"/>
  <c r="O54" i="79"/>
  <c r="N54" i="79"/>
  <c r="F54" i="79"/>
  <c r="O53" i="79"/>
  <c r="N53" i="79"/>
  <c r="F53" i="79"/>
  <c r="F52" i="79"/>
  <c r="K49" i="79"/>
  <c r="F48" i="79"/>
  <c r="O52" i="79" s="1"/>
  <c r="E48" i="79"/>
  <c r="N52" i="79" s="1"/>
  <c r="M47" i="79"/>
  <c r="F33" i="79"/>
  <c r="D27" i="79"/>
  <c r="C25" i="79"/>
  <c r="C24" i="79"/>
  <c r="D17" i="79"/>
  <c r="C17" i="79"/>
  <c r="C18" i="79" s="1"/>
  <c r="D18" i="79" s="1"/>
  <c r="L4" i="79"/>
  <c r="K4" i="79"/>
  <c r="A2" i="79"/>
  <c r="H1" i="79"/>
  <c r="J57" i="79" l="1"/>
  <c r="J59" i="79" s="1"/>
  <c r="J61" i="79" s="1"/>
  <c r="C74" i="79"/>
  <c r="C92" i="79"/>
  <c r="C94" i="79"/>
  <c r="K120" i="79"/>
  <c r="D121" i="79"/>
  <c r="E7" i="33"/>
  <c r="B15" i="74" l="1"/>
  <c r="B16" i="74"/>
  <c r="B17" i="74"/>
  <c r="C33" i="33" l="1"/>
  <c r="I7" i="33"/>
  <c r="G7" i="33"/>
  <c r="N6" i="1" l="1"/>
  <c r="Y7" i="1" s="1"/>
  <c r="D3" i="4"/>
  <c r="N7" i="1" l="1"/>
  <c r="Y6" i="1"/>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Y10" i="71" s="1"/>
  <c r="Z10" i="71" s="1"/>
  <c r="N10" i="71"/>
  <c r="AH9" i="71"/>
  <c r="AG9" i="71"/>
  <c r="AE9" i="71"/>
  <c r="AF9" i="71" s="1"/>
  <c r="AD9" i="71"/>
  <c r="Q9" i="71"/>
  <c r="AB7" i="71" s="1"/>
  <c r="P9" i="71"/>
  <c r="O9" i="71"/>
  <c r="N9" i="71"/>
  <c r="AH10" i="71"/>
  <c r="AG10" i="71"/>
  <c r="AE10" i="71"/>
  <c r="AF10" i="71" s="1"/>
  <c r="AD10" i="71"/>
  <c r="Q11" i="71"/>
  <c r="Q12" i="71"/>
  <c r="P11" i="71"/>
  <c r="P12" i="71"/>
  <c r="AA5" i="71" s="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AA14" i="71" s="1"/>
  <c r="P15" i="71"/>
  <c r="AA15" i="71" s="1"/>
  <c r="O14" i="71"/>
  <c r="O15" i="71"/>
  <c r="Y14" i="71" s="1"/>
  <c r="Z14" i="71" s="1"/>
  <c r="N14" i="71"/>
  <c r="N15" i="71"/>
  <c r="N16" i="71"/>
  <c r="AH15" i="71"/>
  <c r="AG15" i="71"/>
  <c r="AE15" i="71"/>
  <c r="AF15" i="71"/>
  <c r="AD15" i="71"/>
  <c r="Q16" i="71"/>
  <c r="P16" i="71"/>
  <c r="AA16" i="71" s="1"/>
  <c r="O16" i="71"/>
  <c r="M19" i="43"/>
  <c r="D18" i="71"/>
  <c r="AH16" i="71"/>
  <c r="AG16" i="71"/>
  <c r="AE16" i="71"/>
  <c r="AF16" i="71" s="1"/>
  <c r="AD16" i="71"/>
  <c r="AD17" i="71"/>
  <c r="AG17" i="71"/>
  <c r="AH17" i="71"/>
  <c r="AE17" i="71"/>
  <c r="AF17" i="71" s="1"/>
  <c r="N17" i="71"/>
  <c r="B17" i="71" s="1"/>
  <c r="B16" i="71" s="1"/>
  <c r="B15" i="71" s="1"/>
  <c r="B14" i="71" s="1"/>
  <c r="B13" i="71" s="1"/>
  <c r="B12" i="71" s="1"/>
  <c r="B11" i="71" s="1"/>
  <c r="B10" i="71" s="1"/>
  <c r="Q17" i="71"/>
  <c r="P17" i="71"/>
  <c r="AA17" i="71" s="1"/>
  <c r="O17" i="71"/>
  <c r="C17" i="71" s="1"/>
  <c r="C16" i="71" s="1"/>
  <c r="Q18" i="71"/>
  <c r="F17" i="71"/>
  <c r="F16" i="71"/>
  <c r="F15" i="71"/>
  <c r="P18" i="71"/>
  <c r="E17" i="71"/>
  <c r="E16" i="71" s="1"/>
  <c r="E15" i="71" s="1"/>
  <c r="O18" i="71"/>
  <c r="N18" i="71"/>
  <c r="A2" i="53"/>
  <c r="K59" i="67"/>
  <c r="P61" i="67" s="1"/>
  <c r="K59" i="15"/>
  <c r="P74" i="15" s="1"/>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9" i="71"/>
  <c r="P19" i="71"/>
  <c r="AA19" i="71" s="1"/>
  <c r="O19" i="71"/>
  <c r="N19" i="71"/>
  <c r="A15" i="51"/>
  <c r="B12" i="72" s="1"/>
  <c r="C76" i="9"/>
  <c r="I107" i="40"/>
  <c r="K6" i="4"/>
  <c r="M56" i="9" s="1"/>
  <c r="B22" i="31"/>
  <c r="N56" i="9"/>
  <c r="K56" i="9"/>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H32" i="71"/>
  <c r="AG32" i="71"/>
  <c r="AE32" i="71"/>
  <c r="AF32" i="71" s="1"/>
  <c r="AD32" i="71"/>
  <c r="AD33" i="71"/>
  <c r="AE33" i="71"/>
  <c r="AF33" i="71"/>
  <c r="AG33" i="71"/>
  <c r="AH33"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s="1"/>
  <c r="AD9" i="43"/>
  <c r="AD12" i="43"/>
  <c r="AC9" i="43"/>
  <c r="AC10" i="43" s="1"/>
  <c r="AC12" i="43"/>
  <c r="AB9" i="43"/>
  <c r="AB12" i="43" s="1"/>
  <c r="AA9" i="43"/>
  <c r="AA12" i="43"/>
  <c r="Z9" i="43"/>
  <c r="Z12" i="43"/>
  <c r="AA10" i="43"/>
  <c r="AG10" i="43"/>
  <c r="AI10" i="43"/>
  <c r="Z10" i="43"/>
  <c r="AB10" i="43"/>
  <c r="AD10" i="43"/>
  <c r="AJ10" i="43"/>
  <c r="K49" i="9"/>
  <c r="E107" i="9"/>
  <c r="B13" i="53" s="1"/>
  <c r="B29" i="72" s="1"/>
  <c r="A122" i="9"/>
  <c r="A8" i="52" s="1"/>
  <c r="B54" i="72" s="1"/>
  <c r="E111" i="9"/>
  <c r="A126" i="9"/>
  <c r="E109" i="9"/>
  <c r="A124" i="9"/>
  <c r="B44" i="72"/>
  <c r="B42" i="72"/>
  <c r="B69" i="72"/>
  <c r="B68" i="72"/>
  <c r="B63" i="72"/>
  <c r="B62" i="72"/>
  <c r="B16" i="72"/>
  <c r="B66" i="72"/>
  <c r="B10" i="72"/>
  <c r="C53" i="10"/>
  <c r="B51" i="10"/>
  <c r="B19" i="72"/>
  <c r="A18" i="51"/>
  <c r="B13" i="72" s="1"/>
  <c r="B49" i="48"/>
  <c r="B5" i="72"/>
  <c r="I19" i="43"/>
  <c r="D82" i="71"/>
  <c r="F81" i="71"/>
  <c r="F80" i="71" s="1"/>
  <c r="F79" i="71" s="1"/>
  <c r="E81" i="71"/>
  <c r="E80" i="71" s="1"/>
  <c r="E79" i="71" s="1"/>
  <c r="C81" i="71"/>
  <c r="D81" i="71" s="1"/>
  <c r="B81" i="71"/>
  <c r="B80" i="71" s="1"/>
  <c r="B79" i="71" s="1"/>
  <c r="D78" i="71"/>
  <c r="F77" i="71"/>
  <c r="F76" i="71" s="1"/>
  <c r="F75" i="71" s="1"/>
  <c r="E77" i="71"/>
  <c r="E76" i="71" s="1"/>
  <c r="E75" i="71" s="1"/>
  <c r="C77" i="71"/>
  <c r="B77" i="71"/>
  <c r="B76" i="71" s="1"/>
  <c r="B75" i="71" s="1"/>
  <c r="D74" i="71"/>
  <c r="Q73" i="71"/>
  <c r="P73" i="71"/>
  <c r="O73" i="71"/>
  <c r="N73" i="71"/>
  <c r="F73" i="71"/>
  <c r="V73" i="71" s="1"/>
  <c r="E73" i="71"/>
  <c r="U73" i="71" s="1"/>
  <c r="C73" i="71"/>
  <c r="T73" i="71"/>
  <c r="B73" i="71"/>
  <c r="Q72" i="71"/>
  <c r="P72" i="71"/>
  <c r="O72" i="71"/>
  <c r="N72" i="71"/>
  <c r="Q71" i="71"/>
  <c r="P71" i="71"/>
  <c r="O71" i="71"/>
  <c r="N71" i="71"/>
  <c r="Q70" i="71"/>
  <c r="P70" i="71"/>
  <c r="O70" i="71"/>
  <c r="N70" i="71"/>
  <c r="D70" i="71"/>
  <c r="Q69" i="71"/>
  <c r="P69" i="71"/>
  <c r="O69" i="71"/>
  <c r="N69" i="71"/>
  <c r="F69" i="71"/>
  <c r="V69" i="71"/>
  <c r="E69" i="71"/>
  <c r="U69" i="71" s="1"/>
  <c r="C69" i="71"/>
  <c r="T69" i="71" s="1"/>
  <c r="B69" i="71"/>
  <c r="S69" i="71"/>
  <c r="Q68" i="71"/>
  <c r="P68" i="71"/>
  <c r="O68" i="71"/>
  <c r="N68" i="71"/>
  <c r="F68" i="71"/>
  <c r="F67" i="71"/>
  <c r="B68" i="71"/>
  <c r="B67" i="71" s="1"/>
  <c r="Q67" i="71"/>
  <c r="P67" i="71"/>
  <c r="O67" i="71"/>
  <c r="N67" i="71"/>
  <c r="Q66" i="71"/>
  <c r="P66" i="71"/>
  <c r="O66" i="71"/>
  <c r="N66" i="71"/>
  <c r="D66" i="71"/>
  <c r="Q65" i="71"/>
  <c r="P65" i="71"/>
  <c r="O65" i="71"/>
  <c r="N65" i="71"/>
  <c r="F65" i="71"/>
  <c r="V65" i="71"/>
  <c r="E65" i="71"/>
  <c r="U65" i="71" s="1"/>
  <c r="C65" i="71"/>
  <c r="T65" i="71" s="1"/>
  <c r="B65" i="71"/>
  <c r="S65" i="71"/>
  <c r="Q64" i="71"/>
  <c r="P64" i="71"/>
  <c r="O64" i="71"/>
  <c r="N64" i="71"/>
  <c r="F64" i="71"/>
  <c r="F63" i="71"/>
  <c r="B64" i="71"/>
  <c r="B63" i="71" s="1"/>
  <c r="Q63" i="71"/>
  <c r="P63" i="71"/>
  <c r="O63" i="71"/>
  <c r="N63" i="71"/>
  <c r="Q62" i="71"/>
  <c r="P62" i="71"/>
  <c r="O62" i="71"/>
  <c r="N62" i="71"/>
  <c r="D62" i="71"/>
  <c r="F61" i="71"/>
  <c r="Q61" i="71" s="1"/>
  <c r="V61" i="71"/>
  <c r="E61" i="71"/>
  <c r="P61" i="71" s="1"/>
  <c r="C61" i="71"/>
  <c r="B61" i="71"/>
  <c r="S61" i="71"/>
  <c r="F60" i="71"/>
  <c r="B60" i="71"/>
  <c r="B59" i="71" s="1"/>
  <c r="D58" i="71"/>
  <c r="Q57" i="71"/>
  <c r="P57" i="71"/>
  <c r="O57" i="71"/>
  <c r="N57" i="71"/>
  <c r="Q56" i="71"/>
  <c r="P56" i="71"/>
  <c r="O56" i="71"/>
  <c r="N56" i="71"/>
  <c r="Q55" i="71"/>
  <c r="P55" i="71"/>
  <c r="O55" i="71"/>
  <c r="N55" i="71"/>
  <c r="Q54" i="71"/>
  <c r="F55" i="71"/>
  <c r="F56" i="71" s="1"/>
  <c r="F57" i="71" s="1"/>
  <c r="V57" i="71" s="1"/>
  <c r="P54" i="71"/>
  <c r="E55" i="71"/>
  <c r="O54" i="71"/>
  <c r="C55" i="71" s="1"/>
  <c r="N54" i="71"/>
  <c r="B55" i="71" s="1"/>
  <c r="B56" i="71" s="1"/>
  <c r="B57" i="71" s="1"/>
  <c r="S57" i="71"/>
  <c r="D54" i="71"/>
  <c r="Q53" i="71"/>
  <c r="P53" i="71"/>
  <c r="O53" i="71"/>
  <c r="N53" i="71"/>
  <c r="Q52" i="71"/>
  <c r="P52" i="71"/>
  <c r="O52" i="71"/>
  <c r="N52" i="71"/>
  <c r="Q51" i="71"/>
  <c r="P51" i="71"/>
  <c r="O51" i="71"/>
  <c r="N51" i="71"/>
  <c r="Q50" i="71"/>
  <c r="F51" i="71" s="1"/>
  <c r="F52" i="71" s="1"/>
  <c r="P50" i="71"/>
  <c r="E51" i="71" s="1"/>
  <c r="E52" i="71" s="1"/>
  <c r="O50" i="71"/>
  <c r="C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c r="E48" i="71" s="1"/>
  <c r="E49" i="71" s="1"/>
  <c r="U49" i="71" s="1"/>
  <c r="O46" i="71"/>
  <c r="C47" i="71" s="1"/>
  <c r="N46" i="71"/>
  <c r="B47" i="71" s="1"/>
  <c r="B48" i="71" s="1"/>
  <c r="D46" i="71"/>
  <c r="Q45" i="71"/>
  <c r="P45" i="71"/>
  <c r="O45" i="71"/>
  <c r="N45" i="71"/>
  <c r="Q44" i="71"/>
  <c r="P44" i="71"/>
  <c r="O44" i="71"/>
  <c r="N44" i="71"/>
  <c r="Q43" i="71"/>
  <c r="P43" i="71"/>
  <c r="O43" i="71"/>
  <c r="N43" i="71"/>
  <c r="Q42" i="71"/>
  <c r="F43" i="71" s="1"/>
  <c r="P42" i="71"/>
  <c r="E43" i="71"/>
  <c r="E44" i="71"/>
  <c r="E45" i="71" s="1"/>
  <c r="U45" i="71" s="1"/>
  <c r="O42" i="71"/>
  <c r="C43" i="71" s="1"/>
  <c r="C44" i="71" s="1"/>
  <c r="N42" i="71"/>
  <c r="B43" i="71"/>
  <c r="B44" i="71" s="1"/>
  <c r="B45" i="71" s="1"/>
  <c r="S45" i="71" s="1"/>
  <c r="D42" i="71"/>
  <c r="T41" i="71"/>
  <c r="Q41" i="71"/>
  <c r="P41" i="71"/>
  <c r="O41" i="71"/>
  <c r="N41" i="71"/>
  <c r="D41" i="71"/>
  <c r="Q40" i="71"/>
  <c r="P40" i="71"/>
  <c r="O40" i="71"/>
  <c r="N40" i="71"/>
  <c r="Q39" i="71"/>
  <c r="P39" i="71"/>
  <c r="O39" i="71"/>
  <c r="N39" i="71"/>
  <c r="F39" i="71"/>
  <c r="F40" i="71" s="1"/>
  <c r="F41" i="71" s="1"/>
  <c r="V41" i="71" s="1"/>
  <c r="Q38" i="71"/>
  <c r="P38" i="71"/>
  <c r="E39" i="71" s="1"/>
  <c r="E40" i="71" s="1"/>
  <c r="E41" i="71" s="1"/>
  <c r="U41" i="71" s="1"/>
  <c r="O38" i="71"/>
  <c r="C39" i="71"/>
  <c r="N38" i="71"/>
  <c r="B39" i="71" s="1"/>
  <c r="B40" i="71" s="1"/>
  <c r="B41" i="71" s="1"/>
  <c r="S41" i="71" s="1"/>
  <c r="D38" i="71"/>
  <c r="Q37" i="71"/>
  <c r="P37" i="71"/>
  <c r="O37" i="71"/>
  <c r="N37" i="71"/>
  <c r="Q36" i="71"/>
  <c r="P36" i="71"/>
  <c r="O36" i="71"/>
  <c r="N36" i="71"/>
  <c r="Q35" i="71"/>
  <c r="P35" i="71"/>
  <c r="O35" i="71"/>
  <c r="N35" i="71"/>
  <c r="F35" i="71"/>
  <c r="F36" i="71" s="1"/>
  <c r="F37" i="71" s="1"/>
  <c r="V37" i="71" s="1"/>
  <c r="Q34" i="71"/>
  <c r="P34" i="71"/>
  <c r="E35" i="71" s="1"/>
  <c r="E36" i="71" s="1"/>
  <c r="O34" i="71"/>
  <c r="C35" i="71"/>
  <c r="D35" i="71" s="1"/>
  <c r="N34" i="71"/>
  <c r="B35" i="71" s="1"/>
  <c r="B36" i="71" s="1"/>
  <c r="B37" i="71" s="1"/>
  <c r="S37" i="71" s="1"/>
  <c r="D34" i="71"/>
  <c r="Q33" i="71"/>
  <c r="P33" i="71"/>
  <c r="O33" i="71"/>
  <c r="N33" i="71"/>
  <c r="Q32" i="71"/>
  <c r="AB32" i="71" s="1"/>
  <c r="P32" i="71"/>
  <c r="AA32" i="71" s="1"/>
  <c r="O32" i="71"/>
  <c r="Y32" i="71" s="1"/>
  <c r="Z32" i="71" s="1"/>
  <c r="N32" i="71"/>
  <c r="X32" i="71" s="1"/>
  <c r="Q31" i="71"/>
  <c r="AB31" i="71" s="1"/>
  <c r="P31" i="71"/>
  <c r="O31" i="71"/>
  <c r="Y31" i="71"/>
  <c r="Z31" i="71" s="1"/>
  <c r="N31" i="71"/>
  <c r="Q30" i="71"/>
  <c r="F31" i="71" s="1"/>
  <c r="F32" i="71" s="1"/>
  <c r="F33" i="71" s="1"/>
  <c r="V33" i="71" s="1"/>
  <c r="P30" i="71"/>
  <c r="E31" i="71" s="1"/>
  <c r="E32" i="71" s="1"/>
  <c r="O30" i="71"/>
  <c r="N30" i="71"/>
  <c r="D30" i="71"/>
  <c r="Q29" i="71"/>
  <c r="P29" i="71"/>
  <c r="AA28" i="71" s="1"/>
  <c r="O29" i="71"/>
  <c r="Y29" i="71" s="1"/>
  <c r="Z29" i="71" s="1"/>
  <c r="N29" i="71"/>
  <c r="X29" i="71" s="1"/>
  <c r="Q28" i="71"/>
  <c r="AB28" i="71" s="1"/>
  <c r="P28" i="71"/>
  <c r="O28" i="71"/>
  <c r="Y28" i="71"/>
  <c r="Z28" i="71"/>
  <c r="N28" i="71"/>
  <c r="X28" i="71" s="1"/>
  <c r="Q27" i="71"/>
  <c r="AB27" i="71" s="1"/>
  <c r="P27" i="71"/>
  <c r="O27" i="71"/>
  <c r="Y26" i="71" s="1"/>
  <c r="Z26" i="71" s="1"/>
  <c r="Y27" i="71"/>
  <c r="Z27" i="71" s="1"/>
  <c r="N27" i="71"/>
  <c r="Q26" i="71"/>
  <c r="F27" i="71" s="1"/>
  <c r="F28" i="71" s="1"/>
  <c r="F29" i="71" s="1"/>
  <c r="V29" i="71" s="1"/>
  <c r="P26" i="71"/>
  <c r="E27" i="71" s="1"/>
  <c r="E28" i="71" s="1"/>
  <c r="O26" i="71"/>
  <c r="N26" i="71"/>
  <c r="D26" i="71"/>
  <c r="Q25" i="71"/>
  <c r="P25" i="71"/>
  <c r="O25" i="71"/>
  <c r="Y25" i="71" s="1"/>
  <c r="Z25" i="71" s="1"/>
  <c r="N25" i="71"/>
  <c r="Q24" i="71"/>
  <c r="AB24" i="71" s="1"/>
  <c r="P24" i="71"/>
  <c r="AA24" i="71" s="1"/>
  <c r="O24" i="71"/>
  <c r="Y24" i="71"/>
  <c r="Z24" i="71"/>
  <c r="N24" i="71"/>
  <c r="Q23" i="71"/>
  <c r="AB23" i="71" s="1"/>
  <c r="P23" i="71"/>
  <c r="O23" i="71"/>
  <c r="Y23" i="71"/>
  <c r="Z23" i="71" s="1"/>
  <c r="N23" i="71"/>
  <c r="Q22" i="71"/>
  <c r="F23" i="71" s="1"/>
  <c r="F24" i="71" s="1"/>
  <c r="F25" i="71" s="1"/>
  <c r="V25" i="71" s="1"/>
  <c r="P22" i="71"/>
  <c r="AA22" i="71" s="1"/>
  <c r="O22" i="71"/>
  <c r="Y22" i="71" s="1"/>
  <c r="Z22" i="71" s="1"/>
  <c r="N22" i="71"/>
  <c r="D22" i="71"/>
  <c r="O21" i="71"/>
  <c r="Y19" i="71" s="1"/>
  <c r="Z19" i="71" s="1"/>
  <c r="N21" i="71"/>
  <c r="X20" i="71" s="1"/>
  <c r="B23" i="71"/>
  <c r="B24" i="71" s="1"/>
  <c r="B25" i="71" s="1"/>
  <c r="S25" i="71" s="1"/>
  <c r="X22" i="71"/>
  <c r="E23" i="71"/>
  <c r="E24" i="71" s="1"/>
  <c r="E25" i="71" s="1"/>
  <c r="U25" i="71" s="1"/>
  <c r="B27" i="71"/>
  <c r="B28" i="71" s="1"/>
  <c r="B29" i="71" s="1"/>
  <c r="S29" i="71" s="1"/>
  <c r="B31" i="71"/>
  <c r="B32" i="71"/>
  <c r="B33" i="71" s="1"/>
  <c r="S33" i="71" s="1"/>
  <c r="E33" i="71"/>
  <c r="U33" i="71" s="1"/>
  <c r="N61" i="71"/>
  <c r="E29" i="71"/>
  <c r="U29" i="71" s="1"/>
  <c r="C23" i="71"/>
  <c r="AA25" i="71"/>
  <c r="C27" i="71"/>
  <c r="C28" i="71" s="1"/>
  <c r="X27" i="71"/>
  <c r="AA27" i="71"/>
  <c r="C31" i="71"/>
  <c r="Y30" i="71"/>
  <c r="Z30" i="71" s="1"/>
  <c r="F44" i="71"/>
  <c r="F45" i="71" s="1"/>
  <c r="V45" i="71" s="1"/>
  <c r="B21" i="71"/>
  <c r="X21" i="71"/>
  <c r="C24" i="71"/>
  <c r="C25" i="71" s="1"/>
  <c r="D23" i="71"/>
  <c r="C36" i="71"/>
  <c r="D43" i="71"/>
  <c r="P21" i="71"/>
  <c r="AA3" i="71" s="1"/>
  <c r="E53" i="71"/>
  <c r="U53" i="71" s="1"/>
  <c r="E56" i="71"/>
  <c r="E57" i="71" s="1"/>
  <c r="U57" i="71" s="1"/>
  <c r="U61" i="71"/>
  <c r="E60" i="71"/>
  <c r="P60" i="71" s="1"/>
  <c r="Q21" i="71"/>
  <c r="D51" i="71"/>
  <c r="N60" i="71"/>
  <c r="T61" i="71"/>
  <c r="O61" i="71"/>
  <c r="D61" i="71"/>
  <c r="C60" i="71"/>
  <c r="O60" i="71" s="1"/>
  <c r="C64" i="71"/>
  <c r="D64" i="71" s="1"/>
  <c r="E64" i="71"/>
  <c r="E63" i="71" s="1"/>
  <c r="D65" i="71"/>
  <c r="C68" i="71"/>
  <c r="D69" i="71"/>
  <c r="C72" i="71"/>
  <c r="C71" i="71" s="1"/>
  <c r="D71" i="71" s="1"/>
  <c r="E72" i="71"/>
  <c r="E71" i="71" s="1"/>
  <c r="D73" i="71"/>
  <c r="C80" i="71"/>
  <c r="AA21" i="71"/>
  <c r="C59" i="71"/>
  <c r="D60" i="71"/>
  <c r="D68" i="71"/>
  <c r="C67" i="71"/>
  <c r="D67" i="71" s="1"/>
  <c r="D72" i="71"/>
  <c r="C63" i="71"/>
  <c r="D63" i="71"/>
  <c r="E59" i="71"/>
  <c r="O59" i="71"/>
  <c r="D59" i="71"/>
  <c r="O58"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s="1"/>
  <c r="A12" i="70"/>
  <c r="E12" i="70" s="1"/>
  <c r="A13" i="70"/>
  <c r="E13" i="70"/>
  <c r="A6" i="70"/>
  <c r="Q25" i="40"/>
  <c r="Z25" i="40" s="1"/>
  <c r="D94" i="40"/>
  <c r="E94" i="40" s="1"/>
  <c r="F94" i="40" s="1"/>
  <c r="F25" i="40"/>
  <c r="AA25" i="40"/>
  <c r="Z29" i="39"/>
  <c r="Q29" i="39"/>
  <c r="D103" i="39"/>
  <c r="E103" i="39" s="1"/>
  <c r="F103" i="39" s="1"/>
  <c r="G103" i="39" s="1"/>
  <c r="F29" i="39"/>
  <c r="AA29" i="39" s="1"/>
  <c r="Q18" i="36"/>
  <c r="Z18" i="36" s="1"/>
  <c r="D66" i="36"/>
  <c r="E66" i="36" s="1"/>
  <c r="F66" i="36"/>
  <c r="H18" i="36"/>
  <c r="F18" i="36"/>
  <c r="AA18" i="36" s="1"/>
  <c r="C18" i="36"/>
  <c r="Z18" i="35"/>
  <c r="Q18" i="35"/>
  <c r="D68" i="35"/>
  <c r="E68" i="35"/>
  <c r="F68" i="35" s="1"/>
  <c r="G68" i="35" s="1"/>
  <c r="F18" i="35"/>
  <c r="AA18" i="35" s="1"/>
  <c r="C18" i="35"/>
  <c r="Z21" i="37"/>
  <c r="Q21" i="37"/>
  <c r="D77" i="37"/>
  <c r="E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c r="D81" i="21"/>
  <c r="G20" i="20"/>
  <c r="B86" i="43"/>
  <c r="C22" i="20"/>
  <c r="B66" i="43" s="1"/>
  <c r="C25" i="40"/>
  <c r="S25" i="40"/>
  <c r="S29" i="39"/>
  <c r="S18" i="36"/>
  <c r="H25" i="40"/>
  <c r="G94" i="40"/>
  <c r="J25" i="40"/>
  <c r="AC25" i="40" s="1"/>
  <c r="H29" i="39"/>
  <c r="J29" i="39"/>
  <c r="AC29" i="39" s="1"/>
  <c r="G66" i="36"/>
  <c r="J18" i="36"/>
  <c r="AC18" i="36" s="1"/>
  <c r="H18" i="35"/>
  <c r="J18" i="35"/>
  <c r="W18" i="35" s="1"/>
  <c r="F77" i="37"/>
  <c r="H21" i="37"/>
  <c r="AB21" i="37" s="1"/>
  <c r="F21" i="37"/>
  <c r="AA21" i="37" s="1"/>
  <c r="H21" i="34"/>
  <c r="AB21" i="34" s="1"/>
  <c r="H21" i="33"/>
  <c r="U21" i="33" s="1"/>
  <c r="F21" i="33"/>
  <c r="S21" i="33" s="1"/>
  <c r="S21" i="21"/>
  <c r="H1" i="69"/>
  <c r="W25" i="40"/>
  <c r="AB25" i="40"/>
  <c r="U25" i="40"/>
  <c r="AB29" i="39"/>
  <c r="U29" i="39"/>
  <c r="W29" i="39"/>
  <c r="W18" i="36"/>
  <c r="S21" i="37"/>
  <c r="AB18" i="35"/>
  <c r="U18" i="35"/>
  <c r="AC18" i="35"/>
  <c r="G77" i="37"/>
  <c r="J21" i="37"/>
  <c r="AC21" i="37" s="1"/>
  <c r="J21" i="34"/>
  <c r="W21" i="34" s="1"/>
  <c r="J21" i="33"/>
  <c r="W21" i="33" s="1"/>
  <c r="H21" i="21"/>
  <c r="F38" i="69"/>
  <c r="E37" i="69"/>
  <c r="F36" i="69"/>
  <c r="F35" i="69"/>
  <c r="F21" i="69"/>
  <c r="F40" i="69" s="1"/>
  <c r="F20" i="69"/>
  <c r="F39" i="69" s="1"/>
  <c r="E10" i="69"/>
  <c r="E9" i="69"/>
  <c r="C7" i="69"/>
  <c r="W21" i="37"/>
  <c r="AB21" i="21"/>
  <c r="U21" i="21"/>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27" i="66"/>
  <c r="C31" i="66" s="1"/>
  <c r="C32" i="66"/>
  <c r="I23" i="66"/>
  <c r="D20" i="66"/>
  <c r="I19" i="66"/>
  <c r="I20" i="66" s="1"/>
  <c r="I18" i="66"/>
  <c r="I17" i="66"/>
  <c r="E15" i="66"/>
  <c r="I14" i="66"/>
  <c r="I13" i="66"/>
  <c r="I15" i="66" s="1"/>
  <c r="I12" i="66"/>
  <c r="I9" i="66"/>
  <c r="I8" i="66"/>
  <c r="I7" i="66"/>
  <c r="I6" i="66"/>
  <c r="I5" i="66"/>
  <c r="I4" i="66"/>
  <c r="I3" i="66"/>
  <c r="D1" i="43"/>
  <c r="F113" i="43"/>
  <c r="N99" i="43"/>
  <c r="N108" i="43"/>
  <c r="D99" i="43"/>
  <c r="D100" i="43" s="1"/>
  <c r="E99" i="43"/>
  <c r="F99" i="43"/>
  <c r="F108" i="43" s="1"/>
  <c r="G99" i="43"/>
  <c r="G108" i="43" s="1"/>
  <c r="H99" i="43"/>
  <c r="H108" i="43" s="1"/>
  <c r="I99" i="43"/>
  <c r="J99" i="43"/>
  <c r="J108" i="43"/>
  <c r="K99" i="43"/>
  <c r="K108" i="43" s="1"/>
  <c r="L99" i="43"/>
  <c r="M99" i="43"/>
  <c r="M108" i="43"/>
  <c r="C99" i="43"/>
  <c r="C108" i="43" s="1"/>
  <c r="N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c r="K87" i="43"/>
  <c r="J87" i="43" s="1"/>
  <c r="M86" i="43"/>
  <c r="N86" i="43" s="1"/>
  <c r="K86" i="43"/>
  <c r="J86" i="43"/>
  <c r="M85" i="43"/>
  <c r="N85" i="43" s="1"/>
  <c r="K85" i="43"/>
  <c r="J85" i="43" s="1"/>
  <c r="M84" i="43"/>
  <c r="N84" i="43"/>
  <c r="K84" i="43"/>
  <c r="J84" i="43" s="1"/>
  <c r="M83" i="43"/>
  <c r="N83" i="43" s="1"/>
  <c r="K83" i="43"/>
  <c r="J83" i="43"/>
  <c r="M82" i="43"/>
  <c r="N82" i="43" s="1"/>
  <c r="K82" i="43"/>
  <c r="J82" i="43" s="1"/>
  <c r="M81" i="43"/>
  <c r="N81" i="43"/>
  <c r="K81" i="43"/>
  <c r="J81" i="43" s="1"/>
  <c r="M78" i="43"/>
  <c r="N78" i="43" s="1"/>
  <c r="K78" i="43"/>
  <c r="J78" i="43"/>
  <c r="D78" i="43"/>
  <c r="M77" i="43"/>
  <c r="N77" i="43"/>
  <c r="K77" i="43"/>
  <c r="J77" i="43" s="1"/>
  <c r="D77" i="43"/>
  <c r="M76" i="43"/>
  <c r="N76" i="43" s="1"/>
  <c r="K76" i="43"/>
  <c r="J76" i="43" s="1"/>
  <c r="D76" i="43"/>
  <c r="M75" i="43"/>
  <c r="N75" i="43" s="1"/>
  <c r="K75" i="43"/>
  <c r="J75" i="43"/>
  <c r="D75" i="43"/>
  <c r="M74" i="43"/>
  <c r="N74" i="43"/>
  <c r="K74" i="43"/>
  <c r="J74" i="43" s="1"/>
  <c r="D74" i="43"/>
  <c r="M73" i="43"/>
  <c r="N73" i="43" s="1"/>
  <c r="K73" i="43"/>
  <c r="J73" i="43" s="1"/>
  <c r="D73" i="43"/>
  <c r="M72" i="43"/>
  <c r="N72" i="43" s="1"/>
  <c r="K72" i="43"/>
  <c r="J72" i="43"/>
  <c r="D72" i="43"/>
  <c r="M71" i="43"/>
  <c r="N71" i="43"/>
  <c r="K71" i="43"/>
  <c r="J71" i="43" s="1"/>
  <c r="D71" i="43"/>
  <c r="M70" i="43"/>
  <c r="N70" i="43" s="1"/>
  <c r="K70" i="43"/>
  <c r="J70" i="43" s="1"/>
  <c r="D70" i="43"/>
  <c r="M67" i="43"/>
  <c r="N67" i="43" s="1"/>
  <c r="K67" i="43"/>
  <c r="J67" i="43"/>
  <c r="M66" i="43"/>
  <c r="N66" i="43" s="1"/>
  <c r="K66" i="43"/>
  <c r="J66" i="43" s="1"/>
  <c r="M65" i="43"/>
  <c r="N65" i="43"/>
  <c r="K65" i="43"/>
  <c r="J65" i="43" s="1"/>
  <c r="M64" i="43"/>
  <c r="N64" i="43" s="1"/>
  <c r="K64" i="43"/>
  <c r="J64" i="43"/>
  <c r="M63" i="43"/>
  <c r="N63" i="43" s="1"/>
  <c r="K63" i="43"/>
  <c r="J63" i="43" s="1"/>
  <c r="M62" i="43"/>
  <c r="N62" i="43"/>
  <c r="K62" i="43"/>
  <c r="J62" i="43" s="1"/>
  <c r="M61" i="43"/>
  <c r="N61" i="43" s="1"/>
  <c r="K61" i="43"/>
  <c r="J61" i="43"/>
  <c r="M60" i="43"/>
  <c r="N60" i="43" s="1"/>
  <c r="K60" i="43"/>
  <c r="J60" i="43" s="1"/>
  <c r="M59" i="43"/>
  <c r="N59" i="43"/>
  <c r="K59" i="43"/>
  <c r="J59" i="43" s="1"/>
  <c r="M56" i="43"/>
  <c r="N56" i="43" s="1"/>
  <c r="K56" i="43"/>
  <c r="J56" i="43"/>
  <c r="D56" i="43"/>
  <c r="M55" i="43"/>
  <c r="N55" i="43"/>
  <c r="K55" i="43"/>
  <c r="J55" i="43" s="1"/>
  <c r="D55" i="43"/>
  <c r="M54" i="43"/>
  <c r="N54" i="43" s="1"/>
  <c r="K54" i="43"/>
  <c r="J54" i="43" s="1"/>
  <c r="D54" i="43"/>
  <c r="M53" i="43"/>
  <c r="N53" i="43" s="1"/>
  <c r="K53" i="43"/>
  <c r="J53" i="43"/>
  <c r="D53" i="43"/>
  <c r="M52" i="43"/>
  <c r="N52" i="43"/>
  <c r="K52" i="43"/>
  <c r="J52" i="43" s="1"/>
  <c r="D52" i="43"/>
  <c r="M51" i="43"/>
  <c r="N51" i="43" s="1"/>
  <c r="K51" i="43"/>
  <c r="J51" i="43" s="1"/>
  <c r="D51" i="43"/>
  <c r="M50" i="43"/>
  <c r="N50" i="43" s="1"/>
  <c r="K50" i="43"/>
  <c r="J50" i="43"/>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L107" i="3" s="1"/>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A102" i="3" s="1"/>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L93" i="3" s="1"/>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AZ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A80" i="3" s="1"/>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L65" i="3" s="1"/>
  <c r="BN65" i="3"/>
  <c r="BM65" i="3"/>
  <c r="BK65" i="3"/>
  <c r="BJ65" i="3"/>
  <c r="BI65" i="3"/>
  <c r="BH65" i="3"/>
  <c r="BG65" i="3"/>
  <c r="BF65" i="3"/>
  <c r="BE65" i="3"/>
  <c r="BD65" i="3"/>
  <c r="BC65" i="3"/>
  <c r="BB65" i="3"/>
  <c r="BA65" i="3" s="1"/>
  <c r="AZ65" i="3" s="1"/>
  <c r="AX65" i="3"/>
  <c r="AW65" i="3"/>
  <c r="AV65" i="3"/>
  <c r="AC65" i="3"/>
  <c r="H65" i="3"/>
  <c r="G65" i="3"/>
  <c r="BT64" i="3"/>
  <c r="BS64" i="3"/>
  <c r="BR64" i="3"/>
  <c r="BQ64" i="3"/>
  <c r="BP64" i="3"/>
  <c r="BO64" i="3"/>
  <c r="BL64" i="3" s="1"/>
  <c r="BN64" i="3"/>
  <c r="BM64" i="3"/>
  <c r="BK64" i="3"/>
  <c r="BJ64" i="3"/>
  <c r="BI64" i="3"/>
  <c r="BH64" i="3"/>
  <c r="BG64" i="3"/>
  <c r="BF64" i="3"/>
  <c r="BE64" i="3"/>
  <c r="BD64" i="3"/>
  <c r="BC64" i="3"/>
  <c r="BB64" i="3"/>
  <c r="AX64" i="3"/>
  <c r="AW64" i="3"/>
  <c r="AV64" i="3"/>
  <c r="AC64" i="3"/>
  <c r="H64" i="3"/>
  <c r="G64" i="3"/>
  <c r="BT63" i="3"/>
  <c r="BS63" i="3"/>
  <c r="BR63" i="3"/>
  <c r="BQ63" i="3"/>
  <c r="BP63" i="3"/>
  <c r="BO63" i="3"/>
  <c r="BL63" i="3" s="1"/>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L58" i="3" s="1"/>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L53" i="3"/>
  <c r="BK53" i="3"/>
  <c r="BJ53" i="3"/>
  <c r="BI53" i="3"/>
  <c r="BH53" i="3"/>
  <c r="BG53" i="3"/>
  <c r="BF53" i="3"/>
  <c r="BE53" i="3"/>
  <c r="BD53" i="3"/>
  <c r="BA53" i="3" s="1"/>
  <c r="BC53" i="3"/>
  <c r="BB53" i="3"/>
  <c r="AX53" i="3"/>
  <c r="AW53" i="3"/>
  <c r="AV53" i="3"/>
  <c r="AC53" i="3"/>
  <c r="G53" i="3" s="1"/>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s="1"/>
  <c r="BK48" i="3"/>
  <c r="BJ48" i="3"/>
  <c r="BI48" i="3"/>
  <c r="BH48" i="3"/>
  <c r="BG48" i="3"/>
  <c r="BF48" i="3"/>
  <c r="BE48" i="3"/>
  <c r="BD48" i="3"/>
  <c r="BA48" i="3" s="1"/>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L46" i="3" s="1"/>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L42" i="3" s="1"/>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L41" i="3" s="1"/>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L39" i="3" s="1"/>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A36" i="3" s="1"/>
  <c r="AZ36" i="3" s="1"/>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L34" i="3" s="1"/>
  <c r="BN34" i="3"/>
  <c r="BM34" i="3"/>
  <c r="BK34" i="3"/>
  <c r="BJ34" i="3"/>
  <c r="BI34" i="3"/>
  <c r="BH34" i="3"/>
  <c r="BG34" i="3"/>
  <c r="BF34" i="3"/>
  <c r="BE34" i="3"/>
  <c r="BD34" i="3"/>
  <c r="BC34" i="3"/>
  <c r="BA34" i="3" s="1"/>
  <c r="AZ34" i="3" s="1"/>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A31" i="3" s="1"/>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L29" i="3" s="1"/>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s="1"/>
  <c r="BK26" i="3"/>
  <c r="BJ26" i="3"/>
  <c r="BI26" i="3"/>
  <c r="BH26" i="3"/>
  <c r="BG26" i="3"/>
  <c r="BF26" i="3"/>
  <c r="BE26" i="3"/>
  <c r="BD26" i="3"/>
  <c r="BA26" i="3" s="1"/>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L193" i="3" s="1"/>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A170" i="3" s="1"/>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A166" i="3" s="1"/>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G159" i="3"/>
  <c r="BT158" i="3"/>
  <c r="BS158" i="3"/>
  <c r="BR158" i="3"/>
  <c r="BQ158" i="3"/>
  <c r="BP158" i="3"/>
  <c r="BO158" i="3"/>
  <c r="BL158" i="3" s="1"/>
  <c r="BN158" i="3"/>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L145" i="3" s="1"/>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L141" i="3" s="1"/>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A130" i="3" s="1"/>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A126" i="3" s="1"/>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L301" i="3" s="1"/>
  <c r="BO301" i="3"/>
  <c r="BN301" i="3"/>
  <c r="BM301" i="3"/>
  <c r="BK301" i="3"/>
  <c r="BJ301" i="3"/>
  <c r="BI301" i="3"/>
  <c r="BH301" i="3"/>
  <c r="BG301" i="3"/>
  <c r="BF301" i="3"/>
  <c r="BE301" i="3"/>
  <c r="BD301" i="3"/>
  <c r="BC301" i="3"/>
  <c r="BA301" i="3" s="1"/>
  <c r="AZ301" i="3" s="1"/>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L299" i="3" s="1"/>
  <c r="BO299" i="3"/>
  <c r="BN299" i="3"/>
  <c r="BM299" i="3"/>
  <c r="BK299" i="3"/>
  <c r="BJ299" i="3"/>
  <c r="BI299" i="3"/>
  <c r="BH299" i="3"/>
  <c r="BG299" i="3"/>
  <c r="BF299" i="3"/>
  <c r="BE299" i="3"/>
  <c r="BD299" i="3"/>
  <c r="BC299" i="3"/>
  <c r="BA299" i="3" s="1"/>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L296" i="3" s="1"/>
  <c r="BO296" i="3"/>
  <c r="BN296" i="3"/>
  <c r="BM296" i="3"/>
  <c r="BK296" i="3"/>
  <c r="BJ296" i="3"/>
  <c r="BI296" i="3"/>
  <c r="BH296" i="3"/>
  <c r="BG296" i="3"/>
  <c r="BF296" i="3"/>
  <c r="BE296" i="3"/>
  <c r="BD296" i="3"/>
  <c r="BC296" i="3"/>
  <c r="BA296" i="3" s="1"/>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A279" i="3" s="1"/>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L275" i="3" s="1"/>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L270" i="3" s="1"/>
  <c r="BN270" i="3"/>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L265" i="3" s="1"/>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L260" i="3" s="1"/>
  <c r="BN260" i="3"/>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L255" i="3" s="1"/>
  <c r="BN255" i="3"/>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L250" i="3" s="1"/>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L245" i="3" s="1"/>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L240" i="3" s="1"/>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L235" i="3" s="1"/>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L225" i="3" s="1"/>
  <c r="BN225" i="3"/>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A222" i="3" s="1"/>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L220" i="3" s="1"/>
  <c r="BN220" i="3"/>
  <c r="BM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A217" i="3" s="1"/>
  <c r="AZ217" i="3" s="1"/>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A215" i="3" s="1"/>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A212" i="3" s="1"/>
  <c r="AZ212" i="3" s="1"/>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A210" i="3" s="1"/>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L208" i="3" s="1"/>
  <c r="BO208" i="3"/>
  <c r="BN208" i="3"/>
  <c r="BM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A396" i="3" s="1"/>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A388" i="3" s="1"/>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L383" i="3" s="1"/>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L381" i="3" s="1"/>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A368" i="3" s="1"/>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A358" i="3" s="1"/>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A490" i="3" s="1"/>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L467" i="3" s="1"/>
  <c r="BO467" i="3"/>
  <c r="BN467" i="3"/>
  <c r="BM467" i="3"/>
  <c r="BK467" i="3"/>
  <c r="BJ467" i="3"/>
  <c r="BI467" i="3"/>
  <c r="BH467" i="3"/>
  <c r="BG467" i="3"/>
  <c r="BF467" i="3"/>
  <c r="BE467" i="3"/>
  <c r="BD467" i="3"/>
  <c r="BA467" i="3" s="1"/>
  <c r="AZ467" i="3" s="1"/>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L462" i="3" s="1"/>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L460" i="3" s="1"/>
  <c r="AZ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A456" i="3" s="1"/>
  <c r="BD456" i="3"/>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A452" i="3" s="1"/>
  <c r="AZ452" i="3" s="1"/>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A440" i="3" s="1"/>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L438" i="3" s="1"/>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L437" i="3" s="1"/>
  <c r="BO437" i="3"/>
  <c r="BN437" i="3"/>
  <c r="BM437" i="3"/>
  <c r="BK437" i="3"/>
  <c r="BJ437" i="3"/>
  <c r="BI437" i="3"/>
  <c r="BH437" i="3"/>
  <c r="BG437" i="3"/>
  <c r="BF437" i="3"/>
  <c r="BE437" i="3"/>
  <c r="BD437" i="3"/>
  <c r="BA437" i="3" s="1"/>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G435" i="3" s="1"/>
  <c r="H435" i="3"/>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G434" i="3" s="1"/>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L427" i="3" s="1"/>
  <c r="BO427" i="3"/>
  <c r="BN427" i="3"/>
  <c r="BM427" i="3"/>
  <c r="BK427" i="3"/>
  <c r="BJ427" i="3"/>
  <c r="BI427" i="3"/>
  <c r="BH427" i="3"/>
  <c r="BG427" i="3"/>
  <c r="BF427" i="3"/>
  <c r="BE427" i="3"/>
  <c r="BD427" i="3"/>
  <c r="BA427" i="3" s="1"/>
  <c r="AZ427" i="3" s="1"/>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L425" i="3" s="1"/>
  <c r="BO425" i="3"/>
  <c r="BN425" i="3"/>
  <c r="BM425" i="3"/>
  <c r="BK425" i="3"/>
  <c r="BJ425" i="3"/>
  <c r="BI425" i="3"/>
  <c r="BH425" i="3"/>
  <c r="BG425" i="3"/>
  <c r="BF425" i="3"/>
  <c r="BE425" i="3"/>
  <c r="BD425" i="3"/>
  <c r="BA425" i="3" s="1"/>
  <c r="AZ425" i="3" s="1"/>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A423" i="3" s="1"/>
  <c r="AZ423" i="3" s="1"/>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L421" i="3" s="1"/>
  <c r="BO421" i="3"/>
  <c r="BN421" i="3"/>
  <c r="BM421" i="3"/>
  <c r="BK421" i="3"/>
  <c r="BJ421" i="3"/>
  <c r="BI421" i="3"/>
  <c r="BH421" i="3"/>
  <c r="BG421" i="3"/>
  <c r="BF421" i="3"/>
  <c r="BE421" i="3"/>
  <c r="BD421" i="3"/>
  <c r="BA421" i="3" s="1"/>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A419" i="3" s="1"/>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L404" i="3" s="1"/>
  <c r="BN404" i="3"/>
  <c r="BM404" i="3"/>
  <c r="BK404" i="3"/>
  <c r="BJ404" i="3"/>
  <c r="BI404" i="3"/>
  <c r="BH404" i="3"/>
  <c r="BG404" i="3"/>
  <c r="BF404" i="3"/>
  <c r="BE404" i="3"/>
  <c r="BD404" i="3"/>
  <c r="BC404" i="3"/>
  <c r="BA404" i="3" s="1"/>
  <c r="AZ404" i="3" s="1"/>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L402" i="3" s="1"/>
  <c r="BN402" i="3"/>
  <c r="BM402" i="3"/>
  <c r="BK402" i="3"/>
  <c r="BJ402" i="3"/>
  <c r="BI402" i="3"/>
  <c r="BH402" i="3"/>
  <c r="BG402" i="3"/>
  <c r="BF402" i="3"/>
  <c r="BE402" i="3"/>
  <c r="BD402" i="3"/>
  <c r="BA402" i="3" s="1"/>
  <c r="AZ402" i="3" s="1"/>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G11" i="1"/>
  <c r="I15" i="4"/>
  <c r="H15" i="4"/>
  <c r="G15" i="4"/>
  <c r="E15" i="4"/>
  <c r="D15" i="4"/>
  <c r="F7" i="1"/>
  <c r="G7" i="1" s="1"/>
  <c r="L21" i="4"/>
  <c r="F19" i="4"/>
  <c r="F2" i="52"/>
  <c r="B50" i="72"/>
  <c r="D2" i="52"/>
  <c r="B46" i="72" s="1"/>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c r="G53" i="39"/>
  <c r="H53" i="39" s="1"/>
  <c r="E53" i="39"/>
  <c r="F53" i="39"/>
  <c r="I42" i="36"/>
  <c r="J42" i="36"/>
  <c r="G42" i="36"/>
  <c r="H42" i="36" s="1"/>
  <c r="E42" i="36"/>
  <c r="F42" i="36"/>
  <c r="I44" i="35"/>
  <c r="J44" i="35"/>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A506" i="3" s="1"/>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K5" i="3" s="1"/>
  <c r="BM507" i="3"/>
  <c r="BN507" i="3"/>
  <c r="BO507" i="3"/>
  <c r="BP507" i="3"/>
  <c r="BR507" i="3"/>
  <c r="BS507" i="3"/>
  <c r="BT507" i="3"/>
  <c r="H508" i="3"/>
  <c r="AC508" i="3"/>
  <c r="BB508" i="3"/>
  <c r="BC508" i="3"/>
  <c r="BD508" i="3"/>
  <c r="BA508" i="3" s="1"/>
  <c r="BE508" i="3"/>
  <c r="BF508" i="3"/>
  <c r="BG508" i="3"/>
  <c r="BH508" i="3"/>
  <c r="BI508" i="3"/>
  <c r="BJ508" i="3"/>
  <c r="BJ5" i="3" s="1"/>
  <c r="BK508" i="3"/>
  <c r="BM508" i="3"/>
  <c r="BN508" i="3"/>
  <c r="BO508" i="3"/>
  <c r="BP508" i="3"/>
  <c r="BQ508" i="3"/>
  <c r="BL508" i="3" s="1"/>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AC510" i="3"/>
  <c r="BB510" i="3"/>
  <c r="BB5" i="3" s="1"/>
  <c r="BC510" i="3"/>
  <c r="BD510" i="3"/>
  <c r="BE510" i="3"/>
  <c r="BF510" i="3"/>
  <c r="BG510" i="3"/>
  <c r="BH510" i="3"/>
  <c r="BH5" i="3" s="1"/>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L512" i="3" s="1"/>
  <c r="BS512" i="3"/>
  <c r="BT512" i="3"/>
  <c r="H513" i="3"/>
  <c r="AC513" i="3"/>
  <c r="BB513" i="3"/>
  <c r="BC513" i="3"/>
  <c r="BA513" i="3" s="1"/>
  <c r="AZ513" i="3" s="1"/>
  <c r="BD513" i="3"/>
  <c r="BE513" i="3"/>
  <c r="BF513" i="3"/>
  <c r="BG513" i="3"/>
  <c r="BH513" i="3"/>
  <c r="BI513" i="3"/>
  <c r="BJ513" i="3"/>
  <c r="BK513" i="3"/>
  <c r="BM513" i="3"/>
  <c r="BN513" i="3"/>
  <c r="BO513" i="3"/>
  <c r="BP513" i="3"/>
  <c r="BL513" i="3" s="1"/>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G515" i="3" s="1"/>
  <c r="AC515" i="3"/>
  <c r="BB515" i="3"/>
  <c r="BC515" i="3"/>
  <c r="BD515" i="3"/>
  <c r="BE515" i="3"/>
  <c r="BF515" i="3"/>
  <c r="BA515" i="3" s="1"/>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L516" i="3" s="1"/>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AC518" i="3"/>
  <c r="BB518" i="3"/>
  <c r="BA518" i="3" s="1"/>
  <c r="AZ518" i="3" s="1"/>
  <c r="BC518" i="3"/>
  <c r="BD518" i="3"/>
  <c r="BE518" i="3"/>
  <c r="BF518" i="3"/>
  <c r="BG518" i="3"/>
  <c r="BH518" i="3"/>
  <c r="BI518" i="3"/>
  <c r="BJ518" i="3"/>
  <c r="BK518" i="3"/>
  <c r="BM518" i="3"/>
  <c r="BN518" i="3"/>
  <c r="BO518" i="3"/>
  <c r="BL518" i="3" s="1"/>
  <c r="BP518" i="3"/>
  <c r="BQ518" i="3"/>
  <c r="BR518" i="3"/>
  <c r="BS518" i="3"/>
  <c r="BT518" i="3"/>
  <c r="H519" i="3"/>
  <c r="G519" i="3" s="1"/>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L520" i="3" s="1"/>
  <c r="BS520" i="3"/>
  <c r="BT520" i="3"/>
  <c r="H521" i="3"/>
  <c r="BB521" i="3"/>
  <c r="BC521" i="3"/>
  <c r="BD521" i="3"/>
  <c r="BA521" i="3" s="1"/>
  <c r="BE521" i="3"/>
  <c r="BF521" i="3"/>
  <c r="BG521" i="3"/>
  <c r="BH521" i="3"/>
  <c r="BI521" i="3"/>
  <c r="BJ521" i="3"/>
  <c r="BK521" i="3"/>
  <c r="BM521" i="3"/>
  <c r="BN521" i="3"/>
  <c r="BO521" i="3"/>
  <c r="BP521" i="3"/>
  <c r="BR521" i="3"/>
  <c r="BL521" i="3" s="1"/>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G523" i="3" s="1"/>
  <c r="BB523" i="3"/>
  <c r="BC523" i="3"/>
  <c r="BD523" i="3"/>
  <c r="BE523" i="3"/>
  <c r="BF523" i="3"/>
  <c r="BG523" i="3"/>
  <c r="BA523" i="3" s="1"/>
  <c r="BH523" i="3"/>
  <c r="BI523" i="3"/>
  <c r="BJ523" i="3"/>
  <c r="BK523" i="3"/>
  <c r="BM523" i="3"/>
  <c r="BN523" i="3"/>
  <c r="BL523" i="3" s="1"/>
  <c r="BO523" i="3"/>
  <c r="BP523" i="3"/>
  <c r="BR523" i="3"/>
  <c r="BS523" i="3"/>
  <c r="BT523" i="3"/>
  <c r="H524" i="3"/>
  <c r="G524" i="3" s="1"/>
  <c r="AC524" i="3"/>
  <c r="BB524" i="3"/>
  <c r="BC524" i="3"/>
  <c r="BD524" i="3"/>
  <c r="BE524" i="3"/>
  <c r="BF524" i="3"/>
  <c r="BA524" i="3" s="1"/>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L525" i="3" s="1"/>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L552" i="3" s="1"/>
  <c r="BQ552" i="3"/>
  <c r="BR552" i="3"/>
  <c r="BS552" i="3"/>
  <c r="BT552" i="3"/>
  <c r="H553" i="3"/>
  <c r="AC553" i="3"/>
  <c r="G553" i="3" s="1"/>
  <c r="BB553" i="3"/>
  <c r="BC553" i="3"/>
  <c r="BD553" i="3"/>
  <c r="BE553" i="3"/>
  <c r="BF553" i="3"/>
  <c r="BG553" i="3"/>
  <c r="BA553" i="3" s="1"/>
  <c r="AZ553" i="3" s="1"/>
  <c r="BH553" i="3"/>
  <c r="BI553" i="3"/>
  <c r="BJ553" i="3"/>
  <c r="BK553" i="3"/>
  <c r="BM553" i="3"/>
  <c r="BN553" i="3"/>
  <c r="BL553" i="3" s="1"/>
  <c r="BO553" i="3"/>
  <c r="BP553" i="3"/>
  <c r="BR553" i="3"/>
  <c r="BS553" i="3"/>
  <c r="BT553" i="3"/>
  <c r="H554" i="3"/>
  <c r="G554" i="3" s="1"/>
  <c r="AC554" i="3"/>
  <c r="BB554" i="3"/>
  <c r="BC554" i="3"/>
  <c r="BD554" i="3"/>
  <c r="BE554" i="3"/>
  <c r="BF554" i="3"/>
  <c r="BA554" i="3" s="1"/>
  <c r="BG554" i="3"/>
  <c r="BH554" i="3"/>
  <c r="BI554" i="3"/>
  <c r="BJ554" i="3"/>
  <c r="BK554" i="3"/>
  <c r="BM554" i="3"/>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L555" i="3" s="1"/>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c r="H31" i="35"/>
  <c r="F31" i="35"/>
  <c r="D87" i="35"/>
  <c r="E87" i="35"/>
  <c r="F87" i="35" s="1"/>
  <c r="G87" i="35"/>
  <c r="H87" i="35" s="1"/>
  <c r="I87" i="35" s="1"/>
  <c r="J87" i="35" s="1"/>
  <c r="K87" i="35" s="1"/>
  <c r="L87" i="35" s="1"/>
  <c r="M87" i="35" s="1"/>
  <c r="H34" i="37"/>
  <c r="D101" i="37"/>
  <c r="F34" i="37"/>
  <c r="D99" i="37"/>
  <c r="E99" i="37" s="1"/>
  <c r="F99" i="37"/>
  <c r="G99" i="37"/>
  <c r="H99" i="37" s="1"/>
  <c r="I99" i="37" s="1"/>
  <c r="J99" i="37"/>
  <c r="K99" i="37" s="1"/>
  <c r="L99" i="37" s="1"/>
  <c r="M99" i="37" s="1"/>
  <c r="H42" i="34"/>
  <c r="J42" i="34"/>
  <c r="W42" i="34"/>
  <c r="F42" i="34"/>
  <c r="J38" i="34"/>
  <c r="W38" i="34" s="1"/>
  <c r="D114" i="34"/>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D115" i="40"/>
  <c r="E115" i="40" s="1"/>
  <c r="F115" i="40"/>
  <c r="G115" i="40"/>
  <c r="H115" i="40" s="1"/>
  <c r="I115" i="40" s="1"/>
  <c r="J115" i="40"/>
  <c r="K115" i="40" s="1"/>
  <c r="L115" i="40" s="1"/>
  <c r="M115" i="40" s="1"/>
  <c r="D113" i="40"/>
  <c r="E113" i="40" s="1"/>
  <c r="F113" i="40"/>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AC31" i="40" s="1"/>
  <c r="D100" i="40"/>
  <c r="E100" i="40"/>
  <c r="F100" i="40" s="1"/>
  <c r="G100" i="40"/>
  <c r="H100" i="40"/>
  <c r="I100" i="40" s="1"/>
  <c r="J100" i="40" s="1"/>
  <c r="K100" i="40"/>
  <c r="L100" i="40" s="1"/>
  <c r="M100" i="40" s="1"/>
  <c r="D98" i="40"/>
  <c r="J28" i="40"/>
  <c r="AC28" i="40" s="1"/>
  <c r="D96" i="40"/>
  <c r="E96" i="40" s="1"/>
  <c r="F96" i="40"/>
  <c r="G96" i="40"/>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s="1"/>
  <c r="F9" i="40"/>
  <c r="S9" i="40" s="1"/>
  <c r="J8" i="40"/>
  <c r="AC8" i="40" s="1"/>
  <c r="H8" i="40"/>
  <c r="AB8" i="40" s="1"/>
  <c r="F8" i="40"/>
  <c r="AA8" i="40" s="1"/>
  <c r="J38" i="39"/>
  <c r="W38" i="39"/>
  <c r="H38" i="39"/>
  <c r="AB38" i="39" s="1"/>
  <c r="F38" i="39"/>
  <c r="AA38" i="39" s="1"/>
  <c r="D124" i="39"/>
  <c r="E124" i="39" s="1"/>
  <c r="F124" i="39" s="1"/>
  <c r="G124" i="39" s="1"/>
  <c r="H124" i="39"/>
  <c r="I124" i="39" s="1"/>
  <c r="J124" i="39"/>
  <c r="K124" i="39" s="1"/>
  <c r="L124" i="39" s="1"/>
  <c r="M124" i="39" s="1"/>
  <c r="D120" i="39"/>
  <c r="E120" i="39" s="1"/>
  <c r="F120" i="39"/>
  <c r="G120" i="39"/>
  <c r="H120" i="39" s="1"/>
  <c r="I120" i="39" s="1"/>
  <c r="J120" i="39" s="1"/>
  <c r="K120" i="39" s="1"/>
  <c r="L120" i="39" s="1"/>
  <c r="M120" i="39" s="1"/>
  <c r="B114" i="39"/>
  <c r="J37" i="39" s="1"/>
  <c r="D109" i="39"/>
  <c r="E109" i="39" s="1"/>
  <c r="F109" i="39" s="1"/>
  <c r="F34" i="39"/>
  <c r="AA34" i="39"/>
  <c r="D107" i="39"/>
  <c r="E107" i="39" s="1"/>
  <c r="D105" i="39"/>
  <c r="E105" i="39"/>
  <c r="F105" i="39"/>
  <c r="G105" i="39" s="1"/>
  <c r="H105" i="39" s="1"/>
  <c r="I105" i="39" s="1"/>
  <c r="J105" i="39" s="1"/>
  <c r="K105" i="39" s="1"/>
  <c r="L105" i="39" s="1"/>
  <c r="M105" i="39" s="1"/>
  <c r="D101" i="39"/>
  <c r="D99" i="39"/>
  <c r="E99" i="39" s="1"/>
  <c r="F99" i="39" s="1"/>
  <c r="G99" i="39" s="1"/>
  <c r="Q39" i="39"/>
  <c r="Z39" i="39"/>
  <c r="Q40" i="39"/>
  <c r="Z40" i="39" s="1"/>
  <c r="Q41" i="39"/>
  <c r="Z41" i="39" s="1"/>
  <c r="Q42" i="39"/>
  <c r="Z42" i="39"/>
  <c r="Q43" i="39"/>
  <c r="Z43" i="39" s="1"/>
  <c r="Q44" i="39"/>
  <c r="Z44" i="39"/>
  <c r="Q45" i="39"/>
  <c r="Z45" i="39"/>
  <c r="Q38" i="39"/>
  <c r="Z38" i="39" s="1"/>
  <c r="Q36" i="39"/>
  <c r="Z36" i="39" s="1"/>
  <c r="Q37" i="39"/>
  <c r="Z37" i="39" s="1"/>
  <c r="B131" i="39"/>
  <c r="H45" i="39" s="1"/>
  <c r="B129" i="39"/>
  <c r="H44" i="39" s="1"/>
  <c r="B127" i="39"/>
  <c r="J43" i="39"/>
  <c r="D126" i="39"/>
  <c r="E126" i="39" s="1"/>
  <c r="F126" i="39"/>
  <c r="G126" i="39"/>
  <c r="H126" i="39" s="1"/>
  <c r="I126" i="39" s="1"/>
  <c r="J126" i="39" s="1"/>
  <c r="K126" i="39" s="1"/>
  <c r="L126" i="39" s="1"/>
  <c r="M126" i="39" s="1"/>
  <c r="D122" i="39"/>
  <c r="E122" i="39"/>
  <c r="F122" i="39" s="1"/>
  <c r="G122" i="39" s="1"/>
  <c r="H122" i="39" s="1"/>
  <c r="I122" i="39" s="1"/>
  <c r="J122" i="39" s="1"/>
  <c r="K122" i="39"/>
  <c r="L122" i="39" s="1"/>
  <c r="M122" i="39" s="1"/>
  <c r="H35" i="39"/>
  <c r="AB35" i="39"/>
  <c r="B104" i="39"/>
  <c r="D97" i="39"/>
  <c r="J23" i="39"/>
  <c r="D95" i="39"/>
  <c r="E95" i="39" s="1"/>
  <c r="F95" i="39" s="1"/>
  <c r="D93" i="39"/>
  <c r="E93" i="39"/>
  <c r="F93" i="39" s="1"/>
  <c r="G93" i="39"/>
  <c r="D91" i="39"/>
  <c r="E91" i="39" s="1"/>
  <c r="F91" i="39" s="1"/>
  <c r="G91" i="39" s="1"/>
  <c r="D89" i="39"/>
  <c r="E89" i="39"/>
  <c r="F89" i="39"/>
  <c r="G89"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c r="F40" i="39"/>
  <c r="AA40" i="39" s="1"/>
  <c r="Q35" i="39"/>
  <c r="Z35" i="39"/>
  <c r="Q34" i="39"/>
  <c r="Z34" i="39" s="1"/>
  <c r="Q32" i="39"/>
  <c r="Z32" i="39" s="1"/>
  <c r="Q31" i="39"/>
  <c r="Z31" i="39"/>
  <c r="Q27" i="39"/>
  <c r="Z27" i="39"/>
  <c r="Q25" i="39"/>
  <c r="Z25" i="39" s="1"/>
  <c r="Q23" i="39"/>
  <c r="Z23" i="39" s="1"/>
  <c r="Q21" i="39"/>
  <c r="Z21" i="39"/>
  <c r="Q19" i="39"/>
  <c r="Z19" i="39" s="1"/>
  <c r="Q17" i="39"/>
  <c r="Z17" i="39"/>
  <c r="Q15" i="39"/>
  <c r="Z15" i="39"/>
  <c r="Q14" i="39"/>
  <c r="Z14" i="39" s="1"/>
  <c r="Q13" i="39"/>
  <c r="Z13" i="39" s="1"/>
  <c r="Q12" i="39"/>
  <c r="Z12" i="39" s="1"/>
  <c r="Q11" i="39"/>
  <c r="Z11" i="39" s="1"/>
  <c r="Q10" i="39"/>
  <c r="Z10" i="39" s="1"/>
  <c r="Q9" i="39"/>
  <c r="Z9" i="39"/>
  <c r="J9" i="39"/>
  <c r="AC9" i="39" s="1"/>
  <c r="H9" i="39"/>
  <c r="AB9" i="39"/>
  <c r="F9" i="39"/>
  <c r="AA9" i="39" s="1"/>
  <c r="J8" i="39"/>
  <c r="AC8" i="39" s="1"/>
  <c r="H8" i="39"/>
  <c r="U8" i="39" s="1"/>
  <c r="F8" i="39"/>
  <c r="AA8" i="39" s="1"/>
  <c r="C20" i="36"/>
  <c r="C20" i="35"/>
  <c r="C16" i="36"/>
  <c r="C16" i="35"/>
  <c r="C14" i="36"/>
  <c r="C14" i="35"/>
  <c r="B80" i="37"/>
  <c r="H25" i="37" s="1"/>
  <c r="U25" i="37"/>
  <c r="B110" i="37"/>
  <c r="J39" i="37" s="1"/>
  <c r="AC39" i="37"/>
  <c r="B108" i="37"/>
  <c r="C23" i="37"/>
  <c r="C19" i="37"/>
  <c r="C17" i="37"/>
  <c r="C15" i="37"/>
  <c r="B112" i="37"/>
  <c r="D107" i="37"/>
  <c r="E107" i="37" s="1"/>
  <c r="F107" i="37" s="1"/>
  <c r="G107" i="37" s="1"/>
  <c r="H107" i="37" s="1"/>
  <c r="I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s="1"/>
  <c r="D73" i="37"/>
  <c r="E73" i="37"/>
  <c r="F73" i="37" s="1"/>
  <c r="D71" i="37"/>
  <c r="H15" i="37"/>
  <c r="AB15" i="37"/>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c r="Q36" i="37"/>
  <c r="Z36" i="37" s="1"/>
  <c r="Q35" i="37"/>
  <c r="Z35" i="37" s="1"/>
  <c r="Q34" i="37"/>
  <c r="Z34" i="37"/>
  <c r="Q33" i="37"/>
  <c r="Z33" i="37" s="1"/>
  <c r="Q32" i="37"/>
  <c r="Z32" i="37" s="1"/>
  <c r="Q31" i="37"/>
  <c r="Z31" i="37" s="1"/>
  <c r="J31" i="37"/>
  <c r="AC31" i="37"/>
  <c r="Q30" i="37"/>
  <c r="Z30" i="37" s="1"/>
  <c r="J30" i="37"/>
  <c r="AC30" i="37"/>
  <c r="H30" i="37"/>
  <c r="AB30" i="37"/>
  <c r="F30" i="37"/>
  <c r="AA30" i="37" s="1"/>
  <c r="Q29" i="37"/>
  <c r="Z29" i="37" s="1"/>
  <c r="H29" i="37"/>
  <c r="AB29" i="37" s="1"/>
  <c r="Q28" i="37"/>
  <c r="Z28" i="37" s="1"/>
  <c r="Q27" i="37"/>
  <c r="Z27" i="37" s="1"/>
  <c r="Q26" i="37"/>
  <c r="Z26" i="37"/>
  <c r="F26" i="37"/>
  <c r="AA26" i="37" s="1"/>
  <c r="Q25" i="37"/>
  <c r="Z25" i="37" s="1"/>
  <c r="J25" i="37"/>
  <c r="AC25" i="37"/>
  <c r="F25" i="37"/>
  <c r="Q23" i="37"/>
  <c r="Z23" i="37" s="1"/>
  <c r="Q19" i="37"/>
  <c r="Z19" i="37" s="1"/>
  <c r="Q17" i="37"/>
  <c r="Z17" i="37"/>
  <c r="Q15" i="37"/>
  <c r="Z15" i="37" s="1"/>
  <c r="Q14" i="37"/>
  <c r="Z14" i="37"/>
  <c r="Q13" i="37"/>
  <c r="Z13" i="37"/>
  <c r="Q12" i="37"/>
  <c r="Z12" i="37" s="1"/>
  <c r="Q11" i="37"/>
  <c r="Z11" i="37" s="1"/>
  <c r="Q10" i="37"/>
  <c r="Z10" i="37" s="1"/>
  <c r="F10" i="37"/>
  <c r="AA10" i="37" s="1"/>
  <c r="Q9" i="37"/>
  <c r="Z9" i="37" s="1"/>
  <c r="J8" i="37"/>
  <c r="W8" i="37"/>
  <c r="H8" i="37"/>
  <c r="AB8" i="37" s="1"/>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c r="K81" i="36"/>
  <c r="L81" i="36" s="1"/>
  <c r="M81" i="36" s="1"/>
  <c r="F79" i="36"/>
  <c r="E79" i="36"/>
  <c r="D79" i="36"/>
  <c r="C79" i="36"/>
  <c r="B93" i="36"/>
  <c r="H33" i="36" s="1"/>
  <c r="B91" i="36"/>
  <c r="F32" i="36"/>
  <c r="B95" i="36"/>
  <c r="H34" i="36"/>
  <c r="D83" i="36"/>
  <c r="E83" i="36" s="1"/>
  <c r="F83" i="36"/>
  <c r="G83" i="36" s="1"/>
  <c r="H83" i="36" s="1"/>
  <c r="I83" i="36" s="1"/>
  <c r="J83" i="36" s="1"/>
  <c r="K83" i="36" s="1"/>
  <c r="L83" i="36"/>
  <c r="M83" i="36" s="1"/>
  <c r="D78" i="36"/>
  <c r="E78" i="36"/>
  <c r="F78" i="36" s="1"/>
  <c r="G78" i="36" s="1"/>
  <c r="H78" i="36" s="1"/>
  <c r="I78" i="36" s="1"/>
  <c r="J78" i="36" s="1"/>
  <c r="K78" i="36" s="1"/>
  <c r="L78" i="36" s="1"/>
  <c r="M78" i="36" s="1"/>
  <c r="B75" i="36"/>
  <c r="B73" i="36"/>
  <c r="J24" i="36"/>
  <c r="AC24" i="36" s="1"/>
  <c r="B71" i="36"/>
  <c r="D70" i="36"/>
  <c r="H22" i="36"/>
  <c r="AB22" i="36"/>
  <c r="D68" i="36"/>
  <c r="E68" i="36" s="1"/>
  <c r="F68" i="36" s="1"/>
  <c r="G68" i="36" s="1"/>
  <c r="D64" i="36"/>
  <c r="E64" i="36" s="1"/>
  <c r="F64" i="36" s="1"/>
  <c r="G64" i="36"/>
  <c r="J16" i="36"/>
  <c r="D62" i="36"/>
  <c r="E62" i="36"/>
  <c r="F62" i="36" s="1"/>
  <c r="G62" i="36" s="1"/>
  <c r="B59" i="36"/>
  <c r="B57" i="36"/>
  <c r="J12" i="36"/>
  <c r="B55" i="36"/>
  <c r="F54" i="36"/>
  <c r="G54" i="36"/>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s="1"/>
  <c r="Q25" i="36"/>
  <c r="Z25" i="36"/>
  <c r="Q24" i="36"/>
  <c r="Z24" i="36" s="1"/>
  <c r="H24" i="36"/>
  <c r="AB24" i="36" s="1"/>
  <c r="Q23" i="36"/>
  <c r="Z23" i="36"/>
  <c r="J23" i="36"/>
  <c r="AC23" i="36" s="1"/>
  <c r="H23" i="36"/>
  <c r="AB23" i="36" s="1"/>
  <c r="F23" i="36"/>
  <c r="AA23" i="36" s="1"/>
  <c r="Q22" i="36"/>
  <c r="Z22" i="36"/>
  <c r="J22" i="36"/>
  <c r="AC22" i="36" s="1"/>
  <c r="Q20" i="36"/>
  <c r="Z20" i="36"/>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c r="D89" i="35"/>
  <c r="M90" i="35"/>
  <c r="L90" i="35"/>
  <c r="K90" i="35"/>
  <c r="J90" i="35"/>
  <c r="I90" i="35"/>
  <c r="H90" i="35"/>
  <c r="G90" i="35"/>
  <c r="F90" i="35"/>
  <c r="E90" i="35"/>
  <c r="D90" i="35"/>
  <c r="C90" i="35"/>
  <c r="F85" i="35"/>
  <c r="E85" i="35"/>
  <c r="D85" i="35"/>
  <c r="C85" i="35"/>
  <c r="J27" i="35"/>
  <c r="W27" i="35"/>
  <c r="H27" i="35"/>
  <c r="U27" i="35" s="1"/>
  <c r="F27" i="35"/>
  <c r="AA27" i="35" s="1"/>
  <c r="J22" i="35"/>
  <c r="AC22" i="35"/>
  <c r="B101" i="35"/>
  <c r="H36" i="35" s="1"/>
  <c r="AB36" i="35" s="1"/>
  <c r="B99" i="35"/>
  <c r="B97" i="35"/>
  <c r="H34" i="35" s="1"/>
  <c r="AB34" i="35" s="1"/>
  <c r="B77" i="35"/>
  <c r="B75" i="35"/>
  <c r="B73" i="35"/>
  <c r="H23" i="35"/>
  <c r="U23" i="35"/>
  <c r="B57" i="35"/>
  <c r="B61" i="35"/>
  <c r="B59" i="35"/>
  <c r="B131" i="34"/>
  <c r="B129" i="34"/>
  <c r="B127" i="34"/>
  <c r="B99" i="34"/>
  <c r="B97" i="34"/>
  <c r="B95" i="34"/>
  <c r="B93" i="34"/>
  <c r="B75" i="34"/>
  <c r="B73" i="34"/>
  <c r="B71" i="34"/>
  <c r="B130" i="33"/>
  <c r="B128" i="33"/>
  <c r="B126" i="33"/>
  <c r="H44" i="33" s="1"/>
  <c r="B98" i="33"/>
  <c r="B96" i="33"/>
  <c r="B94" i="33"/>
  <c r="B74" i="33"/>
  <c r="B72" i="33"/>
  <c r="B70" i="33"/>
  <c r="J12" i="33"/>
  <c r="D96" i="35"/>
  <c r="E96" i="35" s="1"/>
  <c r="F96" i="35" s="1"/>
  <c r="G96" i="35" s="1"/>
  <c r="D94" i="35"/>
  <c r="E94" i="35"/>
  <c r="F94" i="35"/>
  <c r="G94" i="35"/>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D70" i="35"/>
  <c r="E70" i="35"/>
  <c r="F70" i="35" s="1"/>
  <c r="G70" i="35" s="1"/>
  <c r="D66" i="35"/>
  <c r="E66" i="35"/>
  <c r="F66" i="35" s="1"/>
  <c r="G66" i="35" s="1"/>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B31" i="35"/>
  <c r="AA31" i="35"/>
  <c r="Q30" i="35"/>
  <c r="Z30" i="35" s="1"/>
  <c r="Q29" i="35"/>
  <c r="Z29" i="35" s="1"/>
  <c r="Q28" i="35"/>
  <c r="Z28" i="35"/>
  <c r="J28" i="35"/>
  <c r="H28" i="35"/>
  <c r="AB28" i="35" s="1"/>
  <c r="F28" i="35"/>
  <c r="AA28" i="35"/>
  <c r="Q27" i="35"/>
  <c r="Z27" i="35" s="1"/>
  <c r="Q26" i="35"/>
  <c r="Z26" i="35" s="1"/>
  <c r="Q25" i="35"/>
  <c r="Z25" i="35"/>
  <c r="Q24" i="35"/>
  <c r="Z24" i="35" s="1"/>
  <c r="Q23" i="35"/>
  <c r="Z23" i="35" s="1"/>
  <c r="J23" i="35"/>
  <c r="AC23" i="35"/>
  <c r="Q22" i="35"/>
  <c r="Z22" i="35" s="1"/>
  <c r="Q20" i="35"/>
  <c r="Z20" i="35" s="1"/>
  <c r="Q16" i="35"/>
  <c r="Z16" i="35"/>
  <c r="Q14" i="35"/>
  <c r="Z14" i="35" s="1"/>
  <c r="Q13" i="35"/>
  <c r="Z13" i="35" s="1"/>
  <c r="Q12" i="35"/>
  <c r="Z12" i="35"/>
  <c r="J12" i="35"/>
  <c r="W12" i="35" s="1"/>
  <c r="H12" i="35"/>
  <c r="U12" i="35" s="1"/>
  <c r="F12" i="35"/>
  <c r="S12" i="35"/>
  <c r="Q11" i="35"/>
  <c r="Z11" i="35" s="1"/>
  <c r="Q10" i="35"/>
  <c r="Z10" i="35" s="1"/>
  <c r="Q9" i="35"/>
  <c r="Z9" i="35"/>
  <c r="J8" i="35"/>
  <c r="W8" i="35" s="1"/>
  <c r="H8" i="35"/>
  <c r="AB8" i="35" s="1"/>
  <c r="F8" i="35"/>
  <c r="AA8" i="35"/>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c r="F126" i="34"/>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c r="J102" i="34" s="1"/>
  <c r="K102" i="34" s="1"/>
  <c r="L102" i="34" s="1"/>
  <c r="M102" i="34" s="1"/>
  <c r="D92" i="34"/>
  <c r="E92" i="34"/>
  <c r="F92" i="34" s="1"/>
  <c r="G92" i="34" s="1"/>
  <c r="H92" i="34"/>
  <c r="I92" i="34"/>
  <c r="J92" i="34" s="1"/>
  <c r="K92" i="34" s="1"/>
  <c r="L92" i="34" s="1"/>
  <c r="M92" i="34" s="1"/>
  <c r="B91" i="34"/>
  <c r="B89" i="34"/>
  <c r="J27" i="34" s="1"/>
  <c r="W27" i="34" s="1"/>
  <c r="D88" i="34"/>
  <c r="E88" i="34" s="1"/>
  <c r="F88" i="34" s="1"/>
  <c r="D86" i="34"/>
  <c r="E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c r="Q39" i="34"/>
  <c r="Z39" i="34" s="1"/>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c r="Q29" i="34"/>
  <c r="Z29" i="34" s="1"/>
  <c r="Q28" i="34"/>
  <c r="Z28" i="34" s="1"/>
  <c r="Q27" i="34"/>
  <c r="Z27" i="34"/>
  <c r="Q25" i="34"/>
  <c r="Z25" i="34" s="1"/>
  <c r="Q23" i="34"/>
  <c r="Z23" i="34" s="1"/>
  <c r="C23" i="34"/>
  <c r="Q19" i="34"/>
  <c r="Z19" i="34"/>
  <c r="C19" i="34"/>
  <c r="Q17" i="34"/>
  <c r="Z17" i="34" s="1"/>
  <c r="C17" i="34"/>
  <c r="Q15" i="34"/>
  <c r="Z15" i="34" s="1"/>
  <c r="Q14" i="34"/>
  <c r="Z14" i="34"/>
  <c r="Q13" i="34"/>
  <c r="Z13" i="34"/>
  <c r="Q12" i="34"/>
  <c r="Z12" i="34" s="1"/>
  <c r="Q11" i="34"/>
  <c r="Z11" i="34" s="1"/>
  <c r="Q10" i="34"/>
  <c r="Z10" i="34" s="1"/>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D115" i="33"/>
  <c r="D108" i="33"/>
  <c r="E108" i="33"/>
  <c r="F108" i="33" s="1"/>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s="1"/>
  <c r="F69" i="33" s="1"/>
  <c r="G69" i="33" s="1"/>
  <c r="H69" i="33" s="1"/>
  <c r="I69" i="33" s="1"/>
  <c r="J69" i="33"/>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s="1"/>
  <c r="Q43" i="33"/>
  <c r="Z43" i="33"/>
  <c r="Q42" i="33"/>
  <c r="Z42" i="33" s="1"/>
  <c r="J42" i="33"/>
  <c r="AC42" i="33" s="1"/>
  <c r="AC41" i="33"/>
  <c r="W41" i="33"/>
  <c r="Q41" i="33"/>
  <c r="Z41" i="33" s="1"/>
  <c r="Q40" i="33"/>
  <c r="Z40" i="33" s="1"/>
  <c r="J40" i="33"/>
  <c r="AC40" i="33" s="1"/>
  <c r="H40" i="33"/>
  <c r="AB40" i="33" s="1"/>
  <c r="AA40" i="33"/>
  <c r="Q39" i="33"/>
  <c r="Z39" i="33" s="1"/>
  <c r="Q38" i="33"/>
  <c r="Z38" i="33"/>
  <c r="J38" i="33"/>
  <c r="AC38" i="33" s="1"/>
  <c r="H38" i="33"/>
  <c r="AB38" i="33" s="1"/>
  <c r="Q37" i="33"/>
  <c r="Z37" i="33" s="1"/>
  <c r="Q36" i="33"/>
  <c r="Z36" i="33"/>
  <c r="Q35" i="33"/>
  <c r="Z35" i="33" s="1"/>
  <c r="H35" i="33"/>
  <c r="AB35" i="33" s="1"/>
  <c r="Q34" i="33"/>
  <c r="Z34" i="33"/>
  <c r="Q33" i="33"/>
  <c r="Z33" i="33"/>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c r="G15" i="20"/>
  <c r="B81" i="43" s="1"/>
  <c r="C24" i="20"/>
  <c r="B73" i="43" s="1"/>
  <c r="C21" i="20"/>
  <c r="B74" i="43" s="1"/>
  <c r="C20" i="20"/>
  <c r="B77" i="43" s="1"/>
  <c r="C18" i="20"/>
  <c r="B71" i="43" s="1"/>
  <c r="C17" i="20"/>
  <c r="B59" i="43" s="1"/>
  <c r="C16" i="20"/>
  <c r="C17" i="39" s="1"/>
  <c r="C15" i="20"/>
  <c r="B70" i="43"/>
  <c r="E54" i="21"/>
  <c r="F54" i="21"/>
  <c r="I54" i="21"/>
  <c r="J54" i="21" s="1"/>
  <c r="G54" i="21"/>
  <c r="H54" i="21" s="1"/>
  <c r="D125" i="21"/>
  <c r="E125" i="21"/>
  <c r="F125" i="21"/>
  <c r="G125" i="21" s="1"/>
  <c r="D123" i="21"/>
  <c r="E123" i="21"/>
  <c r="F123" i="21" s="1"/>
  <c r="G123" i="21" s="1"/>
  <c r="H123" i="21" s="1"/>
  <c r="I123" i="21" s="1"/>
  <c r="J123" i="21" s="1"/>
  <c r="F42" i="21"/>
  <c r="AA42" i="21"/>
  <c r="D119" i="21"/>
  <c r="F40" i="21"/>
  <c r="AA40" i="21"/>
  <c r="D117" i="21"/>
  <c r="E117" i="21"/>
  <c r="F117" i="21"/>
  <c r="G117" i="21" s="1"/>
  <c r="D115" i="21"/>
  <c r="E115" i="21" s="1"/>
  <c r="F115" i="21" s="1"/>
  <c r="G115" i="21" s="1"/>
  <c r="H115" i="21" s="1"/>
  <c r="I115" i="21" s="1"/>
  <c r="J115" i="21" s="1"/>
  <c r="K115" i="21" s="1"/>
  <c r="L115" i="21" s="1"/>
  <c r="M115" i="21" s="1"/>
  <c r="D113" i="21"/>
  <c r="E113" i="21" s="1"/>
  <c r="F113" i="21"/>
  <c r="G113" i="21"/>
  <c r="H113" i="21"/>
  <c r="D110" i="21"/>
  <c r="E110" i="21"/>
  <c r="F110" i="21" s="1"/>
  <c r="G110" i="21" s="1"/>
  <c r="H110" i="21" s="1"/>
  <c r="I110" i="21" s="1"/>
  <c r="J110" i="2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c r="K106" i="21" s="1"/>
  <c r="L106" i="21" s="1"/>
  <c r="M106" i="21" s="1"/>
  <c r="D101" i="21"/>
  <c r="E101" i="21"/>
  <c r="F101" i="21"/>
  <c r="G101" i="21" s="1"/>
  <c r="H101" i="21" s="1"/>
  <c r="D89" i="21"/>
  <c r="E89" i="21" s="1"/>
  <c r="F89" i="21"/>
  <c r="G89" i="21"/>
  <c r="H89" i="2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c r="D66" i="21"/>
  <c r="E66" i="21"/>
  <c r="F66" i="21" s="1"/>
  <c r="G66" i="21" s="1"/>
  <c r="H66" i="21" s="1"/>
  <c r="I66" i="21"/>
  <c r="D111" i="21"/>
  <c r="E111" i="21"/>
  <c r="F111" i="21"/>
  <c r="C111" i="21"/>
  <c r="D79" i="21"/>
  <c r="E79" i="21"/>
  <c r="F79" i="21" s="1"/>
  <c r="G79" i="21" s="1"/>
  <c r="D85" i="21"/>
  <c r="F19" i="21"/>
  <c r="AA19" i="21"/>
  <c r="E81" i="21"/>
  <c r="F81" i="21" s="1"/>
  <c r="G81" i="21"/>
  <c r="D77" i="21"/>
  <c r="E77" i="21"/>
  <c r="B130" i="21"/>
  <c r="B128" i="21"/>
  <c r="J45" i="21" s="1"/>
  <c r="W45" i="21"/>
  <c r="B126" i="21"/>
  <c r="B98" i="21"/>
  <c r="H31" i="21"/>
  <c r="B96" i="21"/>
  <c r="B94" i="21"/>
  <c r="J29" i="21"/>
  <c r="AC29" i="21"/>
  <c r="B92" i="21"/>
  <c r="B90" i="21"/>
  <c r="J27" i="21" s="1"/>
  <c r="W27" i="21" s="1"/>
  <c r="B74" i="21"/>
  <c r="B72" i="21"/>
  <c r="H13" i="21"/>
  <c r="B70" i="21"/>
  <c r="F12" i="21"/>
  <c r="S12" i="21" s="1"/>
  <c r="C19" i="21"/>
  <c r="C17" i="21"/>
  <c r="C23" i="21"/>
  <c r="Q9" i="21"/>
  <c r="Z9" i="21" s="1"/>
  <c r="Q10" i="21"/>
  <c r="Z10" i="21"/>
  <c r="Q11" i="21"/>
  <c r="Z11" i="21"/>
  <c r="Q12" i="21"/>
  <c r="Z12" i="21" s="1"/>
  <c r="Q13" i="21"/>
  <c r="Z13" i="21"/>
  <c r="Q14" i="21"/>
  <c r="Z14" i="21"/>
  <c r="Q15" i="21"/>
  <c r="Z15" i="21" s="1"/>
  <c r="Q17" i="21"/>
  <c r="Z17" i="21"/>
  <c r="Q19" i="21"/>
  <c r="Z19" i="21"/>
  <c r="Q23" i="21"/>
  <c r="Z23" i="21" s="1"/>
  <c r="Q25" i="21"/>
  <c r="Z25" i="21"/>
  <c r="Q26" i="21"/>
  <c r="Z26" i="21"/>
  <c r="Q27" i="21"/>
  <c r="Z27" i="21" s="1"/>
  <c r="Q28" i="21"/>
  <c r="Z28" i="21"/>
  <c r="Q29" i="21"/>
  <c r="Z29" i="21"/>
  <c r="Q30" i="21"/>
  <c r="Z30" i="21" s="1"/>
  <c r="Q31" i="21"/>
  <c r="Z31" i="21"/>
  <c r="Q32" i="21"/>
  <c r="Z32" i="21"/>
  <c r="Q33" i="21"/>
  <c r="Z33" i="21" s="1"/>
  <c r="Q34" i="21"/>
  <c r="Z34" i="21"/>
  <c r="J35" i="21"/>
  <c r="W35" i="21" s="1"/>
  <c r="Q35" i="21"/>
  <c r="Z35" i="21" s="1"/>
  <c r="Q36" i="21"/>
  <c r="Z36" i="21"/>
  <c r="Q37" i="21"/>
  <c r="Z37" i="21" s="1"/>
  <c r="J38" i="21"/>
  <c r="W38" i="21" s="1"/>
  <c r="Q38" i="21"/>
  <c r="Z38" i="21"/>
  <c r="J39" i="21"/>
  <c r="AC39" i="21" s="1"/>
  <c r="Q39" i="21"/>
  <c r="Z39" i="21" s="1"/>
  <c r="H40" i="21"/>
  <c r="AB40"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A587" i="3" s="1"/>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c r="H43" i="21"/>
  <c r="AB43" i="21"/>
  <c r="F38" i="21"/>
  <c r="S38" i="21" s="1"/>
  <c r="F36" i="21"/>
  <c r="S36" i="21"/>
  <c r="F39" i="21"/>
  <c r="AA39" i="21"/>
  <c r="J40" i="21"/>
  <c r="W40" i="21" s="1"/>
  <c r="H35" i="21"/>
  <c r="AB35" i="21"/>
  <c r="J8" i="21"/>
  <c r="AC8" i="21"/>
  <c r="H8" i="21"/>
  <c r="U8" i="21" s="1"/>
  <c r="H10" i="21"/>
  <c r="AB10" i="21"/>
  <c r="H39" i="21"/>
  <c r="U39" i="21"/>
  <c r="J34" i="21"/>
  <c r="W34" i="21" s="1"/>
  <c r="H36" i="21"/>
  <c r="U36" i="21" s="1"/>
  <c r="F35" i="21"/>
  <c r="AA35" i="21"/>
  <c r="J10" i="21"/>
  <c r="AC10" i="21" s="1"/>
  <c r="H26" i="21"/>
  <c r="AB26" i="21" s="1"/>
  <c r="AB19" i="21"/>
  <c r="J19" i="21"/>
  <c r="W19" i="21" s="1"/>
  <c r="J12" i="21"/>
  <c r="AC12" i="21"/>
  <c r="H12" i="21"/>
  <c r="AB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W25" i="37"/>
  <c r="U30" i="37"/>
  <c r="W31" i="37"/>
  <c r="E103" i="37"/>
  <c r="F103" i="37"/>
  <c r="G103" i="37"/>
  <c r="H103" i="37" s="1"/>
  <c r="I103" i="37" s="1"/>
  <c r="J103" i="37" s="1"/>
  <c r="K103" i="37" s="1"/>
  <c r="L103" i="37" s="1"/>
  <c r="M103" i="37"/>
  <c r="F39" i="37"/>
  <c r="S39" i="37" s="1"/>
  <c r="U14" i="37"/>
  <c r="F29" i="36"/>
  <c r="AA29" i="36"/>
  <c r="W8" i="36"/>
  <c r="F16" i="36"/>
  <c r="AA16" i="36" s="1"/>
  <c r="W28" i="36"/>
  <c r="S30" i="36"/>
  <c r="AA31" i="36"/>
  <c r="AC31" i="36"/>
  <c r="W31" i="36"/>
  <c r="U31" i="36"/>
  <c r="J33" i="36"/>
  <c r="W33" i="36"/>
  <c r="H22" i="35"/>
  <c r="AB22" i="35" s="1"/>
  <c r="AC27" i="35"/>
  <c r="U31" i="35"/>
  <c r="W34" i="35"/>
  <c r="W36" i="35"/>
  <c r="W22" i="35"/>
  <c r="S31" i="35"/>
  <c r="U34" i="35"/>
  <c r="F36" i="34"/>
  <c r="S36" i="34" s="1"/>
  <c r="J35" i="34"/>
  <c r="AC35" i="34" s="1"/>
  <c r="S34" i="34"/>
  <c r="U34" i="34"/>
  <c r="F26" i="33"/>
  <c r="AA26" i="33" s="1"/>
  <c r="U33" i="33"/>
  <c r="S40" i="33"/>
  <c r="W33" i="33"/>
  <c r="H39" i="37"/>
  <c r="AB39" i="37" s="1"/>
  <c r="S27" i="35"/>
  <c r="F11" i="40"/>
  <c r="AA11" i="40" s="1"/>
  <c r="H11" i="40"/>
  <c r="AB11" i="40"/>
  <c r="W8" i="40"/>
  <c r="AB39" i="40"/>
  <c r="AA9" i="40"/>
  <c r="AC9" i="40"/>
  <c r="U9" i="40"/>
  <c r="S34" i="40"/>
  <c r="U38" i="40"/>
  <c r="W31" i="40"/>
  <c r="U34" i="40"/>
  <c r="F42" i="39"/>
  <c r="AA42" i="39"/>
  <c r="F41" i="39"/>
  <c r="S41" i="39" s="1"/>
  <c r="H40" i="39"/>
  <c r="AB40" i="39" s="1"/>
  <c r="H39" i="39"/>
  <c r="U39" i="39"/>
  <c r="S38" i="39"/>
  <c r="S34" i="39"/>
  <c r="H34" i="39"/>
  <c r="U34" i="39" s="1"/>
  <c r="H31" i="39"/>
  <c r="AB31" i="39" s="1"/>
  <c r="F31" i="39"/>
  <c r="AA31" i="39"/>
  <c r="E101" i="39"/>
  <c r="F101" i="39" s="1"/>
  <c r="G101" i="39" s="1"/>
  <c r="H19" i="39"/>
  <c r="AB19" i="39"/>
  <c r="F19" i="39"/>
  <c r="AA19" i="39" s="1"/>
  <c r="H17" i="39"/>
  <c r="AB17" i="39" s="1"/>
  <c r="F17" i="39"/>
  <c r="AA17" i="39"/>
  <c r="J23" i="40"/>
  <c r="AC23" i="40" s="1"/>
  <c r="F21" i="40"/>
  <c r="AA21" i="40" s="1"/>
  <c r="J21" i="40"/>
  <c r="W21" i="40"/>
  <c r="H42" i="39"/>
  <c r="AB42" i="39" s="1"/>
  <c r="J34" i="39"/>
  <c r="AC34" i="39" s="1"/>
  <c r="G109" i="39"/>
  <c r="H109" i="39" s="1"/>
  <c r="I109" i="39" s="1"/>
  <c r="J109" i="39" s="1"/>
  <c r="K109" i="39" s="1"/>
  <c r="L109" i="39" s="1"/>
  <c r="M109" i="39" s="1"/>
  <c r="J31" i="39"/>
  <c r="H27" i="39"/>
  <c r="U27" i="39" s="1"/>
  <c r="J19" i="39"/>
  <c r="AC19" i="39"/>
  <c r="J17" i="39"/>
  <c r="J27" i="39"/>
  <c r="AC27" i="39"/>
  <c r="F27" i="39"/>
  <c r="F11" i="21"/>
  <c r="S11" i="21"/>
  <c r="S40" i="21"/>
  <c r="U34" i="21"/>
  <c r="S34" i="21"/>
  <c r="C25" i="39"/>
  <c r="C27" i="39"/>
  <c r="C21" i="39"/>
  <c r="H11" i="39"/>
  <c r="S40" i="39"/>
  <c r="C15" i="39"/>
  <c r="H32" i="33"/>
  <c r="AB32" i="33" s="1"/>
  <c r="H11" i="21"/>
  <c r="U11" i="21"/>
  <c r="J11" i="21"/>
  <c r="W11" i="21" s="1"/>
  <c r="H37" i="40"/>
  <c r="U37" i="40" s="1"/>
  <c r="H36" i="40"/>
  <c r="AB36" i="40"/>
  <c r="F35" i="40"/>
  <c r="AA35" i="40" s="1"/>
  <c r="H23" i="40"/>
  <c r="AB23" i="40" s="1"/>
  <c r="H17" i="40"/>
  <c r="U17" i="40"/>
  <c r="J15" i="40"/>
  <c r="W15" i="40" s="1"/>
  <c r="J11" i="40"/>
  <c r="W11" i="40" s="1"/>
  <c r="AB8" i="39"/>
  <c r="AB12" i="33"/>
  <c r="AB12" i="35"/>
  <c r="AB12" i="36"/>
  <c r="F37" i="39"/>
  <c r="AA37" i="39" s="1"/>
  <c r="J34" i="36"/>
  <c r="W34" i="36" s="1"/>
  <c r="U30" i="36"/>
  <c r="J30" i="35"/>
  <c r="W30" i="35" s="1"/>
  <c r="H30" i="35"/>
  <c r="AB30" i="35"/>
  <c r="F22" i="35"/>
  <c r="AA22" i="35"/>
  <c r="H10" i="35"/>
  <c r="U10" i="35" s="1"/>
  <c r="F33" i="36"/>
  <c r="AA33" i="36" s="1"/>
  <c r="W30" i="36"/>
  <c r="H16" i="36"/>
  <c r="AB16" i="36" s="1"/>
  <c r="E85" i="36"/>
  <c r="F85" i="36"/>
  <c r="G85" i="36" s="1"/>
  <c r="H85" i="36" s="1"/>
  <c r="I85" i="36"/>
  <c r="J85" i="36" s="1"/>
  <c r="K85" i="36" s="1"/>
  <c r="L85" i="36" s="1"/>
  <c r="M85" i="36" s="1"/>
  <c r="J29" i="36"/>
  <c r="AC29" i="36"/>
  <c r="F12" i="36"/>
  <c r="F24" i="36"/>
  <c r="AA24" i="36"/>
  <c r="F34" i="36"/>
  <c r="S34" i="36"/>
  <c r="S10" i="36"/>
  <c r="AB8" i="36"/>
  <c r="S8" i="36"/>
  <c r="U8" i="35"/>
  <c r="F14" i="35"/>
  <c r="AA14" i="35"/>
  <c r="F23" i="35"/>
  <c r="J32" i="35"/>
  <c r="AC32" i="35"/>
  <c r="J16" i="35"/>
  <c r="AC16" i="35"/>
  <c r="H16" i="35"/>
  <c r="U16" i="35" s="1"/>
  <c r="F16" i="35"/>
  <c r="S16" i="35"/>
  <c r="H14" i="35"/>
  <c r="AB14" i="35"/>
  <c r="J29" i="35"/>
  <c r="H33" i="35"/>
  <c r="AB33" i="35" s="1"/>
  <c r="AC8" i="35"/>
  <c r="J20" i="35"/>
  <c r="W20" i="35"/>
  <c r="F35" i="37"/>
  <c r="S35" i="37" s="1"/>
  <c r="E101" i="37"/>
  <c r="F101" i="37"/>
  <c r="G101" i="37"/>
  <c r="H101" i="37"/>
  <c r="I101" i="37"/>
  <c r="J101" i="37" s="1"/>
  <c r="K101" i="37" s="1"/>
  <c r="L101" i="37" s="1"/>
  <c r="M101" i="37" s="1"/>
  <c r="J34" i="37"/>
  <c r="W34" i="37"/>
  <c r="S10" i="37"/>
  <c r="AA39" i="37"/>
  <c r="AB34" i="37"/>
  <c r="J33" i="37"/>
  <c r="AC33" i="37"/>
  <c r="U42" i="34"/>
  <c r="H40" i="34"/>
  <c r="U40" i="34" s="1"/>
  <c r="E114" i="34"/>
  <c r="H36" i="34"/>
  <c r="U36" i="34" s="1"/>
  <c r="F28" i="34"/>
  <c r="AA28" i="34" s="1"/>
  <c r="F27" i="34"/>
  <c r="AA27" i="34" s="1"/>
  <c r="J28" i="34"/>
  <c r="W28" i="34" s="1"/>
  <c r="F41" i="33"/>
  <c r="AA41" i="33" s="1"/>
  <c r="E113" i="33"/>
  <c r="F113" i="33" s="1"/>
  <c r="G113" i="33" s="1"/>
  <c r="H113" i="33" s="1"/>
  <c r="I113" i="33" s="1"/>
  <c r="J113" i="33" s="1"/>
  <c r="K113" i="33" s="1"/>
  <c r="L113" i="33" s="1"/>
  <c r="M113" i="33" s="1"/>
  <c r="F32" i="33"/>
  <c r="AA32" i="33" s="1"/>
  <c r="F11" i="33"/>
  <c r="AA11" i="33" s="1"/>
  <c r="U40" i="33"/>
  <c r="F37" i="40"/>
  <c r="AA37" i="40" s="1"/>
  <c r="F36" i="40"/>
  <c r="AA36" i="40"/>
  <c r="H28" i="40"/>
  <c r="U28" i="40"/>
  <c r="F23" i="40"/>
  <c r="AA23" i="40" s="1"/>
  <c r="F17" i="40"/>
  <c r="AA17" i="40" s="1"/>
  <c r="J17" i="40"/>
  <c r="W17" i="40"/>
  <c r="F15" i="40"/>
  <c r="S15" i="40" s="1"/>
  <c r="H15" i="40"/>
  <c r="AB15" i="40" s="1"/>
  <c r="AC11" i="40"/>
  <c r="S12" i="36"/>
  <c r="AA12" i="36"/>
  <c r="AB30" i="36"/>
  <c r="AC34" i="36"/>
  <c r="U30" i="35"/>
  <c r="U33" i="35"/>
  <c r="F29" i="35"/>
  <c r="H29" i="35"/>
  <c r="AB29" i="35"/>
  <c r="H33" i="37"/>
  <c r="AB33" i="37"/>
  <c r="F33" i="37"/>
  <c r="AA33" i="37" s="1"/>
  <c r="U34" i="37"/>
  <c r="W33" i="37"/>
  <c r="S34" i="37"/>
  <c r="AA34" i="37"/>
  <c r="J43" i="34"/>
  <c r="AB42" i="34"/>
  <c r="J40" i="34"/>
  <c r="AC40" i="34" s="1"/>
  <c r="F114" i="34"/>
  <c r="G114" i="34" s="1"/>
  <c r="H114" i="34" s="1"/>
  <c r="I114" i="34" s="1"/>
  <c r="J114" i="34" s="1"/>
  <c r="K114" i="34" s="1"/>
  <c r="L114" i="34" s="1"/>
  <c r="M114" i="34" s="1"/>
  <c r="H38" i="34"/>
  <c r="AB38" i="34" s="1"/>
  <c r="J36" i="34"/>
  <c r="W36" i="34" s="1"/>
  <c r="H37" i="33"/>
  <c r="AB37" i="33" s="1"/>
  <c r="H11" i="33"/>
  <c r="AB11" i="33" s="1"/>
  <c r="F28" i="40"/>
  <c r="AA28" i="40" s="1"/>
  <c r="AA42" i="34"/>
  <c r="S42" i="34"/>
  <c r="AC38" i="34"/>
  <c r="J11" i="33"/>
  <c r="W11" i="33" s="1"/>
  <c r="U23" i="40"/>
  <c r="K123" i="21"/>
  <c r="L123" i="21" s="1"/>
  <c r="M123" i="21" s="1"/>
  <c r="J42" i="21"/>
  <c r="AC42" i="21" s="1"/>
  <c r="H42" i="21"/>
  <c r="U42" i="21"/>
  <c r="J44" i="34"/>
  <c r="W44" i="34" s="1"/>
  <c r="F44" i="34"/>
  <c r="AA44" i="34" s="1"/>
  <c r="J10" i="35"/>
  <c r="W10" i="35" s="1"/>
  <c r="J14" i="21"/>
  <c r="W14" i="21" s="1"/>
  <c r="F14" i="21"/>
  <c r="S14" i="21"/>
  <c r="H14" i="21"/>
  <c r="U14" i="21"/>
  <c r="H28" i="21"/>
  <c r="AB28" i="21" s="1"/>
  <c r="F28" i="21"/>
  <c r="AA28" i="21"/>
  <c r="J28" i="21"/>
  <c r="W28" i="21"/>
  <c r="H30" i="21"/>
  <c r="U30" i="21" s="1"/>
  <c r="F30" i="21"/>
  <c r="S30" i="21"/>
  <c r="J30" i="21"/>
  <c r="AC30" i="21"/>
  <c r="H46" i="21"/>
  <c r="U46" i="21" s="1"/>
  <c r="J46" i="21"/>
  <c r="W46" i="21"/>
  <c r="F46" i="21"/>
  <c r="AA46" i="21"/>
  <c r="E119" i="21"/>
  <c r="F119" i="21" s="1"/>
  <c r="G119" i="21" s="1"/>
  <c r="H119" i="21" s="1"/>
  <c r="I119" i="21" s="1"/>
  <c r="J119" i="21" s="1"/>
  <c r="K119" i="21"/>
  <c r="L119" i="21" s="1"/>
  <c r="M119" i="21" s="1"/>
  <c r="H26" i="33"/>
  <c r="U26" i="33" s="1"/>
  <c r="H28" i="33"/>
  <c r="U28" i="33" s="1"/>
  <c r="F28" i="33"/>
  <c r="AA28" i="33" s="1"/>
  <c r="J28" i="33"/>
  <c r="W28" i="33" s="1"/>
  <c r="F33" i="35"/>
  <c r="S33" i="35" s="1"/>
  <c r="J33" i="35"/>
  <c r="AC33" i="35" s="1"/>
  <c r="F30" i="35"/>
  <c r="S30" i="35"/>
  <c r="E89" i="35"/>
  <c r="F89" i="35" s="1"/>
  <c r="G89" i="35" s="1"/>
  <c r="H89" i="35" s="1"/>
  <c r="I89" i="35" s="1"/>
  <c r="J89" i="35" s="1"/>
  <c r="K89" i="35" s="1"/>
  <c r="L89" i="35" s="1"/>
  <c r="M89" i="35" s="1"/>
  <c r="H10" i="36"/>
  <c r="AB10" i="36"/>
  <c r="J14" i="36"/>
  <c r="AC14" i="36" s="1"/>
  <c r="H14" i="36"/>
  <c r="U14" i="36"/>
  <c r="F28" i="36"/>
  <c r="AA28" i="36"/>
  <c r="J13" i="21"/>
  <c r="AC13" i="21" s="1"/>
  <c r="H27" i="21"/>
  <c r="AB27" i="21"/>
  <c r="F27" i="21"/>
  <c r="AA27" i="21"/>
  <c r="H29" i="21"/>
  <c r="U29" i="21" s="1"/>
  <c r="J31" i="21"/>
  <c r="AC31" i="21"/>
  <c r="F31" i="21"/>
  <c r="S31" i="21"/>
  <c r="F45" i="21"/>
  <c r="AA45" i="21" s="1"/>
  <c r="F27" i="33"/>
  <c r="AA27" i="33" s="1"/>
  <c r="J13" i="33"/>
  <c r="H13" i="33"/>
  <c r="AB13" i="33"/>
  <c r="F13" i="33"/>
  <c r="J29" i="33"/>
  <c r="AC29" i="33" s="1"/>
  <c r="H29" i="33"/>
  <c r="U29" i="33" s="1"/>
  <c r="F29" i="33"/>
  <c r="S29" i="33" s="1"/>
  <c r="J31" i="33"/>
  <c r="W31" i="33" s="1"/>
  <c r="H31" i="33"/>
  <c r="F31" i="33"/>
  <c r="H45" i="33"/>
  <c r="U45" i="33"/>
  <c r="J45" i="33"/>
  <c r="W45" i="33"/>
  <c r="F45" i="33"/>
  <c r="J14" i="34"/>
  <c r="W14" i="34"/>
  <c r="F14" i="34"/>
  <c r="S14" i="34"/>
  <c r="H14" i="34"/>
  <c r="U14" i="34" s="1"/>
  <c r="H30" i="34"/>
  <c r="F30" i="34"/>
  <c r="S30" i="34"/>
  <c r="J30" i="34"/>
  <c r="W30" i="34"/>
  <c r="H32" i="34"/>
  <c r="U32" i="34" s="1"/>
  <c r="F32" i="34"/>
  <c r="J32" i="34"/>
  <c r="W32" i="34"/>
  <c r="H46" i="34"/>
  <c r="AB46" i="34" s="1"/>
  <c r="U46" i="34"/>
  <c r="F46" i="34"/>
  <c r="S46" i="34" s="1"/>
  <c r="J46" i="34"/>
  <c r="H11" i="35"/>
  <c r="U11" i="35"/>
  <c r="J11" i="35"/>
  <c r="AC11" i="35"/>
  <c r="F11" i="35"/>
  <c r="S11" i="35" s="1"/>
  <c r="J26" i="36"/>
  <c r="W26" i="36"/>
  <c r="H28" i="36"/>
  <c r="U28" i="36"/>
  <c r="H32" i="36"/>
  <c r="AB32" i="36" s="1"/>
  <c r="J32" i="36"/>
  <c r="W32" i="36"/>
  <c r="J11" i="36"/>
  <c r="AC11" i="36"/>
  <c r="H11" i="36"/>
  <c r="F11" i="36"/>
  <c r="AA11" i="36"/>
  <c r="H13" i="36"/>
  <c r="AB13" i="36"/>
  <c r="J13" i="36"/>
  <c r="F13" i="36"/>
  <c r="S13" i="36" s="1"/>
  <c r="E89" i="37"/>
  <c r="F89" i="37" s="1"/>
  <c r="G89" i="37" s="1"/>
  <c r="H89" i="37"/>
  <c r="I89" i="37" s="1"/>
  <c r="J89" i="37" s="1"/>
  <c r="K89" i="37" s="1"/>
  <c r="L89" i="37" s="1"/>
  <c r="M89" i="37" s="1"/>
  <c r="J29" i="37"/>
  <c r="W29" i="37" s="1"/>
  <c r="F29" i="37"/>
  <c r="S29" i="37"/>
  <c r="F105" i="37"/>
  <c r="H36" i="37"/>
  <c r="AB36" i="37"/>
  <c r="J37" i="37"/>
  <c r="AC37" i="37"/>
  <c r="H37" i="37"/>
  <c r="U37" i="37"/>
  <c r="H40" i="37"/>
  <c r="U40" i="37" s="1"/>
  <c r="J40" i="37"/>
  <c r="AC40" i="37"/>
  <c r="F40" i="37"/>
  <c r="AA40" i="37"/>
  <c r="AC12" i="40"/>
  <c r="W12" i="40"/>
  <c r="H14" i="33"/>
  <c r="U14" i="33"/>
  <c r="F14" i="33"/>
  <c r="S14" i="33"/>
  <c r="J14" i="33"/>
  <c r="H30" i="33"/>
  <c r="AB30" i="33" s="1"/>
  <c r="F30" i="33"/>
  <c r="J30" i="33"/>
  <c r="J44" i="33"/>
  <c r="W44" i="33" s="1"/>
  <c r="F44" i="33"/>
  <c r="S44" i="33" s="1"/>
  <c r="J46" i="33"/>
  <c r="AC46" i="33"/>
  <c r="F46" i="33"/>
  <c r="AA46" i="33"/>
  <c r="H46" i="33"/>
  <c r="AB46" i="33" s="1"/>
  <c r="H13" i="34"/>
  <c r="U13" i="34"/>
  <c r="J13" i="34"/>
  <c r="W13" i="34"/>
  <c r="F13" i="34"/>
  <c r="AA13" i="34" s="1"/>
  <c r="J29" i="34"/>
  <c r="F29" i="34"/>
  <c r="S29" i="34"/>
  <c r="H29" i="34"/>
  <c r="AB29" i="34" s="1"/>
  <c r="J31" i="34"/>
  <c r="AC31" i="34"/>
  <c r="H31" i="34"/>
  <c r="U31" i="34" s="1"/>
  <c r="AB31" i="34"/>
  <c r="F31" i="34"/>
  <c r="S31" i="34" s="1"/>
  <c r="H45" i="34"/>
  <c r="U45" i="34"/>
  <c r="J45" i="34"/>
  <c r="W45" i="34"/>
  <c r="F45" i="34"/>
  <c r="S45" i="34" s="1"/>
  <c r="H47" i="34"/>
  <c r="U47" i="34"/>
  <c r="F47" i="34"/>
  <c r="S47" i="34"/>
  <c r="J47" i="34"/>
  <c r="F13" i="35"/>
  <c r="S13" i="35"/>
  <c r="J13" i="35"/>
  <c r="AC13" i="35"/>
  <c r="H13" i="35"/>
  <c r="U13" i="35" s="1"/>
  <c r="J25" i="35"/>
  <c r="W25" i="35"/>
  <c r="F25" i="35"/>
  <c r="S25" i="35"/>
  <c r="H25" i="35"/>
  <c r="AB25" i="35" s="1"/>
  <c r="J35" i="35"/>
  <c r="AC35" i="35"/>
  <c r="F35" i="35"/>
  <c r="AA35" i="35"/>
  <c r="H35" i="35"/>
  <c r="J25" i="36"/>
  <c r="W25" i="36"/>
  <c r="F25" i="36"/>
  <c r="S25" i="36"/>
  <c r="H25" i="36"/>
  <c r="AB25" i="36" s="1"/>
  <c r="H13" i="37"/>
  <c r="AB13" i="37"/>
  <c r="F13" i="37"/>
  <c r="S13" i="37"/>
  <c r="J13" i="37"/>
  <c r="W13" i="37" s="1"/>
  <c r="F28" i="37"/>
  <c r="AA28" i="37"/>
  <c r="J28" i="37"/>
  <c r="AC28" i="37"/>
  <c r="H28" i="37"/>
  <c r="F38" i="37"/>
  <c r="S38" i="37" s="1"/>
  <c r="F43" i="39"/>
  <c r="AA43" i="39"/>
  <c r="H43" i="39"/>
  <c r="J14" i="39"/>
  <c r="AC14" i="39"/>
  <c r="F14" i="39"/>
  <c r="H14" i="39"/>
  <c r="AB14" i="39"/>
  <c r="F12" i="40"/>
  <c r="S12" i="40"/>
  <c r="H12" i="40"/>
  <c r="AB12" i="40" s="1"/>
  <c r="H30" i="40"/>
  <c r="AB30" i="40"/>
  <c r="F33" i="40"/>
  <c r="AA33" i="40"/>
  <c r="H33" i="40"/>
  <c r="J35" i="40"/>
  <c r="AC35" i="40"/>
  <c r="J37" i="40"/>
  <c r="AC37" i="40"/>
  <c r="H13" i="40"/>
  <c r="U13" i="40" s="1"/>
  <c r="J13" i="40"/>
  <c r="W13" i="40"/>
  <c r="F13" i="40"/>
  <c r="AA13" i="40"/>
  <c r="F14" i="37"/>
  <c r="F27" i="37"/>
  <c r="AA27" i="37"/>
  <c r="F13" i="39"/>
  <c r="J13" i="39"/>
  <c r="W13" i="39"/>
  <c r="H13" i="39"/>
  <c r="H14" i="40"/>
  <c r="AB14" i="40"/>
  <c r="J14" i="40"/>
  <c r="W14" i="40"/>
  <c r="F14" i="40"/>
  <c r="J14" i="37"/>
  <c r="AC14" i="37"/>
  <c r="J27" i="37"/>
  <c r="AC27" i="37"/>
  <c r="AA13" i="35"/>
  <c r="AA14" i="33"/>
  <c r="J36" i="37"/>
  <c r="AC36" i="37"/>
  <c r="G105" i="37"/>
  <c r="AB11" i="35"/>
  <c r="J10" i="36"/>
  <c r="AC10" i="36" s="1"/>
  <c r="AB30" i="21"/>
  <c r="W31" i="34"/>
  <c r="S11" i="36"/>
  <c r="W11" i="36"/>
  <c r="W11" i="35"/>
  <c r="AC30" i="34"/>
  <c r="AA14" i="34"/>
  <c r="AB45" i="33"/>
  <c r="W29" i="33"/>
  <c r="U13" i="33"/>
  <c r="AC28" i="21"/>
  <c r="S44" i="34"/>
  <c r="BA586" i="3"/>
  <c r="F17" i="21"/>
  <c r="AA17" i="21"/>
  <c r="H17" i="21"/>
  <c r="AB17" i="21" s="1"/>
  <c r="F15" i="21"/>
  <c r="S15" i="21" s="1"/>
  <c r="AB11" i="21"/>
  <c r="J41" i="39"/>
  <c r="W41" i="39"/>
  <c r="AC45" i="39"/>
  <c r="W44" i="39"/>
  <c r="W36" i="39"/>
  <c r="W35" i="39"/>
  <c r="U36" i="39"/>
  <c r="S35" i="39"/>
  <c r="G544" i="3"/>
  <c r="G540" i="3"/>
  <c r="G536" i="3"/>
  <c r="G535" i="3"/>
  <c r="G532" i="3"/>
  <c r="G531" i="3"/>
  <c r="G528" i="3"/>
  <c r="G527" i="3"/>
  <c r="G518" i="3"/>
  <c r="G514" i="3"/>
  <c r="G510" i="3"/>
  <c r="G508" i="3"/>
  <c r="G504" i="3"/>
  <c r="G500" i="3"/>
  <c r="G496" i="3"/>
  <c r="G584" i="3"/>
  <c r="G580" i="3"/>
  <c r="G576" i="3"/>
  <c r="G572" i="3"/>
  <c r="G568" i="3"/>
  <c r="G564" i="3"/>
  <c r="G560" i="3"/>
  <c r="G550" i="3"/>
  <c r="BL584" i="3"/>
  <c r="AZ584" i="3" s="1"/>
  <c r="BL580" i="3"/>
  <c r="BL576" i="3"/>
  <c r="BL572" i="3"/>
  <c r="BL568" i="3"/>
  <c r="BL564" i="3"/>
  <c r="BL560" i="3"/>
  <c r="AZ560" i="3" s="1"/>
  <c r="BL546" i="3"/>
  <c r="BL542" i="3"/>
  <c r="BL538" i="3"/>
  <c r="BL534" i="3"/>
  <c r="BL530" i="3"/>
  <c r="AZ530" i="3" s="1"/>
  <c r="BL526" i="3"/>
  <c r="BL502" i="3"/>
  <c r="AZ502" i="3" s="1"/>
  <c r="BL498" i="3"/>
  <c r="BL494" i="3"/>
  <c r="BL582" i="3"/>
  <c r="BL578" i="3"/>
  <c r="AZ578" i="3" s="1"/>
  <c r="BL574" i="3"/>
  <c r="BL570" i="3"/>
  <c r="BL566" i="3"/>
  <c r="AZ566" i="3" s="1"/>
  <c r="BL562" i="3"/>
  <c r="BL556" i="3"/>
  <c r="BL544" i="3"/>
  <c r="BL540" i="3"/>
  <c r="BL536" i="3"/>
  <c r="G533" i="3"/>
  <c r="BL532" i="3"/>
  <c r="G529" i="3"/>
  <c r="BL528" i="3"/>
  <c r="G525" i="3"/>
  <c r="BL504" i="3"/>
  <c r="BL500" i="3"/>
  <c r="AZ500" i="3" s="1"/>
  <c r="BL496" i="3"/>
  <c r="G493" i="3"/>
  <c r="BA584" i="3"/>
  <c r="BA582" i="3"/>
  <c r="AZ582" i="3" s="1"/>
  <c r="BA580" i="3"/>
  <c r="AZ580" i="3" s="1"/>
  <c r="BA578" i="3"/>
  <c r="BA576" i="3"/>
  <c r="AZ576" i="3" s="1"/>
  <c r="BA574" i="3"/>
  <c r="AZ574" i="3" s="1"/>
  <c r="BA572" i="3"/>
  <c r="AZ572" i="3"/>
  <c r="BA570" i="3"/>
  <c r="AZ570" i="3" s="1"/>
  <c r="BA568" i="3"/>
  <c r="AZ568" i="3" s="1"/>
  <c r="BA566" i="3"/>
  <c r="BA564" i="3"/>
  <c r="AZ564" i="3" s="1"/>
  <c r="BA562" i="3"/>
  <c r="AZ562" i="3" s="1"/>
  <c r="BA560" i="3"/>
  <c r="BA558" i="3"/>
  <c r="AZ558" i="3"/>
  <c r="BA556" i="3"/>
  <c r="AZ556" i="3"/>
  <c r="BA548" i="3"/>
  <c r="AZ548" i="3" s="1"/>
  <c r="BA546" i="3"/>
  <c r="AZ546" i="3" s="1"/>
  <c r="BA544" i="3"/>
  <c r="AZ544" i="3" s="1"/>
  <c r="BA542" i="3"/>
  <c r="AZ542" i="3"/>
  <c r="BA540" i="3"/>
  <c r="AZ540" i="3"/>
  <c r="BA538" i="3"/>
  <c r="AZ538" i="3" s="1"/>
  <c r="BA536" i="3"/>
  <c r="AZ536" i="3"/>
  <c r="BA534" i="3"/>
  <c r="AZ534" i="3"/>
  <c r="BA532" i="3"/>
  <c r="AZ532" i="3" s="1"/>
  <c r="BA530" i="3"/>
  <c r="BA528" i="3"/>
  <c r="AZ528" i="3" s="1"/>
  <c r="BA526" i="3"/>
  <c r="AZ526" i="3" s="1"/>
  <c r="BA504" i="3"/>
  <c r="AZ504" i="3"/>
  <c r="BA502" i="3"/>
  <c r="BA500" i="3"/>
  <c r="BA498" i="3"/>
  <c r="AZ498" i="3"/>
  <c r="BA496" i="3"/>
  <c r="BA494" i="3"/>
  <c r="AZ494" i="3" s="1"/>
  <c r="BA583" i="3"/>
  <c r="BA581" i="3"/>
  <c r="AZ581" i="3" s="1"/>
  <c r="BA579" i="3"/>
  <c r="AZ579" i="3" s="1"/>
  <c r="BA577" i="3"/>
  <c r="BA575" i="3"/>
  <c r="BA573" i="3"/>
  <c r="BA571" i="3"/>
  <c r="BA569" i="3"/>
  <c r="BA567" i="3"/>
  <c r="AZ567" i="3" s="1"/>
  <c r="BA565" i="3"/>
  <c r="BA563" i="3"/>
  <c r="BA561" i="3"/>
  <c r="BA559" i="3"/>
  <c r="BA549" i="3"/>
  <c r="BA547" i="3"/>
  <c r="BA545" i="3"/>
  <c r="BA543" i="3"/>
  <c r="BA541" i="3"/>
  <c r="BA539" i="3"/>
  <c r="AZ539" i="3" s="1"/>
  <c r="BA537" i="3"/>
  <c r="BA535" i="3"/>
  <c r="BA533" i="3"/>
  <c r="BA531" i="3"/>
  <c r="BA529" i="3"/>
  <c r="BA527" i="3"/>
  <c r="AZ527" i="3" s="1"/>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BQ583" i="3"/>
  <c r="BL583" i="3" s="1"/>
  <c r="BQ581" i="3"/>
  <c r="BL581" i="3"/>
  <c r="BQ579" i="3"/>
  <c r="BL579" i="3"/>
  <c r="BQ577" i="3"/>
  <c r="BL577" i="3"/>
  <c r="AZ577" i="3"/>
  <c r="BQ575" i="3"/>
  <c r="BL575" i="3"/>
  <c r="AZ575" i="3" s="1"/>
  <c r="BQ573" i="3"/>
  <c r="BL573" i="3"/>
  <c r="AZ573" i="3"/>
  <c r="BQ571" i="3"/>
  <c r="BL571" i="3"/>
  <c r="BQ569" i="3"/>
  <c r="BL569" i="3"/>
  <c r="AZ569" i="3"/>
  <c r="BQ567" i="3"/>
  <c r="BL567" i="3"/>
  <c r="BQ565" i="3"/>
  <c r="BL565" i="3"/>
  <c r="AZ565" i="3"/>
  <c r="BQ563" i="3"/>
  <c r="BL563" i="3"/>
  <c r="AZ563" i="3" s="1"/>
  <c r="BQ561" i="3"/>
  <c r="BL561" i="3" s="1"/>
  <c r="AZ561" i="3" s="1"/>
  <c r="BQ559" i="3"/>
  <c r="BL559" i="3" s="1"/>
  <c r="AZ559" i="3" s="1"/>
  <c r="G559" i="3"/>
  <c r="G555" i="3"/>
  <c r="G549" i="3"/>
  <c r="G547" i="3"/>
  <c r="G545" i="3"/>
  <c r="G543" i="3"/>
  <c r="G541" i="3"/>
  <c r="G539" i="3"/>
  <c r="G537" i="3"/>
  <c r="BQ555" i="3"/>
  <c r="BQ553" i="3"/>
  <c r="BQ551" i="3"/>
  <c r="BL551" i="3"/>
  <c r="BQ549" i="3"/>
  <c r="BQ547" i="3"/>
  <c r="BL547" i="3"/>
  <c r="AZ547" i="3"/>
  <c r="BQ545" i="3"/>
  <c r="BL545" i="3"/>
  <c r="AZ545" i="3" s="1"/>
  <c r="BQ543" i="3"/>
  <c r="BL543" i="3"/>
  <c r="AZ543" i="3"/>
  <c r="BQ541" i="3"/>
  <c r="BL541" i="3"/>
  <c r="AZ541" i="3" s="1"/>
  <c r="BQ539" i="3"/>
  <c r="BL539" i="3"/>
  <c r="BQ537" i="3"/>
  <c r="BL537" i="3"/>
  <c r="AZ537" i="3" s="1"/>
  <c r="BQ535" i="3"/>
  <c r="BL535" i="3"/>
  <c r="AZ535" i="3"/>
  <c r="BQ533" i="3"/>
  <c r="BL533" i="3"/>
  <c r="AZ533" i="3" s="1"/>
  <c r="BQ531" i="3"/>
  <c r="BL531" i="3"/>
  <c r="AZ531" i="3"/>
  <c r="BQ529" i="3"/>
  <c r="BL529" i="3"/>
  <c r="AZ529" i="3" s="1"/>
  <c r="BQ527" i="3"/>
  <c r="BL527" i="3"/>
  <c r="BQ525" i="3"/>
  <c r="BQ523" i="3"/>
  <c r="AZ521" i="3"/>
  <c r="AC521" i="3"/>
  <c r="G521" i="3" s="1"/>
  <c r="BQ521" i="3"/>
  <c r="G517" i="3"/>
  <c r="G513" i="3"/>
  <c r="BQ519" i="3"/>
  <c r="BQ517" i="3"/>
  <c r="BQ515" i="3"/>
  <c r="BQ513" i="3"/>
  <c r="BQ511" i="3"/>
  <c r="AC509" i="3"/>
  <c r="BQ509" i="3"/>
  <c r="G507" i="3"/>
  <c r="G505" i="3"/>
  <c r="G503" i="3"/>
  <c r="G501" i="3"/>
  <c r="G499" i="3"/>
  <c r="G497" i="3"/>
  <c r="G495" i="3"/>
  <c r="BQ507" i="3"/>
  <c r="BQ505" i="3"/>
  <c r="BL505" i="3" s="1"/>
  <c r="AZ505" i="3" s="1"/>
  <c r="BQ503" i="3"/>
  <c r="BL503" i="3" s="1"/>
  <c r="AZ503" i="3" s="1"/>
  <c r="BQ501" i="3"/>
  <c r="BL501" i="3" s="1"/>
  <c r="AZ501" i="3" s="1"/>
  <c r="BQ499" i="3"/>
  <c r="BL499" i="3"/>
  <c r="BQ497" i="3"/>
  <c r="BL497" i="3"/>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J25" i="21"/>
  <c r="AC25" i="21"/>
  <c r="E125" i="33"/>
  <c r="F125" i="33" s="1"/>
  <c r="G125" i="33" s="1"/>
  <c r="H43" i="33"/>
  <c r="H17" i="37"/>
  <c r="U17" i="37" s="1"/>
  <c r="AB27" i="37"/>
  <c r="U32" i="33"/>
  <c r="AA36" i="39"/>
  <c r="F39" i="33"/>
  <c r="AA39" i="33" s="1"/>
  <c r="E123" i="33"/>
  <c r="F123" i="33" s="1"/>
  <c r="H28" i="34"/>
  <c r="AB28" i="34" s="1"/>
  <c r="F14" i="36"/>
  <c r="AA14" i="36" s="1"/>
  <c r="F22" i="36"/>
  <c r="S22" i="36" s="1"/>
  <c r="F26" i="36"/>
  <c r="S26" i="36"/>
  <c r="H27" i="34"/>
  <c r="AB27" i="34" s="1"/>
  <c r="H35" i="34"/>
  <c r="U35" i="34" s="1"/>
  <c r="F41" i="34"/>
  <c r="S41" i="34" s="1"/>
  <c r="H41" i="34"/>
  <c r="U41" i="34" s="1"/>
  <c r="J41" i="34"/>
  <c r="AC41" i="34" s="1"/>
  <c r="F10" i="35"/>
  <c r="S10" i="35"/>
  <c r="H23" i="37"/>
  <c r="AB23" i="37"/>
  <c r="J32" i="37"/>
  <c r="AC32" i="37"/>
  <c r="F36" i="37"/>
  <c r="AA36" i="37" s="1"/>
  <c r="F37" i="37"/>
  <c r="AA37" i="37"/>
  <c r="F31" i="40"/>
  <c r="AA31" i="40"/>
  <c r="H31" i="40"/>
  <c r="U31" i="40" s="1"/>
  <c r="F32" i="40"/>
  <c r="S32" i="40"/>
  <c r="H32" i="40"/>
  <c r="AB32" i="40"/>
  <c r="J36" i="40"/>
  <c r="W36" i="40" s="1"/>
  <c r="H19" i="37"/>
  <c r="AB19" i="37"/>
  <c r="H42" i="33"/>
  <c r="AB42" i="33" s="1"/>
  <c r="J43" i="33"/>
  <c r="AC43" i="33" s="1"/>
  <c r="U14" i="40"/>
  <c r="AC32" i="36"/>
  <c r="AC33" i="36"/>
  <c r="AA12" i="35"/>
  <c r="W23" i="35"/>
  <c r="W14" i="37"/>
  <c r="U33" i="37"/>
  <c r="U39" i="37"/>
  <c r="AC8" i="37"/>
  <c r="AB13" i="34"/>
  <c r="AC31" i="33"/>
  <c r="AC45" i="33"/>
  <c r="U11" i="33"/>
  <c r="U19" i="21"/>
  <c r="U26" i="21"/>
  <c r="AC46" i="21"/>
  <c r="U12" i="21"/>
  <c r="AB38" i="21"/>
  <c r="F43" i="33"/>
  <c r="AA43" i="33" s="1"/>
  <c r="W16" i="35"/>
  <c r="W40" i="37"/>
  <c r="J107" i="37"/>
  <c r="K107" i="37" s="1"/>
  <c r="L107" i="37" s="1"/>
  <c r="M107" i="37" s="1"/>
  <c r="H37" i="21"/>
  <c r="U37" i="21" s="1"/>
  <c r="S42" i="21"/>
  <c r="F36" i="35"/>
  <c r="S36" i="35" s="1"/>
  <c r="J9" i="37"/>
  <c r="W9" i="37" s="1"/>
  <c r="H9" i="37"/>
  <c r="AB9" i="37"/>
  <c r="F9" i="37"/>
  <c r="S9" i="37" s="1"/>
  <c r="J12" i="37"/>
  <c r="W12" i="37" s="1"/>
  <c r="H12" i="37"/>
  <c r="AB12" i="37"/>
  <c r="F12" i="37"/>
  <c r="S12" i="37" s="1"/>
  <c r="E71" i="37"/>
  <c r="F71" i="37" s="1"/>
  <c r="G71" i="37" s="1"/>
  <c r="F15" i="37"/>
  <c r="AA15" i="37" s="1"/>
  <c r="E94" i="37"/>
  <c r="F94" i="37" s="1"/>
  <c r="G94" i="37" s="1"/>
  <c r="F31" i="37"/>
  <c r="S31" i="37" s="1"/>
  <c r="F12" i="39"/>
  <c r="S12" i="39"/>
  <c r="J42" i="39"/>
  <c r="AC42" i="39"/>
  <c r="H21" i="40"/>
  <c r="AB21" i="40" s="1"/>
  <c r="AC12" i="37"/>
  <c r="H94" i="37"/>
  <c r="I94" i="37" s="1"/>
  <c r="J94" i="37" s="1"/>
  <c r="K94" i="37" s="1"/>
  <c r="L94" i="37" s="1"/>
  <c r="M94" i="37" s="1"/>
  <c r="H31" i="37"/>
  <c r="U31" i="37" s="1"/>
  <c r="J15" i="37"/>
  <c r="W15" i="37" s="1"/>
  <c r="U12" i="37"/>
  <c r="AT6" i="3"/>
  <c r="C12" i="43"/>
  <c r="H19" i="40"/>
  <c r="U19" i="40"/>
  <c r="F88" i="40"/>
  <c r="G88" i="40" s="1"/>
  <c r="F19" i="40"/>
  <c r="S19" i="40"/>
  <c r="AC13" i="40"/>
  <c r="AC43" i="39"/>
  <c r="W43" i="39"/>
  <c r="U45" i="39"/>
  <c r="AB45" i="39"/>
  <c r="H37" i="39"/>
  <c r="AB37" i="39" s="1"/>
  <c r="AC37" i="39"/>
  <c r="W37" i="39"/>
  <c r="H25" i="39"/>
  <c r="AB25" i="39"/>
  <c r="J25" i="39"/>
  <c r="F25" i="39"/>
  <c r="AA25" i="39"/>
  <c r="F15" i="39"/>
  <c r="AA15" i="39" s="1"/>
  <c r="H15" i="39"/>
  <c r="U15" i="39"/>
  <c r="J15" i="39"/>
  <c r="W15" i="39"/>
  <c r="H41" i="39"/>
  <c r="W27" i="39"/>
  <c r="AB34" i="39"/>
  <c r="U40" i="39"/>
  <c r="S42" i="39"/>
  <c r="W14" i="39"/>
  <c r="AA41" i="39"/>
  <c r="W9" i="39"/>
  <c r="W8" i="39"/>
  <c r="J19" i="40"/>
  <c r="AC19" i="40" s="1"/>
  <c r="J50" i="40"/>
  <c r="H103" i="9"/>
  <c r="D8" i="53" s="1"/>
  <c r="B16" i="53"/>
  <c r="B33" i="72" s="1"/>
  <c r="C7" i="37"/>
  <c r="C52" i="37" s="1"/>
  <c r="D52" i="37" s="1"/>
  <c r="C7" i="34"/>
  <c r="C7" i="36"/>
  <c r="W35" i="40"/>
  <c r="A118" i="9"/>
  <c r="A4" i="52"/>
  <c r="B41" i="72"/>
  <c r="J11" i="39"/>
  <c r="W11" i="39"/>
  <c r="F11" i="39"/>
  <c r="AA11" i="39" s="1"/>
  <c r="A12" i="52"/>
  <c r="B56" i="72" s="1"/>
  <c r="S11" i="39"/>
  <c r="G4" i="4"/>
  <c r="I4" i="4"/>
  <c r="K5" i="4" s="1"/>
  <c r="B47" i="48" s="1"/>
  <c r="A2" i="9"/>
  <c r="F59" i="43"/>
  <c r="H62" i="43"/>
  <c r="AZ28" i="3"/>
  <c r="AZ32" i="3"/>
  <c r="BL549" i="3"/>
  <c r="AZ549" i="3" s="1"/>
  <c r="G546" i="3"/>
  <c r="G303" i="3"/>
  <c r="BL304" i="3"/>
  <c r="G305" i="3"/>
  <c r="BL306" i="3"/>
  <c r="BA308" i="3"/>
  <c r="AZ308" i="3"/>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AZ355" i="3" s="1"/>
  <c r="G356" i="3"/>
  <c r="BL357" i="3"/>
  <c r="BA359" i="3"/>
  <c r="AZ359" i="3" s="1"/>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c r="BA394" i="3"/>
  <c r="AZ394" i="3" s="1"/>
  <c r="BL394" i="3"/>
  <c r="G113" i="3"/>
  <c r="BA115" i="3"/>
  <c r="AZ115" i="3" s="1"/>
  <c r="BL116" i="3"/>
  <c r="G117" i="3"/>
  <c r="BA119" i="3"/>
  <c r="AZ119" i="3" s="1"/>
  <c r="BL120" i="3"/>
  <c r="G121" i="3"/>
  <c r="BA123" i="3"/>
  <c r="BL124" i="3"/>
  <c r="AZ124" i="3" s="1"/>
  <c r="G125" i="3"/>
  <c r="BA127" i="3"/>
  <c r="AZ127" i="3"/>
  <c r="BL128" i="3"/>
  <c r="G129" i="3"/>
  <c r="BA131" i="3"/>
  <c r="AZ131" i="3" s="1"/>
  <c r="BL132" i="3"/>
  <c r="AZ132" i="3"/>
  <c r="G133" i="3"/>
  <c r="BA135" i="3"/>
  <c r="AZ135" i="3" s="1"/>
  <c r="BL136" i="3"/>
  <c r="G137" i="3"/>
  <c r="BA139" i="3"/>
  <c r="AZ139" i="3" s="1"/>
  <c r="BL140" i="3"/>
  <c r="AZ140" i="3" s="1"/>
  <c r="G141" i="3"/>
  <c r="BA143" i="3"/>
  <c r="AZ143" i="3"/>
  <c r="BL144" i="3"/>
  <c r="G145" i="3"/>
  <c r="BA147" i="3"/>
  <c r="AZ147" i="3" s="1"/>
  <c r="BL148" i="3"/>
  <c r="AZ148" i="3"/>
  <c r="G149" i="3"/>
  <c r="BA151" i="3"/>
  <c r="AZ151" i="3" s="1"/>
  <c r="BL152" i="3"/>
  <c r="G153" i="3"/>
  <c r="BA155" i="3"/>
  <c r="AZ155" i="3" s="1"/>
  <c r="BL156" i="3"/>
  <c r="AZ156" i="3" s="1"/>
  <c r="G157" i="3"/>
  <c r="BA159" i="3"/>
  <c r="AZ159" i="3"/>
  <c r="BL160" i="3"/>
  <c r="G161" i="3"/>
  <c r="BA163" i="3"/>
  <c r="AZ163" i="3" s="1"/>
  <c r="BL164" i="3"/>
  <c r="G165" i="3"/>
  <c r="BA167" i="3"/>
  <c r="AZ167" i="3" s="1"/>
  <c r="BL168" i="3"/>
  <c r="G169" i="3"/>
  <c r="BA171" i="3"/>
  <c r="AZ171" i="3" s="1"/>
  <c r="BL172" i="3"/>
  <c r="AZ172" i="3" s="1"/>
  <c r="G173" i="3"/>
  <c r="BA175" i="3"/>
  <c r="BL176" i="3"/>
  <c r="G177" i="3"/>
  <c r="BA179" i="3"/>
  <c r="AZ179" i="3" s="1"/>
  <c r="BL180" i="3"/>
  <c r="AZ180" i="3"/>
  <c r="G181" i="3"/>
  <c r="BA183" i="3"/>
  <c r="AZ183" i="3" s="1"/>
  <c r="BL184" i="3"/>
  <c r="G185" i="3"/>
  <c r="BA187" i="3"/>
  <c r="AZ187" i="3" s="1"/>
  <c r="BL188" i="3"/>
  <c r="AZ188" i="3" s="1"/>
  <c r="G189" i="3"/>
  <c r="BA191" i="3"/>
  <c r="AZ191" i="3"/>
  <c r="BL192" i="3"/>
  <c r="G193" i="3"/>
  <c r="BA195" i="3"/>
  <c r="AZ195" i="3" s="1"/>
  <c r="BL196" i="3"/>
  <c r="AZ196" i="3"/>
  <c r="G197" i="3"/>
  <c r="BA199" i="3"/>
  <c r="AZ199" i="3" s="1"/>
  <c r="BL200" i="3"/>
  <c r="G201" i="3"/>
  <c r="BA203" i="3"/>
  <c r="AZ203" i="3" s="1"/>
  <c r="BL204" i="3"/>
  <c r="AZ204" i="3" s="1"/>
  <c r="AZ39" i="3"/>
  <c r="AZ43" i="3"/>
  <c r="AZ47" i="3"/>
  <c r="AZ71" i="3"/>
  <c r="AZ136" i="3"/>
  <c r="AZ144" i="3"/>
  <c r="AZ152" i="3"/>
  <c r="AZ160" i="3"/>
  <c r="AZ168" i="3"/>
  <c r="AZ176" i="3"/>
  <c r="AZ184" i="3"/>
  <c r="AZ192" i="3"/>
  <c r="AZ200" i="3"/>
  <c r="AZ97" i="3"/>
  <c r="AZ120" i="3"/>
  <c r="AZ128" i="3"/>
  <c r="G534" i="3"/>
  <c r="G530" i="3"/>
  <c r="G522" i="3"/>
  <c r="G516" i="3"/>
  <c r="G512" i="3"/>
  <c r="G506" i="3"/>
  <c r="G498" i="3"/>
  <c r="G494" i="3"/>
  <c r="G16" i="3"/>
  <c r="G15" i="3"/>
  <c r="BA304" i="3"/>
  <c r="AZ304" i="3" s="1"/>
  <c r="BA305" i="3"/>
  <c r="BL305" i="3"/>
  <c r="AZ305" i="3" s="1"/>
  <c r="G306" i="3"/>
  <c r="G309" i="3"/>
  <c r="BL310" i="3"/>
  <c r="BA312" i="3"/>
  <c r="AZ312" i="3"/>
  <c r="BA313" i="3"/>
  <c r="AZ313" i="3" s="1"/>
  <c r="BL313" i="3"/>
  <c r="G314" i="3"/>
  <c r="G317" i="3"/>
  <c r="BL318" i="3"/>
  <c r="BA320" i="3"/>
  <c r="AZ320" i="3" s="1"/>
  <c r="BA321" i="3"/>
  <c r="AZ321" i="3" s="1"/>
  <c r="BL321" i="3"/>
  <c r="G322" i="3"/>
  <c r="G325" i="3"/>
  <c r="BL326" i="3"/>
  <c r="BA328" i="3"/>
  <c r="AZ328" i="3" s="1"/>
  <c r="BA329" i="3"/>
  <c r="BL329" i="3"/>
  <c r="AZ329" i="3"/>
  <c r="G330" i="3"/>
  <c r="G333" i="3"/>
  <c r="BL334" i="3"/>
  <c r="BA336" i="3"/>
  <c r="AZ336" i="3"/>
  <c r="BA337" i="3"/>
  <c r="BL337" i="3"/>
  <c r="G338" i="3"/>
  <c r="G341" i="3"/>
  <c r="BA342" i="3"/>
  <c r="AZ342" i="3" s="1"/>
  <c r="BL342" i="3"/>
  <c r="BA344" i="3"/>
  <c r="BL344" i="3"/>
  <c r="BA346" i="3"/>
  <c r="AZ346" i="3"/>
  <c r="BA347" i="3"/>
  <c r="AZ347" i="3"/>
  <c r="BL347" i="3"/>
  <c r="G350" i="3"/>
  <c r="BA351" i="3"/>
  <c r="AZ351" i="3"/>
  <c r="BL351" i="3"/>
  <c r="G352" i="3"/>
  <c r="G354" i="3"/>
  <c r="BA355" i="3"/>
  <c r="BA356" i="3"/>
  <c r="AZ356" i="3" s="1"/>
  <c r="BL356" i="3"/>
  <c r="G357" i="3"/>
  <c r="G360" i="3"/>
  <c r="BL361" i="3"/>
  <c r="BA363" i="3"/>
  <c r="AZ363" i="3"/>
  <c r="BA364" i="3"/>
  <c r="BL364" i="3"/>
  <c r="G365" i="3"/>
  <c r="G368" i="3"/>
  <c r="BL369" i="3"/>
  <c r="BA371" i="3"/>
  <c r="AZ371" i="3" s="1"/>
  <c r="BA372" i="3"/>
  <c r="AZ372" i="3" s="1"/>
  <c r="BL372" i="3"/>
  <c r="G373" i="3"/>
  <c r="G376" i="3"/>
  <c r="BL377" i="3"/>
  <c r="BL379" i="3"/>
  <c r="BA381" i="3"/>
  <c r="AZ381" i="3" s="1"/>
  <c r="BA382" i="3"/>
  <c r="AZ382" i="3" s="1"/>
  <c r="BL382" i="3"/>
  <c r="G383" i="3"/>
  <c r="G386" i="3"/>
  <c r="BL387" i="3"/>
  <c r="AZ387" i="3" s="1"/>
  <c r="BA389" i="3"/>
  <c r="AZ389" i="3"/>
  <c r="BA390" i="3"/>
  <c r="BL390" i="3"/>
  <c r="G391" i="3"/>
  <c r="G394" i="3"/>
  <c r="AZ138" i="3"/>
  <c r="AZ142" i="3"/>
  <c r="AZ146" i="3"/>
  <c r="AZ150" i="3"/>
  <c r="AZ154" i="3"/>
  <c r="AZ158" i="3"/>
  <c r="AZ162" i="3"/>
  <c r="AZ166" i="3"/>
  <c r="AZ170" i="3"/>
  <c r="AZ174" i="3"/>
  <c r="AZ182" i="3"/>
  <c r="AZ186" i="3"/>
  <c r="AZ190" i="3"/>
  <c r="AZ194" i="3"/>
  <c r="AZ198" i="3"/>
  <c r="AZ202" i="3"/>
  <c r="AZ206" i="3"/>
  <c r="BA16" i="3"/>
  <c r="AZ16" i="3" s="1"/>
  <c r="BL303" i="3"/>
  <c r="G304" i="3"/>
  <c r="BA306" i="3"/>
  <c r="AZ306" i="3" s="1"/>
  <c r="BL307" i="3"/>
  <c r="AZ307" i="3"/>
  <c r="G308" i="3"/>
  <c r="BA310" i="3"/>
  <c r="AZ310" i="3"/>
  <c r="BL311" i="3"/>
  <c r="AZ311" i="3"/>
  <c r="G312" i="3"/>
  <c r="BA314" i="3"/>
  <c r="AZ314" i="3"/>
  <c r="BL315" i="3"/>
  <c r="AZ315" i="3" s="1"/>
  <c r="G316" i="3"/>
  <c r="BA318" i="3"/>
  <c r="AZ318" i="3" s="1"/>
  <c r="BL319" i="3"/>
  <c r="AZ319" i="3" s="1"/>
  <c r="G320" i="3"/>
  <c r="BA322" i="3"/>
  <c r="AZ322" i="3"/>
  <c r="BL323" i="3"/>
  <c r="AZ323" i="3" s="1"/>
  <c r="G324" i="3"/>
  <c r="BA326" i="3"/>
  <c r="AZ326" i="3" s="1"/>
  <c r="BL327" i="3"/>
  <c r="AZ327" i="3"/>
  <c r="G328" i="3"/>
  <c r="BA330" i="3"/>
  <c r="AZ330" i="3" s="1"/>
  <c r="BL331" i="3"/>
  <c r="AZ331" i="3"/>
  <c r="G332" i="3"/>
  <c r="BA334" i="3"/>
  <c r="AZ334" i="3"/>
  <c r="BL335" i="3"/>
  <c r="AZ335" i="3" s="1"/>
  <c r="G336" i="3"/>
  <c r="BA338" i="3"/>
  <c r="AZ338" i="3"/>
  <c r="BL339" i="3"/>
  <c r="AZ339" i="3"/>
  <c r="G340" i="3"/>
  <c r="BL343" i="3"/>
  <c r="G344" i="3"/>
  <c r="G348" i="3"/>
  <c r="G355" i="3"/>
  <c r="AZ209" i="3"/>
  <c r="AZ214" i="3"/>
  <c r="AZ218" i="3"/>
  <c r="AZ222" i="3"/>
  <c r="AZ303" i="3"/>
  <c r="G342" i="3"/>
  <c r="BL345" i="3"/>
  <c r="AZ345" i="3"/>
  <c r="G346" i="3"/>
  <c r="AZ348" i="3"/>
  <c r="BL349" i="3"/>
  <c r="AZ349" i="3"/>
  <c r="BL352" i="3"/>
  <c r="G353" i="3"/>
  <c r="BA357" i="3"/>
  <c r="BL358" i="3"/>
  <c r="AZ358" i="3"/>
  <c r="G359" i="3"/>
  <c r="BA361" i="3"/>
  <c r="AZ361" i="3"/>
  <c r="BL362" i="3"/>
  <c r="G363" i="3"/>
  <c r="BA365" i="3"/>
  <c r="AZ365" i="3" s="1"/>
  <c r="BL366" i="3"/>
  <c r="AZ366" i="3"/>
  <c r="G367" i="3"/>
  <c r="BA369" i="3"/>
  <c r="AZ369" i="3" s="1"/>
  <c r="BL370" i="3"/>
  <c r="G371" i="3"/>
  <c r="BA373" i="3"/>
  <c r="AZ373" i="3" s="1"/>
  <c r="BL374" i="3"/>
  <c r="AZ374" i="3" s="1"/>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AZ384" i="3" s="1"/>
  <c r="G385" i="3"/>
  <c r="BA387" i="3"/>
  <c r="BL388" i="3"/>
  <c r="AZ388" i="3" s="1"/>
  <c r="G389" i="3"/>
  <c r="BA391" i="3"/>
  <c r="AZ391" i="3" s="1"/>
  <c r="BL392" i="3"/>
  <c r="G393" i="3"/>
  <c r="AZ263" i="3"/>
  <c r="AZ275" i="3"/>
  <c r="AZ279" i="3"/>
  <c r="AZ283" i="3"/>
  <c r="AZ287" i="3"/>
  <c r="AZ291" i="3"/>
  <c r="AZ295" i="3"/>
  <c r="AZ299" i="3"/>
  <c r="AZ309" i="3"/>
  <c r="AZ317" i="3"/>
  <c r="AZ325" i="3"/>
  <c r="AZ333" i="3"/>
  <c r="AZ496" i="3"/>
  <c r="G548" i="3"/>
  <c r="G538" i="3"/>
  <c r="G520" i="3"/>
  <c r="G502" i="3"/>
  <c r="BS5" i="3"/>
  <c r="AZ343" i="3"/>
  <c r="BC5" i="3"/>
  <c r="G17" i="3"/>
  <c r="BA17" i="3"/>
  <c r="AZ350" i="3"/>
  <c r="AZ352" i="3"/>
  <c r="AZ360" i="3"/>
  <c r="AZ364" i="3"/>
  <c r="AZ368" i="3"/>
  <c r="BA15" i="3"/>
  <c r="AZ380" i="3"/>
  <c r="AZ392" i="3"/>
  <c r="AZ396" i="3"/>
  <c r="AZ499" i="3"/>
  <c r="G509" i="3"/>
  <c r="BL493" i="3"/>
  <c r="AZ491" i="3"/>
  <c r="AZ376" i="3"/>
  <c r="AZ390" i="3"/>
  <c r="AZ493" i="3"/>
  <c r="U36" i="40"/>
  <c r="F36" i="43"/>
  <c r="F81" i="43"/>
  <c r="H87" i="43" s="1"/>
  <c r="H113" i="43"/>
  <c r="F48" i="43"/>
  <c r="H52" i="43" s="1"/>
  <c r="F70" i="43"/>
  <c r="H73" i="43" s="1"/>
  <c r="M11" i="43"/>
  <c r="D17" i="43"/>
  <c r="F39" i="43"/>
  <c r="I17" i="43"/>
  <c r="F35" i="43"/>
  <c r="J17" i="43"/>
  <c r="F6" i="1"/>
  <c r="U17" i="39"/>
  <c r="S14" i="35"/>
  <c r="U43" i="21"/>
  <c r="U35" i="21"/>
  <c r="AC35" i="21"/>
  <c r="U10" i="21"/>
  <c r="G8" i="1"/>
  <c r="G9" i="1"/>
  <c r="G10" i="1"/>
  <c r="AC11" i="39"/>
  <c r="W37" i="37"/>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AB20" i="36" s="1"/>
  <c r="U20" i="36"/>
  <c r="J20" i="36"/>
  <c r="W20" i="36" s="1"/>
  <c r="W24" i="36"/>
  <c r="J27" i="36"/>
  <c r="W27" i="36"/>
  <c r="AB25" i="37"/>
  <c r="AC33" i="40"/>
  <c r="F111" i="40"/>
  <c r="G111" i="40" s="1"/>
  <c r="H111" i="40" s="1"/>
  <c r="I111" i="40" s="1"/>
  <c r="J111" i="40" s="1"/>
  <c r="K111" i="40" s="1"/>
  <c r="L111" i="40" s="1"/>
  <c r="M111" i="40" s="1"/>
  <c r="H35" i="40"/>
  <c r="AB35" i="40"/>
  <c r="AC29" i="35"/>
  <c r="W29" i="35"/>
  <c r="H35" i="37"/>
  <c r="U35" i="37" s="1"/>
  <c r="AC14" i="35"/>
  <c r="H20" i="35"/>
  <c r="U20" i="35"/>
  <c r="F20" i="35"/>
  <c r="AA20" i="35" s="1"/>
  <c r="AB23" i="35"/>
  <c r="AB29" i="36"/>
  <c r="U29" i="36"/>
  <c r="H32" i="37"/>
  <c r="AB32" i="37"/>
  <c r="F96" i="37"/>
  <c r="G96" i="37" s="1"/>
  <c r="H96" i="37" s="1"/>
  <c r="I96" i="37" s="1"/>
  <c r="J96" i="37" s="1"/>
  <c r="K96" i="37" s="1"/>
  <c r="L96" i="37" s="1"/>
  <c r="M96" i="37" s="1"/>
  <c r="H27" i="40"/>
  <c r="U27" i="40" s="1"/>
  <c r="J27" i="40"/>
  <c r="AC27" i="40" s="1"/>
  <c r="F27" i="40"/>
  <c r="S27" i="40"/>
  <c r="J30" i="40"/>
  <c r="AC30" i="40" s="1"/>
  <c r="F30" i="40"/>
  <c r="S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29" i="3"/>
  <c r="AZ31" i="3"/>
  <c r="AZ33" i="3"/>
  <c r="AZ37" i="3"/>
  <c r="AZ42" i="3"/>
  <c r="AZ45" i="3"/>
  <c r="AZ53" i="3"/>
  <c r="AZ74" i="3"/>
  <c r="AZ94" i="3"/>
  <c r="AZ102" i="3"/>
  <c r="H75" i="43"/>
  <c r="I20" i="43"/>
  <c r="F23" i="39"/>
  <c r="AA23" i="39" s="1"/>
  <c r="H27" i="36"/>
  <c r="AB27" i="36" s="1"/>
  <c r="U27" i="36"/>
  <c r="F27" i="36"/>
  <c r="AA27" i="36" s="1"/>
  <c r="H33" i="34"/>
  <c r="U33" i="34" s="1"/>
  <c r="F32" i="37"/>
  <c r="S32" i="37" s="1"/>
  <c r="F20" i="36"/>
  <c r="AA20" i="36" s="1"/>
  <c r="J33" i="34"/>
  <c r="AC33" i="34" s="1"/>
  <c r="H23" i="39"/>
  <c r="U23" i="39" s="1"/>
  <c r="H86" i="43"/>
  <c r="H82" i="43"/>
  <c r="K9" i="1"/>
  <c r="M9" i="1" s="1"/>
  <c r="AE9" i="1"/>
  <c r="K6" i="1"/>
  <c r="B29" i="1" s="1"/>
  <c r="C8" i="68" s="1"/>
  <c r="AC26" i="33"/>
  <c r="W26" i="33"/>
  <c r="AC27" i="34"/>
  <c r="AB34" i="36"/>
  <c r="U34" i="36"/>
  <c r="AB33" i="36"/>
  <c r="U33" i="36"/>
  <c r="W12" i="39"/>
  <c r="AC39" i="40"/>
  <c r="W39" i="40"/>
  <c r="AZ401" i="3"/>
  <c r="AZ412" i="3"/>
  <c r="AZ417" i="3"/>
  <c r="AZ428" i="3"/>
  <c r="AZ433" i="3"/>
  <c r="AZ465" i="3"/>
  <c r="W12" i="33"/>
  <c r="AC12" i="33"/>
  <c r="AA32" i="36"/>
  <c r="S32" i="36"/>
  <c r="AZ551" i="3"/>
  <c r="AZ408" i="3"/>
  <c r="AZ437" i="3"/>
  <c r="AZ441"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65" i="3"/>
  <c r="AZ173" i="3"/>
  <c r="AZ181" i="3"/>
  <c r="AZ189" i="3"/>
  <c r="AZ197" i="3"/>
  <c r="AZ26" i="3"/>
  <c r="AZ35" i="3"/>
  <c r="S12" i="1"/>
  <c r="AQ12" i="1" s="1"/>
  <c r="R12" i="1"/>
  <c r="B12" i="1"/>
  <c r="E12" i="1" s="1"/>
  <c r="S10" i="1"/>
  <c r="AQ10" i="1" s="1"/>
  <c r="R10" i="1"/>
  <c r="B10" i="1"/>
  <c r="E10" i="1"/>
  <c r="AZ80" i="3"/>
  <c r="AZ84" i="3"/>
  <c r="AZ88" i="3"/>
  <c r="AZ107" i="3"/>
  <c r="K12" i="1"/>
  <c r="M12" i="1" s="1"/>
  <c r="O12" i="1" s="1"/>
  <c r="P12" i="1" s="1"/>
  <c r="S13" i="1"/>
  <c r="AR13" i="1" s="1"/>
  <c r="R13" i="1"/>
  <c r="S11" i="1"/>
  <c r="AQ11" i="1" s="1"/>
  <c r="R11" i="1"/>
  <c r="S9" i="1"/>
  <c r="AR9" i="1" s="1"/>
  <c r="R9" i="1"/>
  <c r="J51" i="67"/>
  <c r="C42" i="1"/>
  <c r="C77" i="9" s="1"/>
  <c r="C74" i="9" s="1"/>
  <c r="H100" i="43"/>
  <c r="C30" i="66"/>
  <c r="E26" i="66" s="1"/>
  <c r="AC34" i="33"/>
  <c r="J100" i="43"/>
  <c r="AB37" i="40"/>
  <c r="S35" i="40"/>
  <c r="U35" i="40"/>
  <c r="AC36" i="40"/>
  <c r="AA32" i="40"/>
  <c r="S17" i="40"/>
  <c r="S23" i="40"/>
  <c r="AC17" i="40"/>
  <c r="AC15" i="40"/>
  <c r="AB27" i="40"/>
  <c r="AA19"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AB21" i="39" s="1"/>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U16" i="36"/>
  <c r="S14" i="36"/>
  <c r="U10" i="36"/>
  <c r="W10" i="36"/>
  <c r="AA25" i="35"/>
  <c r="AB13" i="35"/>
  <c r="U29" i="35"/>
  <c r="U28" i="35"/>
  <c r="AB27" i="35"/>
  <c r="U36" i="35"/>
  <c r="U32" i="35"/>
  <c r="AA33" i="35"/>
  <c r="S32" i="35"/>
  <c r="AA36" i="35"/>
  <c r="W32" i="35"/>
  <c r="S28" i="35"/>
  <c r="U22" i="35"/>
  <c r="AC20" i="35"/>
  <c r="S22" i="35"/>
  <c r="U14" i="35"/>
  <c r="AC10" i="35"/>
  <c r="AA10" i="35"/>
  <c r="AB10" i="35"/>
  <c r="S8" i="35"/>
  <c r="AC9" i="35"/>
  <c r="W9" i="35"/>
  <c r="AC12" i="35"/>
  <c r="W13" i="35"/>
  <c r="F9" i="35"/>
  <c r="H9" i="35"/>
  <c r="F26" i="35"/>
  <c r="AA26" i="35" s="1"/>
  <c r="J26" i="35"/>
  <c r="H26" i="35"/>
  <c r="AB40" i="37"/>
  <c r="W27" i="37"/>
  <c r="S26" i="37"/>
  <c r="AC9" i="37"/>
  <c r="AC29" i="37"/>
  <c r="U29" i="37"/>
  <c r="W30" i="37"/>
  <c r="S36" i="37"/>
  <c r="AA38" i="37"/>
  <c r="U32"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AB8" i="34"/>
  <c r="U43" i="34"/>
  <c r="AC39" i="34"/>
  <c r="W41" i="34"/>
  <c r="AC42" i="34"/>
  <c r="AB35" i="34"/>
  <c r="U39" i="34"/>
  <c r="S43" i="34"/>
  <c r="AA45" i="34"/>
  <c r="W34" i="34"/>
  <c r="AA29" i="34"/>
  <c r="U27" i="34"/>
  <c r="S13" i="34"/>
  <c r="H10" i="34"/>
  <c r="U10" i="34" s="1"/>
  <c r="F11" i="34"/>
  <c r="S11" i="34" s="1"/>
  <c r="W42" i="33"/>
  <c r="AA35" i="33"/>
  <c r="S27" i="33"/>
  <c r="AA29" i="33"/>
  <c r="AB29" i="33"/>
  <c r="H41" i="33"/>
  <c r="U42" i="33"/>
  <c r="G108" i="33"/>
  <c r="H108" i="33"/>
  <c r="I108" i="33" s="1"/>
  <c r="J108" i="33" s="1"/>
  <c r="K108" i="33" s="1"/>
  <c r="L108" i="33" s="1"/>
  <c r="M108" i="33" s="1"/>
  <c r="J35" i="33"/>
  <c r="W35" i="33" s="1"/>
  <c r="S37" i="33"/>
  <c r="AA37" i="33"/>
  <c r="S39" i="33"/>
  <c r="F101" i="33"/>
  <c r="G101" i="33"/>
  <c r="H101" i="33"/>
  <c r="I101" i="33" s="1"/>
  <c r="J101" i="33" s="1"/>
  <c r="K101" i="33" s="1"/>
  <c r="L101" i="33" s="1"/>
  <c r="M101" i="33" s="1"/>
  <c r="J32" i="33"/>
  <c r="AC32" i="33" s="1"/>
  <c r="S46" i="33"/>
  <c r="S43" i="33"/>
  <c r="H27" i="33"/>
  <c r="AB27" i="33" s="1"/>
  <c r="H25" i="33"/>
  <c r="U25" i="33" s="1"/>
  <c r="F25" i="33"/>
  <c r="AA25" i="33" s="1"/>
  <c r="U9" i="33"/>
  <c r="I66" i="33"/>
  <c r="J10" i="33"/>
  <c r="H10" i="33"/>
  <c r="U10" i="33" s="1"/>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A24" i="51"/>
  <c r="B18" i="72" s="1"/>
  <c r="U29" i="34"/>
  <c r="E5" i="6"/>
  <c r="D19" i="12" s="1"/>
  <c r="C19" i="12" s="1"/>
  <c r="E32" i="6"/>
  <c r="L19" i="6"/>
  <c r="G1" i="68"/>
  <c r="K1" i="12"/>
  <c r="T12"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s="1"/>
  <c r="F100" i="43"/>
  <c r="H17" i="43"/>
  <c r="G6" i="1"/>
  <c r="H85" i="43"/>
  <c r="H81" i="43"/>
  <c r="H84" i="43"/>
  <c r="H88" i="43"/>
  <c r="H78" i="43"/>
  <c r="H71" i="43"/>
  <c r="C17" i="43"/>
  <c r="F33" i="43"/>
  <c r="K17" i="43"/>
  <c r="F34" i="43"/>
  <c r="N6" i="43"/>
  <c r="C6" i="43"/>
  <c r="N3" i="43"/>
  <c r="F38" i="43"/>
  <c r="F37" i="43"/>
  <c r="M9" i="43"/>
  <c r="N5" i="43"/>
  <c r="M12" i="43"/>
  <c r="C7" i="39"/>
  <c r="C68" i="39" s="1"/>
  <c r="C7" i="35"/>
  <c r="C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D46" i="36" s="1"/>
  <c r="C59" i="34"/>
  <c r="D59" i="34" s="1"/>
  <c r="E59" i="34" s="1"/>
  <c r="F59" i="34" s="1"/>
  <c r="G59" i="34" s="1"/>
  <c r="H59" i="34" s="1"/>
  <c r="I59" i="34" s="1"/>
  <c r="A4" i="51"/>
  <c r="B6" i="72" s="1"/>
  <c r="C4" i="12"/>
  <c r="H66" i="43"/>
  <c r="H65" i="43"/>
  <c r="H64" i="43"/>
  <c r="H63" i="43"/>
  <c r="H72" i="43"/>
  <c r="L20" i="6"/>
  <c r="B6" i="1"/>
  <c r="E6" i="1" s="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AB28" i="36"/>
  <c r="AA13" i="36"/>
  <c r="W9" i="36"/>
  <c r="W22" i="36"/>
  <c r="AB20" i="35"/>
  <c r="AC25" i="35"/>
  <c r="U25" i="35"/>
  <c r="W33" i="35"/>
  <c r="AA30" i="35"/>
  <c r="S35" i="35"/>
  <c r="W35" i="35"/>
  <c r="AA16" i="35"/>
  <c r="AA35" i="37"/>
  <c r="W36" i="37"/>
  <c r="S27" i="37"/>
  <c r="S28" i="37"/>
  <c r="W32" i="37"/>
  <c r="U36" i="37"/>
  <c r="S40" i="37"/>
  <c r="AB37" i="37"/>
  <c r="S33" i="37"/>
  <c r="AC34" i="37"/>
  <c r="AB35" i="37"/>
  <c r="AA31" i="37"/>
  <c r="U19" i="37"/>
  <c r="AA29" i="37"/>
  <c r="AA8" i="37"/>
  <c r="U8" i="37"/>
  <c r="AA40" i="34"/>
  <c r="AB40" i="34"/>
  <c r="AB33" i="34"/>
  <c r="AC45" i="34"/>
  <c r="AA31" i="34"/>
  <c r="AA30" i="34"/>
  <c r="AB45" i="34"/>
  <c r="AB47" i="34"/>
  <c r="AC14" i="34"/>
  <c r="AC32" i="34"/>
  <c r="AC29" i="34"/>
  <c r="W29" i="34"/>
  <c r="W46" i="34"/>
  <c r="AC46" i="34"/>
  <c r="S32" i="34"/>
  <c r="AA32" i="34"/>
  <c r="U30" i="34"/>
  <c r="AB30" i="34"/>
  <c r="W40" i="34"/>
  <c r="AA36" i="34"/>
  <c r="AA8" i="34"/>
  <c r="S8" i="34"/>
  <c r="AB9" i="34"/>
  <c r="U9" i="34"/>
  <c r="AB32" i="34"/>
  <c r="AC43" i="34"/>
  <c r="W43" i="34"/>
  <c r="W46" i="33"/>
  <c r="U38" i="33"/>
  <c r="S33" i="33"/>
  <c r="S30" i="33"/>
  <c r="AA30" i="33"/>
  <c r="AC14" i="33"/>
  <c r="W14" i="33"/>
  <c r="AC30" i="33"/>
  <c r="W30" i="33"/>
  <c r="S31" i="33"/>
  <c r="AA31" i="33"/>
  <c r="W13" i="33"/>
  <c r="AC13" i="33"/>
  <c r="S11" i="33"/>
  <c r="U37" i="33"/>
  <c r="W8" i="33"/>
  <c r="AB42" i="21"/>
  <c r="AA11" i="21"/>
  <c r="S45" i="21"/>
  <c r="I101" i="21"/>
  <c r="J101" i="21"/>
  <c r="K101" i="21"/>
  <c r="L101" i="21" s="1"/>
  <c r="M101" i="21" s="1"/>
  <c r="F33" i="21"/>
  <c r="S33" i="21" s="1"/>
  <c r="J33" i="21"/>
  <c r="H33" i="21"/>
  <c r="AB33" i="21"/>
  <c r="F37" i="21"/>
  <c r="AA37" i="21" s="1"/>
  <c r="AA26" i="21"/>
  <c r="AB14" i="21"/>
  <c r="AB46" i="21"/>
  <c r="U40" i="21"/>
  <c r="AB31" i="21"/>
  <c r="U31" i="21"/>
  <c r="AC15" i="21"/>
  <c r="U13" i="21"/>
  <c r="AB13" i="21"/>
  <c r="W8" i="21"/>
  <c r="S35" i="21"/>
  <c r="AB37" i="21"/>
  <c r="J37" i="21"/>
  <c r="W37" i="21" s="1"/>
  <c r="H15" i="21"/>
  <c r="AB15" i="21" s="1"/>
  <c r="U15" i="21"/>
  <c r="J17" i="21"/>
  <c r="AC17" i="21" s="1"/>
  <c r="AC19" i="21"/>
  <c r="W39" i="21"/>
  <c r="AC14" i="21"/>
  <c r="W30" i="21"/>
  <c r="S46" i="21"/>
  <c r="H45" i="21"/>
  <c r="U45" i="21" s="1"/>
  <c r="F29" i="21"/>
  <c r="S29" i="21"/>
  <c r="F13" i="21"/>
  <c r="AA13" i="21" s="1"/>
  <c r="H32" i="21"/>
  <c r="J32" i="21"/>
  <c r="AC32" i="21" s="1"/>
  <c r="F32" i="21"/>
  <c r="AA32" i="21" s="1"/>
  <c r="AA31" i="21"/>
  <c r="U17" i="21"/>
  <c r="W29" i="21"/>
  <c r="S19" i="21"/>
  <c r="S9" i="21"/>
  <c r="K141" i="21"/>
  <c r="K144" i="21"/>
  <c r="K143" i="21"/>
  <c r="U27" i="21"/>
  <c r="AB25" i="21"/>
  <c r="AA30" i="21"/>
  <c r="W13" i="21"/>
  <c r="W42" i="21"/>
  <c r="AC45" i="21"/>
  <c r="F10" i="21"/>
  <c r="AA10" i="21" s="1"/>
  <c r="K145" i="21"/>
  <c r="W25" i="21"/>
  <c r="AA29" i="21"/>
  <c r="W31" i="21"/>
  <c r="S27" i="21"/>
  <c r="S17" i="21"/>
  <c r="AA15" i="21"/>
  <c r="AC27"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T11" i="1"/>
  <c r="AR11" i="1"/>
  <c r="T13" i="1"/>
  <c r="E7" i="70"/>
  <c r="AA39" i="40"/>
  <c r="S39" i="40"/>
  <c r="S12" i="33"/>
  <c r="AA12" i="33"/>
  <c r="J32" i="39"/>
  <c r="AC32" i="39" s="1"/>
  <c r="H32" i="39"/>
  <c r="AB32" i="39" s="1"/>
  <c r="AA32" i="39"/>
  <c r="S32" i="39"/>
  <c r="AA21" i="39"/>
  <c r="S21" i="39"/>
  <c r="AC21" i="39"/>
  <c r="W21" i="39"/>
  <c r="U9" i="35"/>
  <c r="AB9" i="35"/>
  <c r="AA9" i="35"/>
  <c r="S9" i="35"/>
  <c r="AC26" i="35"/>
  <c r="W26" i="35"/>
  <c r="AB26" i="35"/>
  <c r="U26" i="35"/>
  <c r="AC17" i="37"/>
  <c r="J19" i="37"/>
  <c r="G75" i="37"/>
  <c r="S19" i="37"/>
  <c r="AA19" i="37"/>
  <c r="J23" i="37"/>
  <c r="G79" i="37"/>
  <c r="J10" i="37"/>
  <c r="I60" i="37"/>
  <c r="G63" i="37"/>
  <c r="H63" i="37" s="1"/>
  <c r="I63" i="37" s="1"/>
  <c r="J63" i="37" s="1"/>
  <c r="K63" i="37" s="1"/>
  <c r="L63" i="37" s="1"/>
  <c r="M63" i="37" s="1"/>
  <c r="H11" i="37"/>
  <c r="AB11" i="37" s="1"/>
  <c r="AB10" i="37"/>
  <c r="U10" i="37"/>
  <c r="H11" i="34"/>
  <c r="U11" i="34" s="1"/>
  <c r="J10" i="34"/>
  <c r="AC10" i="34" s="1"/>
  <c r="AB41" i="33"/>
  <c r="U41" i="33"/>
  <c r="W32" i="33"/>
  <c r="J27" i="33"/>
  <c r="W27" i="33" s="1"/>
  <c r="S25" i="33"/>
  <c r="J25" i="33"/>
  <c r="AC25" i="33" s="1"/>
  <c r="AC10" i="33"/>
  <c r="W10" i="33"/>
  <c r="AC37" i="21"/>
  <c r="U33" i="21"/>
  <c r="AA23" i="21"/>
  <c r="J23" i="21"/>
  <c r="AC23" i="21" s="1"/>
  <c r="F85" i="21"/>
  <c r="G85" i="21" s="1"/>
  <c r="H23" i="21"/>
  <c r="S6" i="43"/>
  <c r="S4" i="43"/>
  <c r="S7" i="43"/>
  <c r="AP7" i="1"/>
  <c r="AB45" i="21"/>
  <c r="AC33" i="21"/>
  <c r="W33" i="21"/>
  <c r="AA33" i="21"/>
  <c r="W32" i="21"/>
  <c r="AB32" i="21"/>
  <c r="U32" i="21"/>
  <c r="U32" i="39"/>
  <c r="W19" i="37"/>
  <c r="AC19" i="37"/>
  <c r="W23" i="37"/>
  <c r="AC23" i="37"/>
  <c r="J11" i="37"/>
  <c r="AC11" i="37" s="1"/>
  <c r="W10" i="37"/>
  <c r="AC10" i="37"/>
  <c r="J11" i="34"/>
  <c r="U23" i="21"/>
  <c r="AB23" i="21"/>
  <c r="W11" i="37"/>
  <c r="W11" i="34"/>
  <c r="AC11" i="34"/>
  <c r="F34" i="11"/>
  <c r="C36" i="11" s="1"/>
  <c r="F11" i="12"/>
  <c r="C23" i="12" s="1"/>
  <c r="F34" i="68"/>
  <c r="R8" i="1"/>
  <c r="AE7" i="1"/>
  <c r="AE8" i="1"/>
  <c r="AG6" i="1"/>
  <c r="J7" i="33"/>
  <c r="W7" i="33" s="1"/>
  <c r="AD3" i="71"/>
  <c r="D63" i="40"/>
  <c r="E63" i="40" s="1"/>
  <c r="E65" i="40" s="1"/>
  <c r="J1" i="73"/>
  <c r="C13" i="12"/>
  <c r="H77" i="43"/>
  <c r="H76" i="43"/>
  <c r="H51" i="43"/>
  <c r="H67" i="43"/>
  <c r="H59" i="43"/>
  <c r="H60" i="43"/>
  <c r="H61" i="43"/>
  <c r="M4" i="43"/>
  <c r="M5" i="43"/>
  <c r="N12" i="43"/>
  <c r="N11" i="43"/>
  <c r="M10" i="43"/>
  <c r="M2" i="43"/>
  <c r="M7" i="43"/>
  <c r="H70" i="43"/>
  <c r="N9" i="43"/>
  <c r="M8" i="43"/>
  <c r="N10" i="43"/>
  <c r="H74" i="43"/>
  <c r="M6" i="43"/>
  <c r="N7" i="43"/>
  <c r="N4" i="43"/>
  <c r="N2" i="43"/>
  <c r="N17" i="43"/>
  <c r="L17" i="43"/>
  <c r="O17" i="43"/>
  <c r="M17" i="43"/>
  <c r="E17" i="43"/>
  <c r="D58" i="21"/>
  <c r="C24" i="12"/>
  <c r="C15" i="71"/>
  <c r="C14" i="71" s="1"/>
  <c r="D15" i="71"/>
  <c r="D16" i="71"/>
  <c r="D17" i="71"/>
  <c r="U17" i="71" s="1"/>
  <c r="S17" i="71"/>
  <c r="T17" i="71"/>
  <c r="AB15" i="71"/>
  <c r="X13" i="71"/>
  <c r="X12" i="71"/>
  <c r="AA13" i="71"/>
  <c r="AA12" i="71"/>
  <c r="X16" i="71"/>
  <c r="Y12" i="71"/>
  <c r="Z12" i="71" s="1"/>
  <c r="AB13" i="71"/>
  <c r="AB12" i="71"/>
  <c r="S13" i="71"/>
  <c r="F14" i="71"/>
  <c r="F13" i="71"/>
  <c r="F12" i="71" s="1"/>
  <c r="F11" i="71" s="1"/>
  <c r="F10" i="71" s="1"/>
  <c r="Y13" i="71"/>
  <c r="Z13" i="71" s="1"/>
  <c r="X3" i="71"/>
  <c r="E14" i="71"/>
  <c r="E13" i="71"/>
  <c r="E12" i="71" s="1"/>
  <c r="E11" i="71" s="1"/>
  <c r="E10" i="71" s="1"/>
  <c r="E9" i="71" s="1"/>
  <c r="G20" i="43"/>
  <c r="E41" i="43" s="1"/>
  <c r="C41" i="43" s="1"/>
  <c r="E58" i="21"/>
  <c r="F58" i="21" s="1"/>
  <c r="G58" i="21" s="1"/>
  <c r="H58" i="21" s="1"/>
  <c r="I58" i="21" s="1"/>
  <c r="J58" i="21" s="1"/>
  <c r="K58" i="21" s="1"/>
  <c r="L58" i="21" s="1"/>
  <c r="M58" i="21" s="1"/>
  <c r="C19" i="43"/>
  <c r="D3" i="73"/>
  <c r="AO13" i="1"/>
  <c r="B12" i="76"/>
  <c r="L48" i="15"/>
  <c r="D34" i="9"/>
  <c r="E12" i="76"/>
  <c r="AO9" i="1"/>
  <c r="F9" i="67"/>
  <c r="D2" i="36"/>
  <c r="F4" i="73"/>
  <c r="F16" i="67"/>
  <c r="F36" i="67"/>
  <c r="D2" i="33"/>
  <c r="L47" i="67"/>
  <c r="D2" i="37"/>
  <c r="M24" i="15"/>
  <c r="B13" i="76"/>
  <c r="M9" i="67"/>
  <c r="F13" i="67"/>
  <c r="E7" i="76"/>
  <c r="M28" i="15"/>
  <c r="M6" i="15"/>
  <c r="J15" i="15"/>
  <c r="M24" i="67"/>
  <c r="M28" i="67"/>
  <c r="B8" i="76"/>
  <c r="F42" i="67"/>
  <c r="F37" i="15"/>
  <c r="F6" i="73"/>
  <c r="E10" i="76"/>
  <c r="M23" i="15"/>
  <c r="AO11" i="1"/>
  <c r="AO10" i="1"/>
  <c r="F40" i="15"/>
  <c r="M22" i="15"/>
  <c r="F41" i="15"/>
  <c r="B7" i="76"/>
  <c r="B10" i="76"/>
  <c r="F26" i="67"/>
  <c r="AO8" i="1"/>
  <c r="D2" i="34"/>
  <c r="AO12" i="1"/>
  <c r="M29" i="67"/>
  <c r="F36" i="15"/>
  <c r="F20" i="31"/>
  <c r="M6" i="67"/>
  <c r="E2" i="68"/>
  <c r="D6" i="73"/>
  <c r="D2" i="35"/>
  <c r="F6" i="15"/>
  <c r="F13" i="15"/>
  <c r="AO7" i="1"/>
  <c r="M21" i="15"/>
  <c r="J15" i="67"/>
  <c r="B11" i="76"/>
  <c r="D35" i="9"/>
  <c r="F7" i="67"/>
  <c r="M27" i="67"/>
  <c r="L47" i="15"/>
  <c r="F5" i="73"/>
  <c r="E8" i="76"/>
  <c r="D2" i="21"/>
  <c r="L48" i="67"/>
  <c r="F26" i="15"/>
  <c r="M29" i="15"/>
  <c r="M26" i="15"/>
  <c r="F35" i="15"/>
  <c r="F37" i="67"/>
  <c r="F42" i="15"/>
  <c r="C76" i="15"/>
  <c r="E2" i="69"/>
  <c r="M26" i="67"/>
  <c r="F43" i="15"/>
  <c r="M23" i="67"/>
  <c r="F8" i="67"/>
  <c r="E13" i="76"/>
  <c r="E9" i="76"/>
  <c r="F16" i="15"/>
  <c r="M8" i="67"/>
  <c r="F38" i="15"/>
  <c r="F38" i="67"/>
  <c r="M27" i="15"/>
  <c r="M8" i="15"/>
  <c r="F40" i="67"/>
  <c r="C76" i="67"/>
  <c r="F7" i="15"/>
  <c r="D5" i="73"/>
  <c r="B9" i="76"/>
  <c r="M9" i="15"/>
  <c r="F7" i="73"/>
  <c r="E11" i="76"/>
  <c r="F9" i="15"/>
  <c r="F3" i="73"/>
  <c r="F8" i="15"/>
  <c r="M22" i="67"/>
  <c r="F43" i="67"/>
  <c r="F6" i="31" l="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S41" i="33"/>
  <c r="G111" i="33"/>
  <c r="H111" i="33" s="1"/>
  <c r="I111" i="33" s="1"/>
  <c r="J111" i="33" s="1"/>
  <c r="K111" i="33" s="1"/>
  <c r="L111" i="33" s="1"/>
  <c r="M111" i="33" s="1"/>
  <c r="H36" i="33"/>
  <c r="F36" i="33"/>
  <c r="S36" i="33" s="1"/>
  <c r="J36" i="33"/>
  <c r="G17" i="43"/>
  <c r="C16" i="43" s="1"/>
  <c r="C5" i="43" s="1"/>
  <c r="J57" i="9"/>
  <c r="J59" i="9" s="1"/>
  <c r="J61" i="9" s="1"/>
  <c r="AR12" i="1"/>
  <c r="AQ9" i="1"/>
  <c r="L27" i="6"/>
  <c r="BL21" i="3"/>
  <c r="AR8" i="1"/>
  <c r="T9" i="1"/>
  <c r="BL24" i="3"/>
  <c r="B19" i="53"/>
  <c r="B37" i="72" s="1"/>
  <c r="U44" i="33"/>
  <c r="AB44" i="33"/>
  <c r="AC44" i="33"/>
  <c r="AA44" i="33"/>
  <c r="S28" i="33"/>
  <c r="AB28" i="33"/>
  <c r="C13" i="71"/>
  <c r="D14" i="71"/>
  <c r="E8" i="6"/>
  <c r="D68" i="39"/>
  <c r="C70" i="39"/>
  <c r="G123" i="33"/>
  <c r="H123" i="33" s="1"/>
  <c r="I123" i="33" s="1"/>
  <c r="J123" i="33" s="1"/>
  <c r="K123" i="33" s="1"/>
  <c r="L123" i="33" s="1"/>
  <c r="M123" i="33" s="1"/>
  <c r="F42" i="33"/>
  <c r="AA42" i="33" s="1"/>
  <c r="AA14" i="40"/>
  <c r="S14" i="40"/>
  <c r="AB44" i="39"/>
  <c r="U44" i="39"/>
  <c r="AZ555" i="3"/>
  <c r="BL554" i="3"/>
  <c r="BL519" i="3"/>
  <c r="H5" i="3"/>
  <c r="G511" i="3"/>
  <c r="AZ509" i="3"/>
  <c r="S10" i="21"/>
  <c r="S32" i="21"/>
  <c r="W35" i="34"/>
  <c r="AB31" i="37"/>
  <c r="AA11" i="35"/>
  <c r="BR5" i="3"/>
  <c r="BE5" i="3"/>
  <c r="AC5" i="3"/>
  <c r="BD5" i="3"/>
  <c r="S29" i="35"/>
  <c r="AA29" i="35"/>
  <c r="H44" i="21"/>
  <c r="F44" i="21"/>
  <c r="BA552" i="3"/>
  <c r="AZ552" i="3" s="1"/>
  <c r="BA525" i="3"/>
  <c r="AZ525" i="3" s="1"/>
  <c r="BL524" i="3"/>
  <c r="AZ524" i="3"/>
  <c r="AZ523" i="3"/>
  <c r="BA522" i="3"/>
  <c r="AZ522" i="3" s="1"/>
  <c r="BA520" i="3"/>
  <c r="AZ520" i="3" s="1"/>
  <c r="AZ519" i="3"/>
  <c r="AZ517" i="3"/>
  <c r="AZ516" i="3"/>
  <c r="BL515" i="3"/>
  <c r="AZ515" i="3" s="1"/>
  <c r="BI5" i="3"/>
  <c r="AZ508" i="3"/>
  <c r="BL506" i="3"/>
  <c r="AZ506" i="3" s="1"/>
  <c r="BN5" i="3"/>
  <c r="E8" i="71"/>
  <c r="E7" i="71" s="1"/>
  <c r="E6" i="71" s="1"/>
  <c r="E5" i="71" s="1"/>
  <c r="V9" i="71"/>
  <c r="H48" i="43"/>
  <c r="U21" i="39"/>
  <c r="J9" i="21"/>
  <c r="C20" i="43"/>
  <c r="V13" i="71"/>
  <c r="U11" i="37"/>
  <c r="W32" i="39"/>
  <c r="T8" i="1"/>
  <c r="D6" i="52"/>
  <c r="S26" i="35"/>
  <c r="AC26" i="21"/>
  <c r="H9" i="21"/>
  <c r="AA46" i="34"/>
  <c r="W33" i="34"/>
  <c r="H53" i="43"/>
  <c r="S20" i="35"/>
  <c r="W39" i="39"/>
  <c r="S28" i="40"/>
  <c r="AA32" i="37"/>
  <c r="H83" i="43"/>
  <c r="BG5" i="3"/>
  <c r="BQ5" i="3"/>
  <c r="F28" i="6" s="1"/>
  <c r="AZ344" i="3"/>
  <c r="AZ337" i="3"/>
  <c r="U28" i="37"/>
  <c r="AB28" i="37"/>
  <c r="AC47" i="34"/>
  <c r="W47" i="34"/>
  <c r="U11" i="36"/>
  <c r="AB11" i="36"/>
  <c r="J44" i="21"/>
  <c r="H38" i="37"/>
  <c r="J38" i="37"/>
  <c r="AB43" i="33"/>
  <c r="U43" i="33"/>
  <c r="W16" i="36"/>
  <c r="AC16" i="36"/>
  <c r="AZ554" i="3"/>
  <c r="BT5" i="3"/>
  <c r="H49" i="43"/>
  <c r="W23" i="21"/>
  <c r="S13" i="21"/>
  <c r="AC35" i="33"/>
  <c r="U25" i="36"/>
  <c r="H56" i="43"/>
  <c r="AC30" i="35"/>
  <c r="AA30" i="40"/>
  <c r="AZ357" i="3"/>
  <c r="BL507" i="3"/>
  <c r="AZ507" i="3" s="1"/>
  <c r="AZ571" i="3"/>
  <c r="AZ583" i="3"/>
  <c r="U33" i="40"/>
  <c r="AB33" i="40"/>
  <c r="AC13" i="36"/>
  <c r="W13" i="36"/>
  <c r="BL587" i="3"/>
  <c r="AZ587" i="3"/>
  <c r="J24" i="35"/>
  <c r="H24" i="35"/>
  <c r="F24" i="35"/>
  <c r="AC32" i="40"/>
  <c r="W32" i="40"/>
  <c r="AZ585" i="3"/>
  <c r="BA514" i="3"/>
  <c r="AZ514" i="3" s="1"/>
  <c r="BA512" i="3"/>
  <c r="AZ512" i="3" s="1"/>
  <c r="BL511" i="3"/>
  <c r="BA511" i="3"/>
  <c r="BF5" i="3"/>
  <c r="BA510" i="3"/>
  <c r="AZ510" i="3" s="1"/>
  <c r="AC7" i="33"/>
  <c r="H7" i="33"/>
  <c r="AB7" i="33" s="1"/>
  <c r="S37" i="21"/>
  <c r="S17" i="37"/>
  <c r="W17" i="21"/>
  <c r="AC38" i="21"/>
  <c r="AB14" i="34"/>
  <c r="AA11" i="37"/>
  <c r="W23" i="36"/>
  <c r="H55" i="43"/>
  <c r="AB16" i="35"/>
  <c r="BM5" i="3"/>
  <c r="S25" i="21"/>
  <c r="AA25" i="21"/>
  <c r="AZ557" i="3"/>
  <c r="S13" i="33"/>
  <c r="AA13" i="33"/>
  <c r="S44" i="39"/>
  <c r="BL586" i="3"/>
  <c r="AZ586" i="3" s="1"/>
  <c r="BL585" i="3"/>
  <c r="E117" i="33"/>
  <c r="F117" i="33" s="1"/>
  <c r="G117" i="33" s="1"/>
  <c r="J39" i="33"/>
  <c r="H39" i="33"/>
  <c r="F63" i="40"/>
  <c r="D65" i="40"/>
  <c r="H54" i="43"/>
  <c r="F7" i="33"/>
  <c r="AA23" i="37"/>
  <c r="U28" i="21"/>
  <c r="H50" i="43"/>
  <c r="BP5" i="3"/>
  <c r="BO5" i="3"/>
  <c r="S14" i="37"/>
  <c r="AA14" i="37"/>
  <c r="AB35" i="35"/>
  <c r="U35" i="35"/>
  <c r="AA45" i="33"/>
  <c r="S45" i="33"/>
  <c r="U31" i="33"/>
  <c r="AB31" i="33"/>
  <c r="AA23" i="35"/>
  <c r="S23" i="35"/>
  <c r="AC28" i="35"/>
  <c r="W28" i="35"/>
  <c r="AA25" i="37"/>
  <c r="S25" i="37"/>
  <c r="AC23" i="39"/>
  <c r="W23" i="39"/>
  <c r="G7" i="34"/>
  <c r="I7" i="34"/>
  <c r="E7" i="34"/>
  <c r="J40" i="40"/>
  <c r="H40" i="40"/>
  <c r="J12" i="34"/>
  <c r="H12" i="34"/>
  <c r="F12" i="34"/>
  <c r="H9" i="36"/>
  <c r="F9" i="36"/>
  <c r="U46" i="33"/>
  <c r="J26" i="37"/>
  <c r="H26" i="37"/>
  <c r="F40" i="40"/>
  <c r="E115" i="33"/>
  <c r="F115" i="33" s="1"/>
  <c r="G115" i="33" s="1"/>
  <c r="H115" i="33" s="1"/>
  <c r="I115" i="33" s="1"/>
  <c r="J115" i="33" s="1"/>
  <c r="K115" i="33" s="1"/>
  <c r="L115" i="33" s="1"/>
  <c r="M115" i="33" s="1"/>
  <c r="F38" i="33"/>
  <c r="AA38" i="33" s="1"/>
  <c r="AZ400" i="3"/>
  <c r="AZ414" i="3"/>
  <c r="AZ421" i="3"/>
  <c r="AZ440" i="3"/>
  <c r="AZ399" i="3"/>
  <c r="AZ413" i="3"/>
  <c r="AZ419" i="3"/>
  <c r="AZ434" i="3"/>
  <c r="F34" i="35"/>
  <c r="F38" i="40"/>
  <c r="J38" i="40"/>
  <c r="AZ456" i="3"/>
  <c r="G566" i="3"/>
  <c r="BA550" i="3"/>
  <c r="AZ550" i="3" s="1"/>
  <c r="AZ416" i="3"/>
  <c r="AZ420" i="3"/>
  <c r="AZ438" i="3"/>
  <c r="AZ446" i="3"/>
  <c r="BL449" i="3"/>
  <c r="BL451" i="3"/>
  <c r="BL453" i="3"/>
  <c r="BA455" i="3"/>
  <c r="AZ455" i="3" s="1"/>
  <c r="BA457" i="3"/>
  <c r="AZ457" i="3" s="1"/>
  <c r="BL470" i="3"/>
  <c r="AZ470" i="3" s="1"/>
  <c r="BA478" i="3"/>
  <c r="AZ478" i="3" s="1"/>
  <c r="BA484" i="3"/>
  <c r="AZ484" i="3" s="1"/>
  <c r="AZ289" i="3"/>
  <c r="BL447" i="3"/>
  <c r="AZ447" i="3" s="1"/>
  <c r="BL448" i="3"/>
  <c r="AZ448" i="3" s="1"/>
  <c r="BA450" i="3"/>
  <c r="AZ450" i="3" s="1"/>
  <c r="BA451" i="3"/>
  <c r="BA453" i="3"/>
  <c r="AZ453" i="3" s="1"/>
  <c r="BA463" i="3"/>
  <c r="AZ463" i="3" s="1"/>
  <c r="AZ469" i="3"/>
  <c r="AZ483" i="3"/>
  <c r="AZ489" i="3"/>
  <c r="AZ332" i="3"/>
  <c r="AZ397" i="3"/>
  <c r="AZ216" i="3"/>
  <c r="AZ239" i="3"/>
  <c r="AZ258" i="3"/>
  <c r="AZ274" i="3"/>
  <c r="AZ294" i="3"/>
  <c r="AZ118" i="3"/>
  <c r="A15" i="62"/>
  <c r="B61" i="72" s="1"/>
  <c r="BL429" i="3"/>
  <c r="AZ429" i="3" s="1"/>
  <c r="BL430" i="3"/>
  <c r="AZ430" i="3" s="1"/>
  <c r="BL431" i="3"/>
  <c r="BL432" i="3"/>
  <c r="BL445" i="3"/>
  <c r="BL446" i="3"/>
  <c r="BA449" i="3"/>
  <c r="AZ449" i="3" s="1"/>
  <c r="G450" i="3"/>
  <c r="G451" i="3"/>
  <c r="G452" i="3"/>
  <c r="G453" i="3"/>
  <c r="BA464" i="3"/>
  <c r="AZ464" i="3" s="1"/>
  <c r="BA468" i="3"/>
  <c r="AZ468" i="3" s="1"/>
  <c r="BL472" i="3"/>
  <c r="AZ472" i="3" s="1"/>
  <c r="BL474" i="3"/>
  <c r="BA476" i="3"/>
  <c r="AZ476" i="3" s="1"/>
  <c r="G477" i="3"/>
  <c r="BA482" i="3"/>
  <c r="AZ482" i="3" s="1"/>
  <c r="G483" i="3"/>
  <c r="BA488" i="3"/>
  <c r="AZ488" i="3" s="1"/>
  <c r="AZ210" i="3"/>
  <c r="AZ125" i="3"/>
  <c r="AZ431" i="3"/>
  <c r="AZ432" i="3"/>
  <c r="AZ462" i="3"/>
  <c r="BL15" i="3"/>
  <c r="AZ15" i="3" s="1"/>
  <c r="G429" i="3"/>
  <c r="G430" i="3"/>
  <c r="G431" i="3"/>
  <c r="G432" i="3"/>
  <c r="G433" i="3"/>
  <c r="BA442" i="3"/>
  <c r="AZ442" i="3" s="1"/>
  <c r="BA443" i="3"/>
  <c r="AZ443" i="3" s="1"/>
  <c r="BA445" i="3"/>
  <c r="AZ445" i="3" s="1"/>
  <c r="G446" i="3"/>
  <c r="G447" i="3"/>
  <c r="BL456" i="3"/>
  <c r="BA474" i="3"/>
  <c r="AZ474" i="3" s="1"/>
  <c r="G475" i="3"/>
  <c r="BA480" i="3"/>
  <c r="AZ480" i="3" s="1"/>
  <c r="G481" i="3"/>
  <c r="BA486" i="3"/>
  <c r="AZ486" i="3" s="1"/>
  <c r="G487" i="3"/>
  <c r="AZ316" i="3"/>
  <c r="AZ211" i="3"/>
  <c r="AZ231" i="3"/>
  <c r="AZ244" i="3"/>
  <c r="AZ290" i="3"/>
  <c r="AZ293" i="3"/>
  <c r="AZ122" i="3"/>
  <c r="BA436" i="3"/>
  <c r="AZ436" i="3" s="1"/>
  <c r="G442" i="3"/>
  <c r="G443" i="3"/>
  <c r="BL454" i="3"/>
  <c r="AZ454" i="3" s="1"/>
  <c r="BL477" i="3"/>
  <c r="AZ477" i="3" s="1"/>
  <c r="AZ479" i="3"/>
  <c r="BL483" i="3"/>
  <c r="AZ485" i="3"/>
  <c r="AZ230" i="3"/>
  <c r="AZ264" i="3"/>
  <c r="AZ134" i="3"/>
  <c r="BA116" i="3"/>
  <c r="AZ116" i="3" s="1"/>
  <c r="BL133" i="3"/>
  <c r="AZ133" i="3" s="1"/>
  <c r="BL134" i="3"/>
  <c r="BL153" i="3"/>
  <c r="BL161" i="3"/>
  <c r="BA164" i="3"/>
  <c r="AZ164" i="3" s="1"/>
  <c r="BA169" i="3"/>
  <c r="AZ169" i="3" s="1"/>
  <c r="AZ60" i="3"/>
  <c r="G116" i="3"/>
  <c r="BL121" i="3"/>
  <c r="BL125" i="3"/>
  <c r="BL126" i="3"/>
  <c r="AZ126" i="3" s="1"/>
  <c r="G131" i="3"/>
  <c r="AZ137" i="3"/>
  <c r="AZ141" i="3"/>
  <c r="AZ145" i="3"/>
  <c r="BA161" i="3"/>
  <c r="AZ161" i="3" s="1"/>
  <c r="AZ205" i="3"/>
  <c r="AZ48" i="3"/>
  <c r="BL113" i="3"/>
  <c r="BA121" i="3"/>
  <c r="AZ121" i="3" s="1"/>
  <c r="BL123" i="3"/>
  <c r="AZ123" i="3" s="1"/>
  <c r="BL157" i="3"/>
  <c r="AZ157" i="3" s="1"/>
  <c r="BL175" i="3"/>
  <c r="AZ175" i="3" s="1"/>
  <c r="AZ177" i="3"/>
  <c r="BA178" i="3"/>
  <c r="AZ178" i="3" s="1"/>
  <c r="AZ193" i="3"/>
  <c r="AZ207" i="3"/>
  <c r="AZ38" i="3"/>
  <c r="BA113" i="3"/>
  <c r="AZ113" i="3" s="1"/>
  <c r="G120" i="3"/>
  <c r="G124" i="3"/>
  <c r="AZ153" i="3"/>
  <c r="AZ49" i="3"/>
  <c r="AZ52" i="3"/>
  <c r="BA298" i="3"/>
  <c r="AZ298" i="3" s="1"/>
  <c r="BA117" i="3"/>
  <c r="AZ117" i="3" s="1"/>
  <c r="BL130" i="3"/>
  <c r="AZ130" i="3" s="1"/>
  <c r="BA41" i="3"/>
  <c r="AZ41" i="3" s="1"/>
  <c r="G51" i="3"/>
  <c r="BL55" i="3"/>
  <c r="AZ55" i="3" s="1"/>
  <c r="AZ57" i="3"/>
  <c r="BA58" i="3"/>
  <c r="AZ58" i="3" s="1"/>
  <c r="BL59" i="3"/>
  <c r="AZ59" i="3" s="1"/>
  <c r="BL66" i="3"/>
  <c r="AZ66" i="3" s="1"/>
  <c r="BA68" i="3"/>
  <c r="BL75" i="3"/>
  <c r="AZ75" i="3" s="1"/>
  <c r="BL76" i="3"/>
  <c r="AZ76" i="3" s="1"/>
  <c r="BA78" i="3"/>
  <c r="AZ78" i="3" s="1"/>
  <c r="BA82" i="3"/>
  <c r="BA85" i="3"/>
  <c r="BA91" i="3"/>
  <c r="I108" i="43"/>
  <c r="I100" i="43"/>
  <c r="BA56" i="3"/>
  <c r="AZ56" i="3" s="1"/>
  <c r="BA87" i="3"/>
  <c r="AZ87" i="3" s="1"/>
  <c r="BL99" i="3"/>
  <c r="BA101" i="3"/>
  <c r="AZ101" i="3" s="1"/>
  <c r="BL110" i="3"/>
  <c r="AZ110" i="3" s="1"/>
  <c r="G18" i="3"/>
  <c r="BL22" i="3"/>
  <c r="BA24" i="3"/>
  <c r="AZ24" i="3" s="1"/>
  <c r="BA46" i="3"/>
  <c r="AZ46" i="3" s="1"/>
  <c r="G56" i="3"/>
  <c r="BL61" i="3"/>
  <c r="BA63" i="3"/>
  <c r="AZ63" i="3" s="1"/>
  <c r="BA72" i="3"/>
  <c r="AZ72" i="3" s="1"/>
  <c r="G73" i="3"/>
  <c r="BA89" i="3"/>
  <c r="AZ89" i="3" s="1"/>
  <c r="G90" i="3"/>
  <c r="BL98" i="3"/>
  <c r="BA100" i="3"/>
  <c r="AZ100" i="3" s="1"/>
  <c r="G101" i="3"/>
  <c r="BA105" i="3"/>
  <c r="AZ105" i="3" s="1"/>
  <c r="G106" i="3"/>
  <c r="BA108" i="3"/>
  <c r="AZ108" i="3" s="1"/>
  <c r="BL109" i="3"/>
  <c r="AZ109" i="3" s="1"/>
  <c r="BA111" i="3"/>
  <c r="AZ111" i="3" s="1"/>
  <c r="L108" i="43"/>
  <c r="L100" i="43"/>
  <c r="AZ99" i="3"/>
  <c r="BL19" i="3"/>
  <c r="BA21" i="3"/>
  <c r="AZ21" i="3" s="1"/>
  <c r="BA22" i="3"/>
  <c r="BL50" i="3"/>
  <c r="AZ50" i="3" s="1"/>
  <c r="BA61" i="3"/>
  <c r="AZ61" i="3" s="1"/>
  <c r="G62" i="3"/>
  <c r="BA64" i="3"/>
  <c r="AZ64" i="3" s="1"/>
  <c r="BL68" i="3"/>
  <c r="BL78" i="3"/>
  <c r="BL82" i="3"/>
  <c r="BL85" i="3"/>
  <c r="BL91" i="3"/>
  <c r="BA93" i="3"/>
  <c r="AZ93" i="3" s="1"/>
  <c r="AZ98" i="3"/>
  <c r="G99" i="3"/>
  <c r="BA112" i="3"/>
  <c r="AZ112" i="3" s="1"/>
  <c r="E108" i="43"/>
  <c r="E100" i="43"/>
  <c r="I10" i="66"/>
  <c r="BL18" i="3"/>
  <c r="G21" i="3"/>
  <c r="G22" i="3"/>
  <c r="G44" i="3"/>
  <c r="BA51" i="3"/>
  <c r="AZ51" i="3" s="1"/>
  <c r="BL56" i="3"/>
  <c r="BL57" i="3"/>
  <c r="BL67" i="3"/>
  <c r="AZ67" i="3" s="1"/>
  <c r="BA69" i="3"/>
  <c r="AZ69" i="3" s="1"/>
  <c r="BL73" i="3"/>
  <c r="AZ73" i="3" s="1"/>
  <c r="BL77" i="3"/>
  <c r="AZ77" i="3" s="1"/>
  <c r="BA79" i="3"/>
  <c r="AZ79" i="3" s="1"/>
  <c r="BA83" i="3"/>
  <c r="AZ83" i="3" s="1"/>
  <c r="BA86" i="3"/>
  <c r="AZ86" i="3" s="1"/>
  <c r="BL90" i="3"/>
  <c r="AZ90" i="3" s="1"/>
  <c r="AZ92" i="3"/>
  <c r="G93" i="3"/>
  <c r="G98" i="3"/>
  <c r="BL106" i="3"/>
  <c r="AZ106" i="3" s="1"/>
  <c r="AB18" i="36"/>
  <c r="U18" i="36"/>
  <c r="F59" i="71"/>
  <c r="Q60" i="71"/>
  <c r="D108" i="43"/>
  <c r="B20" i="71"/>
  <c r="B19" i="71" s="1"/>
  <c r="S21" i="71"/>
  <c r="AB25" i="71"/>
  <c r="AB18" i="71"/>
  <c r="AB19" i="71"/>
  <c r="C45" i="71"/>
  <c r="D44" i="71"/>
  <c r="F53" i="71"/>
  <c r="V53" i="71" s="1"/>
  <c r="S73" i="71"/>
  <c r="B72" i="71"/>
  <c r="B71" i="71" s="1"/>
  <c r="D77" i="71"/>
  <c r="C76" i="71"/>
  <c r="AB17" i="71"/>
  <c r="X11" i="71"/>
  <c r="AB11" i="71"/>
  <c r="Y7" i="71"/>
  <c r="Z7" i="71" s="1"/>
  <c r="G100" i="43"/>
  <c r="C40" i="68"/>
  <c r="AA21" i="33"/>
  <c r="C29" i="39"/>
  <c r="AB20" i="71"/>
  <c r="C29" i="71"/>
  <c r="D28" i="71"/>
  <c r="X26" i="71"/>
  <c r="B49" i="71"/>
  <c r="S49" i="71" s="1"/>
  <c r="F72" i="71"/>
  <c r="F71" i="71" s="1"/>
  <c r="AB14" i="71"/>
  <c r="C37" i="71"/>
  <c r="D36" i="71"/>
  <c r="C40" i="71"/>
  <c r="D40" i="71" s="1"/>
  <c r="D39" i="71"/>
  <c r="C48" i="71"/>
  <c r="D47" i="71"/>
  <c r="U21" i="37"/>
  <c r="B55" i="43"/>
  <c r="P58" i="71"/>
  <c r="P59" i="71"/>
  <c r="AB22" i="71"/>
  <c r="Y17" i="71"/>
  <c r="Z17" i="71" s="1"/>
  <c r="Y20" i="71"/>
  <c r="Z20" i="71" s="1"/>
  <c r="C21" i="71"/>
  <c r="Y18" i="71"/>
  <c r="Z18" i="71" s="1"/>
  <c r="Y21" i="71"/>
  <c r="Z21" i="71" s="1"/>
  <c r="X24" i="71"/>
  <c r="X23" i="71"/>
  <c r="X25" i="71"/>
  <c r="AB29" i="71"/>
  <c r="E37" i="71"/>
  <c r="U37" i="71" s="1"/>
  <c r="C52" i="71"/>
  <c r="Y11" i="71"/>
  <c r="Z11" i="71" s="1"/>
  <c r="B75" i="43"/>
  <c r="P27" i="6"/>
  <c r="D80" i="71"/>
  <c r="C79" i="71"/>
  <c r="D79" i="71" s="1"/>
  <c r="T25" i="71"/>
  <c r="D25" i="71"/>
  <c r="C32" i="71"/>
  <c r="D31" i="71"/>
  <c r="X30" i="71"/>
  <c r="C56" i="71"/>
  <c r="D55" i="71"/>
  <c r="N58" i="71"/>
  <c r="N59" i="71"/>
  <c r="X18" i="71"/>
  <c r="AA20" i="71"/>
  <c r="E21" i="71"/>
  <c r="AA31" i="71"/>
  <c r="AA29" i="71"/>
  <c r="AB26" i="71"/>
  <c r="AH10" i="43"/>
  <c r="V17" i="71"/>
  <c r="X14" i="71"/>
  <c r="AA11" i="71"/>
  <c r="X8" i="71"/>
  <c r="Y6" i="71"/>
  <c r="Z6" i="71" s="1"/>
  <c r="AB5" i="71"/>
  <c r="S18" i="35"/>
  <c r="D24" i="71"/>
  <c r="AB21" i="71"/>
  <c r="F21" i="71"/>
  <c r="F20" i="71" s="1"/>
  <c r="F19" i="71" s="1"/>
  <c r="E68" i="71"/>
  <c r="E67" i="71" s="1"/>
  <c r="X19" i="71"/>
  <c r="X31" i="71"/>
  <c r="AE10" i="43"/>
  <c r="Y16" i="71"/>
  <c r="Z16" i="71" s="1"/>
  <c r="AB16" i="71"/>
  <c r="AA10" i="71"/>
  <c r="Y5" i="71"/>
  <c r="Z5" i="71" s="1"/>
  <c r="AB6" i="71"/>
  <c r="AA18" i="71"/>
  <c r="D27" i="71"/>
  <c r="AB30" i="71"/>
  <c r="P61" i="15"/>
  <c r="X17" i="71"/>
  <c r="AA8" i="71"/>
  <c r="AA23" i="71"/>
  <c r="AA26" i="71"/>
  <c r="AA30" i="71"/>
  <c r="Y15" i="71"/>
  <c r="Z15" i="71" s="1"/>
  <c r="X15" i="71"/>
  <c r="AB8" i="71"/>
  <c r="X10" i="71"/>
  <c r="AB10" i="71"/>
  <c r="X6" i="71"/>
  <c r="X5" i="71"/>
  <c r="AA6" i="71"/>
  <c r="X7" i="71"/>
  <c r="AA7" i="71"/>
  <c r="W40" i="33"/>
  <c r="B41" i="1"/>
  <c r="D93" i="9"/>
  <c r="AB36" i="34"/>
  <c r="G112" i="34"/>
  <c r="H112" i="34" s="1"/>
  <c r="I112" i="34" s="1"/>
  <c r="J112" i="34" s="1"/>
  <c r="K112" i="34" s="1"/>
  <c r="L112" i="34" s="1"/>
  <c r="M112" i="34" s="1"/>
  <c r="F37" i="34"/>
  <c r="H37" i="34"/>
  <c r="J37" i="34"/>
  <c r="AC37" i="34" s="1"/>
  <c r="AA38" i="34"/>
  <c r="AA33" i="34"/>
  <c r="H23" i="34"/>
  <c r="U23" i="34" s="1"/>
  <c r="F86" i="34"/>
  <c r="G86" i="34" s="1"/>
  <c r="J23" i="34"/>
  <c r="F23" i="34"/>
  <c r="AA23" i="34" s="1"/>
  <c r="AC21" i="34"/>
  <c r="F78" i="34"/>
  <c r="G78" i="34" s="1"/>
  <c r="J15" i="34"/>
  <c r="W9" i="34"/>
  <c r="F85" i="33"/>
  <c r="G85" i="33" s="1"/>
  <c r="F23" i="33"/>
  <c r="S23" i="33" s="1"/>
  <c r="J23" i="33"/>
  <c r="AC23" i="33" s="1"/>
  <c r="H23" i="33"/>
  <c r="AB23" i="33" s="1"/>
  <c r="AC21" i="33"/>
  <c r="J19" i="33"/>
  <c r="AC19" i="33" s="1"/>
  <c r="F81" i="33"/>
  <c r="G81" i="33" s="1"/>
  <c r="H19" i="33"/>
  <c r="AB19" i="33" s="1"/>
  <c r="F19" i="33"/>
  <c r="S19" i="33" s="1"/>
  <c r="W38" i="33"/>
  <c r="S38" i="33"/>
  <c r="W9" i="33"/>
  <c r="AA39" i="34"/>
  <c r="G88" i="34"/>
  <c r="H88" i="34" s="1"/>
  <c r="I88" i="34" s="1"/>
  <c r="J88" i="34" s="1"/>
  <c r="K88" i="34" s="1"/>
  <c r="L88" i="34" s="1"/>
  <c r="M88" i="34" s="1"/>
  <c r="F25" i="34"/>
  <c r="J25" i="34"/>
  <c r="H25" i="34"/>
  <c r="F19" i="34"/>
  <c r="J19" i="34"/>
  <c r="F82" i="34"/>
  <c r="G82" i="34" s="1"/>
  <c r="H19" i="34"/>
  <c r="AB19" i="34" s="1"/>
  <c r="H17" i="34"/>
  <c r="J17" i="34"/>
  <c r="F80" i="34"/>
  <c r="G80" i="34" s="1"/>
  <c r="F17" i="34"/>
  <c r="H15" i="34"/>
  <c r="F15" i="34"/>
  <c r="U44" i="34"/>
  <c r="AA41" i="34"/>
  <c r="AB41" i="34"/>
  <c r="U38" i="34"/>
  <c r="W37" i="34"/>
  <c r="AC36" i="34"/>
  <c r="S35" i="34"/>
  <c r="AC28" i="34"/>
  <c r="U28" i="34"/>
  <c r="S28" i="34"/>
  <c r="S23" i="34"/>
  <c r="U21" i="34"/>
  <c r="S21" i="34"/>
  <c r="AB11" i="34"/>
  <c r="AA11" i="34"/>
  <c r="AB10" i="34"/>
  <c r="W10" i="34"/>
  <c r="S10" i="34"/>
  <c r="S9" i="34"/>
  <c r="W8" i="34"/>
  <c r="F79" i="33"/>
  <c r="G79" i="33" s="1"/>
  <c r="H17" i="33"/>
  <c r="J17" i="33"/>
  <c r="F17" i="33"/>
  <c r="AA17" i="33" s="1"/>
  <c r="F77" i="33"/>
  <c r="G77" i="33" s="1"/>
  <c r="F15" i="33"/>
  <c r="J15" i="33"/>
  <c r="AC15" i="33" s="1"/>
  <c r="H15" i="33"/>
  <c r="AB15" i="33" s="1"/>
  <c r="W43" i="33"/>
  <c r="AC37" i="33"/>
  <c r="AA36" i="33"/>
  <c r="U35" i="33"/>
  <c r="AB34" i="33"/>
  <c r="AA34" i="33"/>
  <c r="S32" i="33"/>
  <c r="AC28" i="33"/>
  <c r="S26" i="33"/>
  <c r="AB26" i="33"/>
  <c r="U27" i="33"/>
  <c r="AC27" i="33"/>
  <c r="W25" i="33"/>
  <c r="AB25" i="33"/>
  <c r="W23" i="33"/>
  <c r="AB21" i="33"/>
  <c r="AA19" i="33"/>
  <c r="AB10" i="33"/>
  <c r="AA10" i="33"/>
  <c r="S9" i="33"/>
  <c r="U8" i="33"/>
  <c r="S8" i="33"/>
  <c r="M6" i="1"/>
  <c r="O6" i="1" s="1"/>
  <c r="P6" i="1" s="1"/>
  <c r="BA19" i="3"/>
  <c r="BL20" i="3"/>
  <c r="BA23" i="3"/>
  <c r="BL23" i="3"/>
  <c r="G5" i="3"/>
  <c r="B3" i="3" s="1"/>
  <c r="E13" i="6"/>
  <c r="E15" i="6"/>
  <c r="C5" i="68"/>
  <c r="P74" i="67"/>
  <c r="C94" i="9"/>
  <c r="C92" i="9"/>
  <c r="C5" i="11"/>
  <c r="F30" i="69"/>
  <c r="F48" i="69" s="1"/>
  <c r="M18" i="15"/>
  <c r="F52" i="9"/>
  <c r="F54" i="9"/>
  <c r="F32" i="15"/>
  <c r="F60" i="15" s="1"/>
  <c r="F32" i="67"/>
  <c r="F60" i="67" s="1"/>
  <c r="F28" i="67"/>
  <c r="C28" i="67" s="1"/>
  <c r="D68" i="9"/>
  <c r="F28" i="15"/>
  <c r="C28" i="15" s="1"/>
  <c r="M18" i="67"/>
  <c r="F31" i="12"/>
  <c r="C31" i="12" s="1"/>
  <c r="F30" i="68"/>
  <c r="F53" i="9"/>
  <c r="C21" i="68"/>
  <c r="C40" i="69"/>
  <c r="C21" i="69"/>
  <c r="BA18" i="3"/>
  <c r="BA20" i="3"/>
  <c r="AZ20" i="3" s="1"/>
  <c r="AZ23" i="3"/>
  <c r="F22" i="43"/>
  <c r="K101" i="43"/>
  <c r="N101" i="43"/>
  <c r="G101" i="43"/>
  <c r="J101" i="43"/>
  <c r="L101" i="43"/>
  <c r="L106" i="43" s="1"/>
  <c r="D101" i="43"/>
  <c r="D105" i="43" s="1"/>
  <c r="I101" i="43"/>
  <c r="I109" i="43" s="1"/>
  <c r="G22" i="43"/>
  <c r="S2" i="43"/>
  <c r="AJ11" i="43"/>
  <c r="AJ13" i="43" s="1"/>
  <c r="AF11" i="43"/>
  <c r="AF13" i="43" s="1"/>
  <c r="AB11" i="43"/>
  <c r="AB13" i="43" s="1"/>
  <c r="Z7" i="43"/>
  <c r="AI11" i="43"/>
  <c r="AI13" i="43" s="1"/>
  <c r="AE11" i="43"/>
  <c r="AE13" i="43" s="1"/>
  <c r="AA11" i="43"/>
  <c r="AA13" i="43" s="1"/>
  <c r="C23" i="43"/>
  <c r="C21" i="43" s="1"/>
  <c r="S3" i="43"/>
  <c r="J22" i="43"/>
  <c r="B113" i="43"/>
  <c r="F101" i="43"/>
  <c r="E22" i="43"/>
  <c r="C101" i="43"/>
  <c r="N104" i="46"/>
  <c r="H22" i="43"/>
  <c r="H101" i="43"/>
  <c r="M101" i="43"/>
  <c r="M104" i="43" s="1"/>
  <c r="E101" i="43"/>
  <c r="E104" i="43" s="1"/>
  <c r="AH11" i="43"/>
  <c r="AH13" i="43" s="1"/>
  <c r="AD11" i="43"/>
  <c r="AD13" i="43" s="1"/>
  <c r="Z11" i="43"/>
  <c r="Z13" i="43" s="1"/>
  <c r="S5" i="43"/>
  <c r="AG11" i="43"/>
  <c r="AG13" i="43" s="1"/>
  <c r="AC11" i="43"/>
  <c r="AC13" i="43" s="1"/>
  <c r="Y11" i="43"/>
  <c r="Y13" i="43" s="1"/>
  <c r="E12" i="6"/>
  <c r="O7" i="1"/>
  <c r="P7" i="1" s="1"/>
  <c r="C36" i="69"/>
  <c r="M109" i="43"/>
  <c r="AZ22" i="3"/>
  <c r="I105" i="43"/>
  <c r="D9" i="11"/>
  <c r="C9" i="11" s="1"/>
  <c r="D9" i="69"/>
  <c r="C9" i="69" s="1"/>
  <c r="D9" i="68"/>
  <c r="C9" i="68" s="1"/>
  <c r="AQ13" i="1"/>
  <c r="AR10" i="1"/>
  <c r="O11" i="1"/>
  <c r="P11" i="1" s="1"/>
  <c r="O8" i="1"/>
  <c r="P8" i="1" s="1"/>
  <c r="O9" i="1"/>
  <c r="P9" i="1" s="1"/>
  <c r="A19" i="51"/>
  <c r="B14" i="72" s="1"/>
  <c r="T35" i="4"/>
  <c r="N58" i="21"/>
  <c r="O58" i="21" s="1"/>
  <c r="H7" i="21"/>
  <c r="J59" i="34"/>
  <c r="E52" i="37"/>
  <c r="D48" i="35"/>
  <c r="E46" i="36"/>
  <c r="F7" i="21"/>
  <c r="J7" i="21"/>
  <c r="F31" i="15"/>
  <c r="K4" i="4"/>
  <c r="B46" i="48" s="1"/>
  <c r="B4" i="72" s="1"/>
  <c r="B4" i="62"/>
  <c r="B71" i="72" s="1"/>
  <c r="D9" i="53"/>
  <c r="B25" i="72" s="1"/>
  <c r="B24" i="72"/>
  <c r="K120" i="9"/>
  <c r="A18" i="62" s="1"/>
  <c r="B64" i="72" s="1"/>
  <c r="Y9" i="71"/>
  <c r="Z9" i="71" s="1"/>
  <c r="Y8" i="71"/>
  <c r="Z8" i="71" s="1"/>
  <c r="AA9" i="71"/>
  <c r="AB3" i="71"/>
  <c r="B9" i="71"/>
  <c r="X9" i="71"/>
  <c r="AB9" i="71"/>
  <c r="Y3" i="71"/>
  <c r="Z3" i="71" s="1"/>
  <c r="F9" i="71"/>
  <c r="F8" i="71" s="1"/>
  <c r="F7" i="71" s="1"/>
  <c r="F6" i="71" s="1"/>
  <c r="F5" i="71" s="1"/>
  <c r="AF3" i="71"/>
  <c r="P22" i="43" s="1"/>
  <c r="C36" i="68"/>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s="1"/>
  <c r="L58" i="67"/>
  <c r="M59" i="67"/>
  <c r="B13" i="70"/>
  <c r="M7" i="67"/>
  <c r="J6" i="67" s="1"/>
  <c r="F50" i="67"/>
  <c r="C34" i="67"/>
  <c r="F68" i="67"/>
  <c r="F64" i="67"/>
  <c r="J20" i="15"/>
  <c r="F68" i="15"/>
  <c r="C17" i="15"/>
  <c r="D4" i="73"/>
  <c r="C16" i="15"/>
  <c r="D7" i="73"/>
  <c r="C14" i="15"/>
  <c r="G1" i="73"/>
  <c r="C16" i="67"/>
  <c r="G6" i="31" l="1"/>
  <c r="H6" i="31" s="1"/>
  <c r="I6" i="31" s="1"/>
  <c r="J6" i="31" s="1"/>
  <c r="K6" i="31" s="1"/>
  <c r="L6" i="31" s="1"/>
  <c r="M6" i="31" s="1"/>
  <c r="N6" i="31" s="1"/>
  <c r="O6" i="31" s="1"/>
  <c r="P6" i="31" s="1"/>
  <c r="Q6" i="31" s="1"/>
  <c r="R6" i="31" s="1"/>
  <c r="S6" i="31" s="1"/>
  <c r="E29" i="31"/>
  <c r="E30" i="31"/>
  <c r="E28" i="31"/>
  <c r="G29" i="6"/>
  <c r="F29" i="6"/>
  <c r="W36" i="33"/>
  <c r="AC36" i="33"/>
  <c r="AB36" i="33"/>
  <c r="U36" i="33"/>
  <c r="T11" i="43"/>
  <c r="V11" i="43" s="1"/>
  <c r="T9" i="43"/>
  <c r="V9" i="43" s="1"/>
  <c r="T4" i="43"/>
  <c r="V4" i="43" s="1"/>
  <c r="T6" i="43"/>
  <c r="V6" i="43" s="1"/>
  <c r="T7" i="43"/>
  <c r="V7" i="43" s="1"/>
  <c r="T16" i="43"/>
  <c r="V16" i="43" s="1"/>
  <c r="T8" i="43"/>
  <c r="V8" i="43" s="1"/>
  <c r="T3" i="43"/>
  <c r="V3" i="43" s="1"/>
  <c r="T14" i="43"/>
  <c r="V14" i="43" s="1"/>
  <c r="T12" i="43"/>
  <c r="V12" i="43" s="1"/>
  <c r="T15" i="43"/>
  <c r="V15" i="43" s="1"/>
  <c r="T10" i="43"/>
  <c r="V10" i="43" s="1"/>
  <c r="T13" i="43"/>
  <c r="V13" i="43" s="1"/>
  <c r="T5" i="43"/>
  <c r="V5" i="43" s="1"/>
  <c r="D5" i="43"/>
  <c r="C29" i="43"/>
  <c r="T2" i="43"/>
  <c r="V2" i="43" s="1"/>
  <c r="G28" i="6"/>
  <c r="AZ19" i="3"/>
  <c r="E11" i="6"/>
  <c r="E56" i="40" s="1"/>
  <c r="E14" i="6"/>
  <c r="E59" i="40" s="1"/>
  <c r="E10" i="6"/>
  <c r="W15" i="33"/>
  <c r="S42" i="33"/>
  <c r="U7" i="33"/>
  <c r="E20" i="43"/>
  <c r="M28" i="43" s="1"/>
  <c r="E64" i="39"/>
  <c r="E125" i="3"/>
  <c r="E20" i="6"/>
  <c r="K7" i="1" s="1"/>
  <c r="T21" i="71"/>
  <c r="D21" i="71"/>
  <c r="U21" i="71" s="1"/>
  <c r="C20" i="71"/>
  <c r="AC26" i="37"/>
  <c r="W26" i="37"/>
  <c r="F65" i="40"/>
  <c r="G63" i="40"/>
  <c r="AC24" i="35"/>
  <c r="W24" i="35"/>
  <c r="AB39" i="33"/>
  <c r="U39" i="33"/>
  <c r="E51" i="40"/>
  <c r="AB23" i="34"/>
  <c r="C33" i="71"/>
  <c r="D32" i="71"/>
  <c r="AA38" i="40"/>
  <c r="S38" i="40"/>
  <c r="AA9" i="36"/>
  <c r="S9" i="36"/>
  <c r="W40" i="40"/>
  <c r="AC40" i="40"/>
  <c r="AC39" i="33"/>
  <c r="W39" i="33"/>
  <c r="F30" i="6"/>
  <c r="E28" i="6"/>
  <c r="C12" i="71"/>
  <c r="T13" i="71"/>
  <c r="D13" i="71"/>
  <c r="U13" i="71" s="1"/>
  <c r="AC12" i="34"/>
  <c r="W12" i="34"/>
  <c r="AB9" i="21"/>
  <c r="U9" i="21"/>
  <c r="T37" i="71"/>
  <c r="D37" i="71"/>
  <c r="Q59" i="71"/>
  <c r="Q58" i="71"/>
  <c r="AC38" i="40"/>
  <c r="W38" i="40"/>
  <c r="E29" i="6"/>
  <c r="K15" i="1" s="1"/>
  <c r="E68" i="39"/>
  <c r="D70" i="39"/>
  <c r="B8" i="71"/>
  <c r="B7" i="71" s="1"/>
  <c r="B6" i="71" s="1"/>
  <c r="B5" i="71" s="1"/>
  <c r="S9" i="71"/>
  <c r="L107" i="43"/>
  <c r="E56" i="39"/>
  <c r="E253" i="3"/>
  <c r="U23" i="33"/>
  <c r="C49" i="71"/>
  <c r="D48" i="71"/>
  <c r="AZ91" i="3"/>
  <c r="AZ68" i="3"/>
  <c r="AB9" i="36"/>
  <c r="U9" i="36"/>
  <c r="S7" i="33"/>
  <c r="AA7" i="33"/>
  <c r="AZ511" i="3"/>
  <c r="W38" i="37"/>
  <c r="AC38" i="37"/>
  <c r="I104" i="43"/>
  <c r="BL5" i="3"/>
  <c r="T29" i="71"/>
  <c r="D29" i="71"/>
  <c r="AB40" i="40"/>
  <c r="U40" i="40"/>
  <c r="L109" i="43"/>
  <c r="E350" i="3"/>
  <c r="C53" i="71"/>
  <c r="D52" i="71"/>
  <c r="AZ85" i="3"/>
  <c r="AA40" i="40"/>
  <c r="S40" i="40"/>
  <c r="AA12" i="34"/>
  <c r="S12" i="34"/>
  <c r="AA24" i="35"/>
  <c r="S24" i="35"/>
  <c r="AB38" i="37"/>
  <c r="U38" i="37"/>
  <c r="AA44" i="21"/>
  <c r="S44" i="21"/>
  <c r="AC9" i="21"/>
  <c r="W9" i="21"/>
  <c r="D109" i="43"/>
  <c r="M107" i="43"/>
  <c r="E510" i="3"/>
  <c r="O6" i="3"/>
  <c r="V21" i="71"/>
  <c r="E20" i="71"/>
  <c r="E19" i="71" s="1"/>
  <c r="D56" i="71"/>
  <c r="C57" i="71"/>
  <c r="D76" i="71"/>
  <c r="C75" i="71"/>
  <c r="D75" i="71" s="1"/>
  <c r="T45" i="71"/>
  <c r="D45" i="71"/>
  <c r="I21" i="66"/>
  <c r="D1" i="66"/>
  <c r="E10" i="66" s="1"/>
  <c r="AZ82" i="3"/>
  <c r="AZ451" i="3"/>
  <c r="AA34" i="35"/>
  <c r="S34" i="35"/>
  <c r="AB26" i="37"/>
  <c r="U26" i="37"/>
  <c r="AB12" i="34"/>
  <c r="U12" i="34"/>
  <c r="AB24" i="35"/>
  <c r="U24" i="35"/>
  <c r="AC44" i="21"/>
  <c r="W44" i="21"/>
  <c r="U44" i="21"/>
  <c r="AB44" i="21"/>
  <c r="F48" i="9"/>
  <c r="O52" i="9" s="1"/>
  <c r="F30" i="11"/>
  <c r="AA23" i="33"/>
  <c r="U19" i="33"/>
  <c r="S17" i="33"/>
  <c r="AA37" i="34"/>
  <c r="S37" i="34"/>
  <c r="U37" i="34"/>
  <c r="AB37" i="34"/>
  <c r="W23" i="34"/>
  <c r="AC23" i="34"/>
  <c r="AC15" i="34"/>
  <c r="W15" i="34"/>
  <c r="W19" i="33"/>
  <c r="AB25" i="34"/>
  <c r="U25" i="34"/>
  <c r="S25" i="34"/>
  <c r="AA25" i="34"/>
  <c r="AC25" i="34"/>
  <c r="W25" i="34"/>
  <c r="AC19" i="34"/>
  <c r="W19" i="34"/>
  <c r="U19" i="34"/>
  <c r="S19" i="34"/>
  <c r="AA19" i="34"/>
  <c r="AA17" i="34"/>
  <c r="S17" i="34"/>
  <c r="W17" i="34"/>
  <c r="AC17" i="34"/>
  <c r="U17" i="34"/>
  <c r="AB17" i="34"/>
  <c r="S15" i="34"/>
  <c r="AA15" i="34"/>
  <c r="AB15" i="34"/>
  <c r="U15" i="34"/>
  <c r="AB17" i="33"/>
  <c r="U17" i="33"/>
  <c r="W17" i="33"/>
  <c r="AC17" i="33"/>
  <c r="AA15" i="33"/>
  <c r="S15" i="33"/>
  <c r="U15" i="33"/>
  <c r="L103" i="43"/>
  <c r="I107" i="43"/>
  <c r="M105" i="43"/>
  <c r="E260" i="3"/>
  <c r="E99" i="3"/>
  <c r="E495" i="3"/>
  <c r="E431" i="3"/>
  <c r="E205" i="3"/>
  <c r="E329" i="3"/>
  <c r="E415" i="3"/>
  <c r="E157" i="3"/>
  <c r="E301" i="3"/>
  <c r="E586" i="3"/>
  <c r="E201" i="3"/>
  <c r="E501" i="3"/>
  <c r="E322" i="3"/>
  <c r="E352" i="3"/>
  <c r="E545" i="3"/>
  <c r="E550" i="3"/>
  <c r="E395" i="3"/>
  <c r="E114" i="3"/>
  <c r="E77" i="3"/>
  <c r="E228" i="3"/>
  <c r="E159" i="3"/>
  <c r="E303" i="3"/>
  <c r="E402" i="3"/>
  <c r="AN6" i="3"/>
  <c r="E353" i="3"/>
  <c r="E359" i="3"/>
  <c r="E426" i="3"/>
  <c r="E53" i="3"/>
  <c r="E509" i="3"/>
  <c r="E526" i="3"/>
  <c r="D106" i="43"/>
  <c r="E227" i="3"/>
  <c r="E461" i="3"/>
  <c r="E567" i="3"/>
  <c r="E539" i="3"/>
  <c r="E535" i="3"/>
  <c r="E445" i="3"/>
  <c r="E172" i="3"/>
  <c r="E563" i="3"/>
  <c r="E278" i="3"/>
  <c r="E69" i="3"/>
  <c r="E212" i="3"/>
  <c r="E149" i="3"/>
  <c r="E181" i="3"/>
  <c r="E188" i="3"/>
  <c r="E191" i="3"/>
  <c r="E245" i="3"/>
  <c r="E263" i="3"/>
  <c r="E382" i="3"/>
  <c r="E423" i="3"/>
  <c r="E578" i="3"/>
  <c r="AI6" i="3"/>
  <c r="E518" i="3"/>
  <c r="E385" i="3"/>
  <c r="E151" i="3"/>
  <c r="E285" i="3"/>
  <c r="E574" i="3"/>
  <c r="E328" i="3"/>
  <c r="E153" i="3"/>
  <c r="E319" i="3"/>
  <c r="E247" i="3"/>
  <c r="E579" i="3"/>
  <c r="AJ6" i="3"/>
  <c r="E268" i="3"/>
  <c r="E217" i="3"/>
  <c r="D102" i="43"/>
  <c r="E246" i="3"/>
  <c r="E280" i="3"/>
  <c r="E336" i="3"/>
  <c r="E399" i="3"/>
  <c r="X6" i="3"/>
  <c r="AA6" i="3"/>
  <c r="E583" i="3"/>
  <c r="E347" i="3"/>
  <c r="E302" i="3"/>
  <c r="E503" i="3"/>
  <c r="E17" i="3"/>
  <c r="E361" i="3"/>
  <c r="E213" i="3"/>
  <c r="E183" i="3"/>
  <c r="E565" i="3"/>
  <c r="E528" i="3"/>
  <c r="E304" i="3"/>
  <c r="E261" i="3"/>
  <c r="E237" i="3"/>
  <c r="E204" i="3"/>
  <c r="E271" i="3"/>
  <c r="E252" i="3"/>
  <c r="E207" i="3"/>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337" i="3"/>
  <c r="E410" i="3"/>
  <c r="E555" i="3"/>
  <c r="E388" i="3"/>
  <c r="E508" i="3"/>
  <c r="E305" i="3"/>
  <c r="E343" i="3"/>
  <c r="E530" i="3"/>
  <c r="E175" i="3"/>
  <c r="E229" i="3"/>
  <c r="E396" i="3"/>
  <c r="E569" i="3"/>
  <c r="E516" i="3"/>
  <c r="E239" i="3"/>
  <c r="N6" i="3"/>
  <c r="E282" i="3"/>
  <c r="E553" i="3"/>
  <c r="E366"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124" i="3"/>
  <c r="E293"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E416" i="3"/>
  <c r="E449" i="3"/>
  <c r="E459" i="3"/>
  <c r="E255" i="3"/>
  <c r="E374" i="3"/>
  <c r="I3" i="6"/>
  <c r="E566"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400" i="3"/>
  <c r="E432" i="3"/>
  <c r="E443" i="3"/>
  <c r="E477" i="3"/>
  <c r="E345" i="3"/>
  <c r="E367" i="3"/>
  <c r="E558" i="3"/>
  <c r="E505"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44" i="3"/>
  <c r="E109" i="3"/>
  <c r="E29" i="3"/>
  <c r="E480" i="3"/>
  <c r="E441" i="3"/>
  <c r="E484" i="3"/>
  <c r="E425" i="3"/>
  <c r="E467" i="3"/>
  <c r="E64" i="3"/>
  <c r="E46" i="3"/>
  <c r="E103" i="3"/>
  <c r="E160" i="3"/>
  <c r="E142" i="3"/>
  <c r="E20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3"/>
  <c r="E76" i="3"/>
  <c r="E110" i="3"/>
  <c r="E59" i="3"/>
  <c r="E540" i="3"/>
  <c r="E462" i="3"/>
  <c r="E521" i="3"/>
  <c r="E446" i="3"/>
  <c r="E47" i="3"/>
  <c r="E98" i="3"/>
  <c r="E65" i="3"/>
  <c r="E138" i="3"/>
  <c r="E195" i="3"/>
  <c r="E163"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E60" i="40"/>
  <c r="E65" i="39"/>
  <c r="F59" i="67"/>
  <c r="C48" i="69"/>
  <c r="C30" i="69"/>
  <c r="F48" i="68"/>
  <c r="C30" i="68"/>
  <c r="C48" i="68"/>
  <c r="AZ18" i="3"/>
  <c r="AZ5" i="3" s="1"/>
  <c r="BA5" i="3"/>
  <c r="E107" i="43"/>
  <c r="E105" i="43"/>
  <c r="E57" i="40"/>
  <c r="E62" i="39"/>
  <c r="M106" i="43"/>
  <c r="M102" i="43"/>
  <c r="M103" i="43"/>
  <c r="C104" i="43"/>
  <c r="C107" i="43"/>
  <c r="C103" i="43"/>
  <c r="C109" i="43"/>
  <c r="C106" i="43"/>
  <c r="C105" i="43"/>
  <c r="C102" i="43"/>
  <c r="F104" i="43"/>
  <c r="F102" i="43"/>
  <c r="F105" i="43"/>
  <c r="F107" i="43"/>
  <c r="F106" i="43"/>
  <c r="F103" i="43"/>
  <c r="F109" i="43"/>
  <c r="I106" i="43"/>
  <c r="I102" i="43"/>
  <c r="I103" i="43"/>
  <c r="L105" i="43"/>
  <c r="L102" i="43"/>
  <c r="L104" i="43"/>
  <c r="G105" i="43"/>
  <c r="G102" i="43"/>
  <c r="G107" i="43"/>
  <c r="G104" i="43"/>
  <c r="G106" i="43"/>
  <c r="G109" i="43"/>
  <c r="G103" i="43"/>
  <c r="K103" i="43"/>
  <c r="K102" i="43"/>
  <c r="K105" i="43"/>
  <c r="K107" i="43"/>
  <c r="K104" i="43"/>
  <c r="K106" i="43"/>
  <c r="K109" i="43"/>
  <c r="E102" i="43"/>
  <c r="E103" i="43"/>
  <c r="E106" i="43"/>
  <c r="E109" i="43"/>
  <c r="H102" i="43"/>
  <c r="H103" i="43"/>
  <c r="H104" i="43"/>
  <c r="H109" i="43"/>
  <c r="H107" i="43"/>
  <c r="H106" i="43"/>
  <c r="H105"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22" i="43"/>
  <c r="D103" i="43"/>
  <c r="D107" i="43"/>
  <c r="D104" i="43"/>
  <c r="J104" i="43"/>
  <c r="J105" i="43"/>
  <c r="J107" i="43"/>
  <c r="J102" i="43"/>
  <c r="J103" i="43"/>
  <c r="J106" i="43"/>
  <c r="J109" i="43"/>
  <c r="N102" i="43"/>
  <c r="N105" i="43"/>
  <c r="N104" i="43"/>
  <c r="N103" i="43"/>
  <c r="N106" i="43"/>
  <c r="N107" i="43"/>
  <c r="N109" i="43"/>
  <c r="C15" i="15"/>
  <c r="C18" i="15"/>
  <c r="AA7" i="21"/>
  <c r="R48" i="21" s="1"/>
  <c r="S7" i="21"/>
  <c r="F46" i="36"/>
  <c r="F52" i="37"/>
  <c r="K59" i="34"/>
  <c r="W7" i="21"/>
  <c r="AC7" i="21"/>
  <c r="V48" i="21" s="1"/>
  <c r="I48" i="21" s="1"/>
  <c r="E48" i="35"/>
  <c r="AB7" i="21"/>
  <c r="T48" i="21" s="1"/>
  <c r="G48" i="21" s="1"/>
  <c r="U7" i="21"/>
  <c r="M17" i="67"/>
  <c r="M17" i="15"/>
  <c r="F59" i="15"/>
  <c r="P24" i="43"/>
  <c r="B66" i="40" s="1"/>
  <c r="P21" i="43"/>
  <c r="C49" i="67"/>
  <c r="P25" i="43"/>
  <c r="P23" i="43"/>
  <c r="B71" i="39" s="1"/>
  <c r="C30" i="43"/>
  <c r="E30" i="43" s="1"/>
  <c r="E29" i="43"/>
  <c r="C49" i="15"/>
  <c r="B40" i="1"/>
  <c r="J18" i="15"/>
  <c r="C32" i="67"/>
  <c r="Q60" i="67"/>
  <c r="Q73" i="67"/>
  <c r="M11" i="67"/>
  <c r="J10" i="67" s="1"/>
  <c r="J5" i="67" s="1"/>
  <c r="F11" i="15"/>
  <c r="M11" i="15"/>
  <c r="J10" i="15" s="1"/>
  <c r="J5" i="15" s="1"/>
  <c r="F11" i="67"/>
  <c r="F1" i="15"/>
  <c r="Q52" i="15"/>
  <c r="J18" i="67"/>
  <c r="C32" i="15"/>
  <c r="F1" i="67"/>
  <c r="Q52" i="67"/>
  <c r="Q60" i="15"/>
  <c r="Q73" i="15"/>
  <c r="Q61" i="67"/>
  <c r="Q74" i="67"/>
  <c r="Q74" i="15"/>
  <c r="Q61" i="15"/>
  <c r="AC6" i="3" l="1"/>
  <c r="E16" i="6"/>
  <c r="G30" i="6"/>
  <c r="G31" i="6" s="1"/>
  <c r="T48" i="33"/>
  <c r="G48" i="33" s="1"/>
  <c r="G52" i="33" s="1"/>
  <c r="H52" i="33" s="1"/>
  <c r="C35" i="43"/>
  <c r="C37" i="43"/>
  <c r="C34" i="43"/>
  <c r="C36" i="43"/>
  <c r="C39" i="43"/>
  <c r="C33" i="43"/>
  <c r="C38" i="43"/>
  <c r="E61" i="39"/>
  <c r="E66" i="39" s="1"/>
  <c r="N28" i="43"/>
  <c r="P28" i="43"/>
  <c r="R48" i="33"/>
  <c r="E48" i="33" s="1"/>
  <c r="O28" i="43"/>
  <c r="T57" i="71"/>
  <c r="D57" i="71"/>
  <c r="D20" i="71"/>
  <c r="C19" i="71"/>
  <c r="D19" i="71" s="1"/>
  <c r="T53" i="71"/>
  <c r="D53" i="71"/>
  <c r="C11" i="71"/>
  <c r="D12" i="71"/>
  <c r="D33" i="71"/>
  <c r="T33" i="71"/>
  <c r="D49" i="71"/>
  <c r="T49" i="71"/>
  <c r="K14" i="1"/>
  <c r="M14" i="1" s="1"/>
  <c r="O14" i="1" s="1"/>
  <c r="E30" i="6"/>
  <c r="H63" i="40"/>
  <c r="G65" i="40"/>
  <c r="M7" i="1"/>
  <c r="G16" i="1"/>
  <c r="Q16" i="1"/>
  <c r="H16" i="1"/>
  <c r="V48" i="33"/>
  <c r="I48" i="33" s="1"/>
  <c r="I52" i="33" s="1"/>
  <c r="J52" i="33" s="1"/>
  <c r="E70" i="39"/>
  <c r="F68" i="39"/>
  <c r="F27" i="6"/>
  <c r="F31" i="6" s="1"/>
  <c r="C48" i="11"/>
  <c r="C30" i="11"/>
  <c r="H6" i="3"/>
  <c r="E6" i="3" s="1"/>
  <c r="E3" i="6"/>
  <c r="AY6" i="3"/>
  <c r="AY425" i="3" s="1"/>
  <c r="D113" i="43"/>
  <c r="C115" i="43"/>
  <c r="C19" i="15"/>
  <c r="C20" i="15" s="1"/>
  <c r="C26" i="15" s="1"/>
  <c r="F48" i="35"/>
  <c r="I52" i="21"/>
  <c r="J52" i="21" s="1"/>
  <c r="G46" i="36"/>
  <c r="R49" i="21"/>
  <c r="E48" i="21"/>
  <c r="G52" i="21"/>
  <c r="H52" i="21" s="1"/>
  <c r="G53" i="21"/>
  <c r="H53" i="21" s="1"/>
  <c r="L59" i="34"/>
  <c r="M59" i="34" s="1"/>
  <c r="N59" i="34" s="1"/>
  <c r="O59" i="34" s="1"/>
  <c r="J7" i="34"/>
  <c r="H7" i="34"/>
  <c r="G52" i="37"/>
  <c r="H52" i="37" s="1"/>
  <c r="I52" i="37" s="1"/>
  <c r="J52" i="37" s="1"/>
  <c r="K52" i="37" s="1"/>
  <c r="L52" i="37" s="1"/>
  <c r="M52" i="37" s="1"/>
  <c r="N52" i="37" s="1"/>
  <c r="O52" i="37" s="1"/>
  <c r="H7" i="37"/>
  <c r="J26" i="67"/>
  <c r="J24" i="67"/>
  <c r="J24" i="15"/>
  <c r="J26" i="15"/>
  <c r="J29" i="15" s="1"/>
  <c r="C53" i="67"/>
  <c r="C48" i="67" s="1"/>
  <c r="C53" i="15"/>
  <c r="C48" i="15" s="1"/>
  <c r="C10" i="15"/>
  <c r="C5" i="15" s="1"/>
  <c r="F25" i="12"/>
  <c r="F22" i="69"/>
  <c r="F41" i="69" s="1"/>
  <c r="F24" i="67"/>
  <c r="C24" i="67" s="1"/>
  <c r="F22" i="11"/>
  <c r="F22" i="68"/>
  <c r="F24" i="15"/>
  <c r="C24" i="15" s="1"/>
  <c r="D3" i="21" l="1"/>
  <c r="L18" i="79"/>
  <c r="M18" i="79"/>
  <c r="B118" i="79" s="1"/>
  <c r="G38" i="43"/>
  <c r="I38" i="43" s="1"/>
  <c r="E38" i="43"/>
  <c r="E39" i="43"/>
  <c r="G39" i="43"/>
  <c r="I39" i="43" s="1"/>
  <c r="G34" i="43"/>
  <c r="I34" i="43" s="1"/>
  <c r="E34" i="43"/>
  <c r="E35" i="43"/>
  <c r="G35" i="43"/>
  <c r="I35" i="43" s="1"/>
  <c r="G33" i="43"/>
  <c r="I33" i="43" s="1"/>
  <c r="C27" i="43" s="1"/>
  <c r="E33" i="43"/>
  <c r="C26" i="43" s="1"/>
  <c r="E36" i="43"/>
  <c r="G36" i="43"/>
  <c r="I36" i="43" s="1"/>
  <c r="E37" i="43"/>
  <c r="G37" i="43"/>
  <c r="I37" i="43" s="1"/>
  <c r="E27" i="6"/>
  <c r="M16" i="1"/>
  <c r="C34" i="68" s="1"/>
  <c r="AY157" i="3"/>
  <c r="AY293" i="3"/>
  <c r="AY534" i="3"/>
  <c r="AY248" i="3"/>
  <c r="AY103" i="3"/>
  <c r="G53" i="33"/>
  <c r="H53" i="33" s="1"/>
  <c r="K16" i="1"/>
  <c r="AY373" i="3"/>
  <c r="R49" i="33"/>
  <c r="C48" i="33" s="1"/>
  <c r="F27" i="69"/>
  <c r="F27" i="11"/>
  <c r="F27" i="68"/>
  <c r="F28" i="12"/>
  <c r="C29" i="12" s="1"/>
  <c r="D28" i="12" s="1"/>
  <c r="H65" i="40"/>
  <c r="I63" i="40"/>
  <c r="AY297" i="3"/>
  <c r="AY420" i="3"/>
  <c r="AY376" i="3"/>
  <c r="I53" i="33"/>
  <c r="J53" i="33" s="1"/>
  <c r="F70" i="39"/>
  <c r="G68" i="39"/>
  <c r="C34" i="69"/>
  <c r="AY87" i="3"/>
  <c r="AY575" i="3"/>
  <c r="J10" i="40"/>
  <c r="F10" i="40"/>
  <c r="H10" i="39"/>
  <c r="F10" i="39"/>
  <c r="H10" i="40"/>
  <c r="J10" i="39"/>
  <c r="P14" i="1"/>
  <c r="P16" i="1" s="1"/>
  <c r="C11" i="12" s="1"/>
  <c r="O16" i="1"/>
  <c r="C10" i="71"/>
  <c r="D11" i="71"/>
  <c r="E53" i="33"/>
  <c r="F53" i="33" s="1"/>
  <c r="E52" i="33"/>
  <c r="F52" i="33" s="1"/>
  <c r="D37" i="11"/>
  <c r="C37" i="11" s="1"/>
  <c r="D3" i="33"/>
  <c r="AY23" i="3"/>
  <c r="AY236" i="3"/>
  <c r="AY465" i="3"/>
  <c r="AY400" i="3"/>
  <c r="AY547" i="3"/>
  <c r="AY505" i="3"/>
  <c r="AY256" i="3"/>
  <c r="AY520" i="3"/>
  <c r="AY403" i="3"/>
  <c r="AY579" i="3"/>
  <c r="AY283" i="3"/>
  <c r="AY61" i="3"/>
  <c r="AY26" i="3"/>
  <c r="AY191" i="3"/>
  <c r="AY108" i="3"/>
  <c r="AY409" i="3"/>
  <c r="AY98" i="3"/>
  <c r="AY351" i="3"/>
  <c r="AY54" i="3"/>
  <c r="AY485" i="3"/>
  <c r="AY172" i="3"/>
  <c r="AY523" i="3"/>
  <c r="BC6" i="3"/>
  <c r="AY587" i="3"/>
  <c r="AY493" i="3"/>
  <c r="AY255" i="3"/>
  <c r="AY298" i="3"/>
  <c r="AY186" i="3"/>
  <c r="AY94" i="3"/>
  <c r="AY380" i="3"/>
  <c r="AY295" i="3"/>
  <c r="AY89" i="3"/>
  <c r="AY59" i="3"/>
  <c r="AY190" i="3"/>
  <c r="AY533" i="3"/>
  <c r="AY372" i="3"/>
  <c r="AY473" i="3"/>
  <c r="AY281" i="3"/>
  <c r="AY144" i="3"/>
  <c r="AY28" i="3"/>
  <c r="BK6" i="3"/>
  <c r="AY228" i="3"/>
  <c r="AY335" i="3"/>
  <c r="AY188" i="3"/>
  <c r="AY566" i="3"/>
  <c r="AY477" i="3"/>
  <c r="AY240" i="3"/>
  <c r="AY164" i="3"/>
  <c r="AY107" i="3"/>
  <c r="AY408" i="3"/>
  <c r="AY359" i="3"/>
  <c r="AY301" i="3"/>
  <c r="AY79" i="3"/>
  <c r="AY305" i="3"/>
  <c r="AY324" i="3"/>
  <c r="AY417" i="3"/>
  <c r="AY306" i="3"/>
  <c r="AY179" i="3"/>
  <c r="AY424" i="3"/>
  <c r="AY127" i="3"/>
  <c r="AY337" i="3"/>
  <c r="AY258" i="3"/>
  <c r="AY261" i="3"/>
  <c r="AY492" i="3"/>
  <c r="AY556" i="3"/>
  <c r="AY325" i="3"/>
  <c r="AY211" i="3"/>
  <c r="AY212" i="3"/>
  <c r="AY509" i="3"/>
  <c r="AY453" i="3"/>
  <c r="AY65" i="3"/>
  <c r="AY475" i="3"/>
  <c r="AY360" i="3"/>
  <c r="AY105" i="3"/>
  <c r="AY147" i="3"/>
  <c r="AY481" i="3"/>
  <c r="AY412" i="3"/>
  <c r="AY154" i="3"/>
  <c r="AY230" i="3"/>
  <c r="AY56" i="3"/>
  <c r="AY353" i="3"/>
  <c r="AY398" i="3"/>
  <c r="AY501" i="3"/>
  <c r="AY137" i="3"/>
  <c r="AY312" i="3"/>
  <c r="AY410" i="3"/>
  <c r="D3" i="6"/>
  <c r="AY531" i="3"/>
  <c r="AY183" i="3"/>
  <c r="AY84" i="3"/>
  <c r="AY271" i="3"/>
  <c r="BI6" i="3"/>
  <c r="AY243" i="3"/>
  <c r="AY464" i="3"/>
  <c r="AY527" i="3"/>
  <c r="AY32" i="3"/>
  <c r="AY352" i="3"/>
  <c r="AY431" i="3"/>
  <c r="AY563" i="3"/>
  <c r="AY52" i="3"/>
  <c r="BB6" i="3"/>
  <c r="AY449" i="3"/>
  <c r="AY21" i="3"/>
  <c r="AY415" i="3"/>
  <c r="AY187" i="3"/>
  <c r="AY264" i="3"/>
  <c r="AY314" i="3"/>
  <c r="AY517" i="3"/>
  <c r="AY70" i="3"/>
  <c r="AY119" i="3"/>
  <c r="AY367" i="3"/>
  <c r="AY416" i="3"/>
  <c r="AY498" i="3"/>
  <c r="AY134" i="3"/>
  <c r="AY161" i="3"/>
  <c r="AY580" i="3"/>
  <c r="AY250" i="3"/>
  <c r="AY445" i="3"/>
  <c r="AY551" i="3"/>
  <c r="AY19" i="3"/>
  <c r="AY151" i="3"/>
  <c r="AY265" i="3"/>
  <c r="AY394" i="3"/>
  <c r="AY315" i="3"/>
  <c r="AY451" i="3"/>
  <c r="AY500" i="3"/>
  <c r="AY568" i="3"/>
  <c r="AY71" i="3"/>
  <c r="AY200" i="3"/>
  <c r="AY143" i="3"/>
  <c r="AY257" i="3"/>
  <c r="AY386" i="3"/>
  <c r="AY307" i="3"/>
  <c r="AY443" i="3"/>
  <c r="AY521" i="3"/>
  <c r="BT6" i="3"/>
  <c r="AY171" i="3"/>
  <c r="AY276" i="3"/>
  <c r="AY225" i="3"/>
  <c r="AY470" i="3"/>
  <c r="AY180" i="3"/>
  <c r="AY358" i="3"/>
  <c r="AY433" i="3"/>
  <c r="AY541" i="3"/>
  <c r="AY45" i="3"/>
  <c r="AY201" i="3"/>
  <c r="AY34" i="3"/>
  <c r="AY95" i="3"/>
  <c r="AY42" i="3"/>
  <c r="AY168" i="3"/>
  <c r="AY366" i="3"/>
  <c r="AY441" i="3"/>
  <c r="AY260" i="3"/>
  <c r="AY310" i="3"/>
  <c r="AY549" i="3"/>
  <c r="AY97" i="3"/>
  <c r="AY44" i="3"/>
  <c r="AY83" i="3"/>
  <c r="AY155" i="3"/>
  <c r="AY50" i="3"/>
  <c r="AY289" i="3"/>
  <c r="AY163" i="3"/>
  <c r="AY75" i="3"/>
  <c r="AY237" i="3"/>
  <c r="AY387" i="3"/>
  <c r="AY334" i="3"/>
  <c r="AY444" i="3"/>
  <c r="AY526" i="3"/>
  <c r="AY269" i="3"/>
  <c r="AY390" i="3"/>
  <c r="AY311" i="3"/>
  <c r="AY447" i="3"/>
  <c r="AY535" i="3"/>
  <c r="AY574" i="3"/>
  <c r="AY555" i="3"/>
  <c r="AY196" i="3"/>
  <c r="AY123" i="3"/>
  <c r="AY252" i="3"/>
  <c r="AY489" i="3"/>
  <c r="AY43" i="3"/>
  <c r="AY379" i="3"/>
  <c r="AY436" i="3"/>
  <c r="AY540" i="3"/>
  <c r="AY85" i="3"/>
  <c r="AY68" i="3"/>
  <c r="AY25" i="3"/>
  <c r="AY178"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160" i="3"/>
  <c r="AY292" i="3"/>
  <c r="AY220" i="3"/>
  <c r="AY486" i="3"/>
  <c r="AY199" i="3"/>
  <c r="AY355" i="3"/>
  <c r="AY404" i="3"/>
  <c r="BO6" i="3"/>
  <c r="AY74" i="3"/>
  <c r="AY363" i="3"/>
  <c r="AY229" i="3"/>
  <c r="AY557" i="3"/>
  <c r="AY53" i="3"/>
  <c r="AY182"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68" i="3"/>
  <c r="AY458" i="3"/>
  <c r="AY426" i="3"/>
  <c r="AY439" i="3"/>
  <c r="AY407" i="3"/>
  <c r="AY506" i="3"/>
  <c r="AY14" i="3"/>
  <c r="AY524" i="3"/>
  <c r="AY565" i="3"/>
  <c r="AY542" i="3"/>
  <c r="AY570" i="3"/>
  <c r="AY578" i="3"/>
  <c r="AY99" i="3"/>
  <c r="AY63" i="3"/>
  <c r="AY67" i="3"/>
  <c r="AY284" i="3"/>
  <c r="AY497" i="3"/>
  <c r="AY478" i="3"/>
  <c r="AY100" i="3"/>
  <c r="AY2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46" i="3"/>
  <c r="AY455" i="3"/>
  <c r="AY539" i="3"/>
  <c r="AY162" i="3"/>
  <c r="AY291" i="3"/>
  <c r="AY238" i="3"/>
  <c r="AY368" i="3"/>
  <c r="AY72" i="3"/>
  <c r="AY121" i="3"/>
  <c r="AY370" i="3"/>
  <c r="AY483" i="3"/>
  <c r="AY406" i="3"/>
  <c r="AY572" i="3"/>
  <c r="AY543" i="3"/>
  <c r="AY81" i="3"/>
  <c r="AY153" i="3"/>
  <c r="AY396" i="3"/>
  <c r="AY320" i="3"/>
  <c r="AY434" i="3"/>
  <c r="AY538" i="3"/>
  <c r="AY545" i="3"/>
  <c r="AY62"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39" i="3"/>
  <c r="AY116" i="3"/>
  <c r="AY69" i="3"/>
  <c r="AY173" i="3"/>
  <c r="AY286" i="3"/>
  <c r="AY227" i="3"/>
  <c r="AY507" i="3"/>
  <c r="AY29" i="3"/>
  <c r="AY275" i="3"/>
  <c r="AY341" i="3"/>
  <c r="AY480" i="3"/>
  <c r="AY419" i="3"/>
  <c r="AY536" i="3"/>
  <c r="AY532" i="3"/>
  <c r="AY64" i="3"/>
  <c r="AY113" i="3"/>
  <c r="AY115" i="3"/>
  <c r="AY176" i="3"/>
  <c r="AY66" i="3"/>
  <c r="AY185" i="3"/>
  <c r="AY33" i="3"/>
  <c r="AY76" i="3"/>
  <c r="AY92" i="3"/>
  <c r="BE6" i="3"/>
  <c r="AY544" i="3"/>
  <c r="AY401" i="3"/>
  <c r="AY463" i="3"/>
  <c r="AY327" i="3"/>
  <c r="AY217" i="3"/>
  <c r="AY300" i="3"/>
  <c r="AY529" i="3"/>
  <c r="AY460" i="3"/>
  <c r="AY303" i="3"/>
  <c r="AY382" i="3"/>
  <c r="AY253" i="3"/>
  <c r="AY111" i="3"/>
  <c r="AY152" i="3"/>
  <c r="AY132" i="3"/>
  <c r="AY82" i="3"/>
  <c r="AY124" i="3"/>
  <c r="AY207" i="3"/>
  <c r="AY51" i="3"/>
  <c r="AY170" i="3"/>
  <c r="AY206" i="3"/>
  <c r="AY60" i="3"/>
  <c r="AY77" i="3"/>
  <c r="AY553" i="3"/>
  <c r="AY569" i="3"/>
  <c r="AY513" i="3"/>
  <c r="AY452" i="3"/>
  <c r="AY342" i="3"/>
  <c r="AY395" i="3"/>
  <c r="AY245" i="3"/>
  <c r="AY106" i="3"/>
  <c r="AY428" i="3"/>
  <c r="AY318" i="3"/>
  <c r="AY371" i="3"/>
  <c r="AY268" i="3"/>
  <c r="AY58" i="3"/>
  <c r="AY131" i="3"/>
  <c r="AY90" i="3"/>
  <c r="AY18"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BP6" i="3"/>
  <c r="AY522" i="3"/>
  <c r="AY402" i="3"/>
  <c r="AY479" i="3"/>
  <c r="AY361" i="3"/>
  <c r="AY174" i="3"/>
  <c r="AY552" i="3"/>
  <c r="AY438" i="3"/>
  <c r="AY215" i="3"/>
  <c r="AY88" i="3"/>
  <c r="AY270" i="3"/>
  <c r="AY198" i="3"/>
  <c r="AY209" i="3"/>
  <c r="AY504" i="3"/>
  <c r="AY550" i="3"/>
  <c r="AY459" i="3"/>
  <c r="AY323" i="3"/>
  <c r="AY213" i="3"/>
  <c r="AY273" i="3"/>
  <c r="AY159" i="3"/>
  <c r="AY27" i="3"/>
  <c r="AY86" i="3"/>
  <c r="AY512" i="3"/>
  <c r="AY405" i="3"/>
  <c r="AY466" i="3"/>
  <c r="AY331" i="3"/>
  <c r="AY221" i="3"/>
  <c r="AY280" i="3"/>
  <c r="AY167" i="3"/>
  <c r="AY35" i="3"/>
  <c r="AY515" i="3"/>
  <c r="AY476" i="3"/>
  <c r="AY267" i="3"/>
  <c r="AY496" i="3"/>
  <c r="AY503" i="3"/>
  <c r="AY309" i="3"/>
  <c r="AY181" i="3"/>
  <c r="AY384" i="3"/>
  <c r="AY141" i="3"/>
  <c r="AY343" i="3"/>
  <c r="AY47" i="3"/>
  <c r="AY530" i="3"/>
  <c r="AY17" i="3"/>
  <c r="AY450" i="3"/>
  <c r="AY336" i="3"/>
  <c r="AY218" i="3"/>
  <c r="AY142" i="3"/>
  <c r="AY112" i="3"/>
  <c r="AY559" i="3"/>
  <c r="AY516" i="3"/>
  <c r="AY422" i="3"/>
  <c r="AY308" i="3"/>
  <c r="AY393" i="3"/>
  <c r="AY130" i="3"/>
  <c r="AY57" i="3"/>
  <c r="AY365" i="3"/>
  <c r="AY254" i="3"/>
  <c r="AY117" i="3"/>
  <c r="AY193" i="3"/>
  <c r="AY573" i="3"/>
  <c r="AY319" i="3"/>
  <c r="AY78" i="3"/>
  <c r="BA6" i="3"/>
  <c r="BR6" i="3"/>
  <c r="AY502" i="3"/>
  <c r="AY499" i="3"/>
  <c r="AY423" i="3"/>
  <c r="AY442" i="3"/>
  <c r="AY484" i="3"/>
  <c r="AY329" i="3"/>
  <c r="AY251" i="3"/>
  <c r="AY194" i="3"/>
  <c r="AY582" i="3"/>
  <c r="AY495" i="3"/>
  <c r="BQ6" i="3"/>
  <c r="AY462" i="3"/>
  <c r="AY348" i="3"/>
  <c r="AY242" i="3"/>
  <c r="AY166" i="3"/>
  <c r="AY109" i="3"/>
  <c r="AY397" i="3"/>
  <c r="AY247" i="3"/>
  <c r="AY133" i="3"/>
  <c r="AY36" i="3"/>
  <c r="AY326" i="3"/>
  <c r="AY204" i="3"/>
  <c r="AY562" i="3"/>
  <c r="AY244" i="3"/>
  <c r="AY350" i="3"/>
  <c r="AY31" i="3"/>
  <c r="C17" i="4"/>
  <c r="B4" i="52" s="1"/>
  <c r="B43" i="72" s="1"/>
  <c r="D14" i="12"/>
  <c r="D17" i="12" s="1"/>
  <c r="C17" i="12" s="1"/>
  <c r="D3" i="37"/>
  <c r="D3" i="34"/>
  <c r="D19" i="11"/>
  <c r="C19" i="11" s="1"/>
  <c r="C20" i="11" s="1"/>
  <c r="E6" i="6"/>
  <c r="M18" i="9"/>
  <c r="B118" i="9" s="1"/>
  <c r="B14" i="74" s="1"/>
  <c r="B1" i="74" s="1"/>
  <c r="D21" i="6"/>
  <c r="D5" i="6"/>
  <c r="D29" i="6"/>
  <c r="F7" i="37"/>
  <c r="U7" i="34"/>
  <c r="AB7" i="34"/>
  <c r="T49" i="34" s="1"/>
  <c r="G49" i="34" s="1"/>
  <c r="E52" i="21"/>
  <c r="F52" i="21" s="1"/>
  <c r="E53" i="21"/>
  <c r="F53" i="21" s="1"/>
  <c r="I53" i="21"/>
  <c r="J53" i="21" s="1"/>
  <c r="F7" i="34"/>
  <c r="U7" i="37"/>
  <c r="AB7" i="37"/>
  <c r="T42" i="37" s="1"/>
  <c r="G42" i="37" s="1"/>
  <c r="AC7" i="34"/>
  <c r="V49" i="34" s="1"/>
  <c r="I49" i="34" s="1"/>
  <c r="W7" i="34"/>
  <c r="C48" i="21"/>
  <c r="C49" i="21"/>
  <c r="B2" i="21" s="1"/>
  <c r="B3" i="21" s="1"/>
  <c r="H46" i="36"/>
  <c r="I46" i="36" s="1"/>
  <c r="J46" i="36" s="1"/>
  <c r="K46" i="36" s="1"/>
  <c r="L46" i="36" s="1"/>
  <c r="M46" i="36" s="1"/>
  <c r="N46" i="36" s="1"/>
  <c r="O46" i="36" s="1"/>
  <c r="J7" i="36"/>
  <c r="G48" i="35"/>
  <c r="J7" i="37"/>
  <c r="F41" i="68"/>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15"/>
  <c r="C66" i="67"/>
  <c r="C60" i="67"/>
  <c r="B6" i="76"/>
  <c r="E6" i="76"/>
  <c r="D26" i="6" l="1"/>
  <c r="L19" i="79"/>
  <c r="M19" i="79"/>
  <c r="C118" i="79" s="1"/>
  <c r="E2" i="76"/>
  <c r="D8" i="6"/>
  <c r="L16" i="1"/>
  <c r="N16" i="1"/>
  <c r="F50" i="11" s="1"/>
  <c r="C34" i="11"/>
  <c r="C38" i="11" s="1"/>
  <c r="K21" i="6"/>
  <c r="M21" i="6" s="1"/>
  <c r="I21" i="6" s="1"/>
  <c r="S21" i="6" s="1"/>
  <c r="E31" i="6"/>
  <c r="K20" i="6"/>
  <c r="K19" i="6"/>
  <c r="K25" i="6"/>
  <c r="M25" i="6" s="1"/>
  <c r="I25" i="6" s="1"/>
  <c r="S25" i="6" s="1"/>
  <c r="K23" i="6"/>
  <c r="M23" i="6" s="1"/>
  <c r="I23" i="6" s="1"/>
  <c r="S23" i="6" s="1"/>
  <c r="K22" i="6"/>
  <c r="M22" i="6" s="1"/>
  <c r="I22" i="6" s="1"/>
  <c r="S22" i="6" s="1"/>
  <c r="K24" i="6"/>
  <c r="M24" i="6" s="1"/>
  <c r="I24" i="6" s="1"/>
  <c r="S24" i="6" s="1"/>
  <c r="K26" i="6"/>
  <c r="M26" i="6" s="1"/>
  <c r="I26" i="6" s="1"/>
  <c r="S26" i="6" s="1"/>
  <c r="C35" i="69"/>
  <c r="C38" i="69"/>
  <c r="D9" i="6"/>
  <c r="C18" i="4"/>
  <c r="C4" i="52" s="1"/>
  <c r="B45" i="72" s="1"/>
  <c r="D24" i="6"/>
  <c r="E61" i="40"/>
  <c r="S10" i="40"/>
  <c r="AA10" i="40"/>
  <c r="AA10" i="39"/>
  <c r="S10" i="39"/>
  <c r="F45" i="69"/>
  <c r="C29" i="69"/>
  <c r="D27" i="69" s="1"/>
  <c r="C47" i="69"/>
  <c r="D45" i="69" s="1"/>
  <c r="C38" i="68"/>
  <c r="C35" i="68"/>
  <c r="D15" i="6"/>
  <c r="D10" i="71"/>
  <c r="C9" i="71"/>
  <c r="I65" i="40"/>
  <c r="J63" i="40"/>
  <c r="C15" i="12"/>
  <c r="C12" i="12"/>
  <c r="W10" i="40"/>
  <c r="AC10" i="40"/>
  <c r="C35" i="11"/>
  <c r="D19" i="6"/>
  <c r="U10" i="39"/>
  <c r="AB10" i="39"/>
  <c r="G70" i="39"/>
  <c r="H68" i="39"/>
  <c r="D22" i="6"/>
  <c r="D13" i="6"/>
  <c r="D11" i="6"/>
  <c r="D25" i="6"/>
  <c r="D10" i="6"/>
  <c r="D12" i="6"/>
  <c r="D23" i="6"/>
  <c r="C28" i="11"/>
  <c r="C27" i="11" s="1"/>
  <c r="AC10" i="39"/>
  <c r="W10" i="39"/>
  <c r="F45" i="68"/>
  <c r="C29" i="68"/>
  <c r="D27" i="68" s="1"/>
  <c r="C47" i="68"/>
  <c r="D45" i="68" s="1"/>
  <c r="F7" i="36"/>
  <c r="AA7" i="36" s="1"/>
  <c r="R36" i="36" s="1"/>
  <c r="H21" i="6"/>
  <c r="R21" i="6" s="1"/>
  <c r="D28" i="6"/>
  <c r="D30" i="6" s="1"/>
  <c r="D20" i="6"/>
  <c r="D14" i="6"/>
  <c r="C49" i="33"/>
  <c r="B2" i="33" s="1"/>
  <c r="AB10" i="40"/>
  <c r="U10" i="40"/>
  <c r="C29" i="11"/>
  <c r="D27" i="11" s="1"/>
  <c r="C47" i="11"/>
  <c r="D45" i="11" s="1"/>
  <c r="C14" i="12"/>
  <c r="D10" i="68"/>
  <c r="D10" i="11"/>
  <c r="C10" i="11" s="1"/>
  <c r="D6" i="6"/>
  <c r="D10" i="69"/>
  <c r="D20" i="12"/>
  <c r="C20" i="12" s="1"/>
  <c r="C18" i="12" s="1"/>
  <c r="W7" i="36"/>
  <c r="AC7" i="36"/>
  <c r="V36" i="36" s="1"/>
  <c r="I36" i="36" s="1"/>
  <c r="G46" i="37"/>
  <c r="H46" i="37" s="1"/>
  <c r="S7" i="36"/>
  <c r="I53" i="34"/>
  <c r="J53" i="34" s="1"/>
  <c r="H7" i="36"/>
  <c r="W7" i="37"/>
  <c r="AC7" i="37"/>
  <c r="V42" i="37" s="1"/>
  <c r="I42" i="37" s="1"/>
  <c r="H48" i="35"/>
  <c r="I48" i="35" s="1"/>
  <c r="J48" i="35" s="1"/>
  <c r="K48" i="35" s="1"/>
  <c r="L48" i="35" s="1"/>
  <c r="M48" i="35" s="1"/>
  <c r="N48" i="35" s="1"/>
  <c r="O48" i="35" s="1"/>
  <c r="S7" i="34"/>
  <c r="AA7" i="34"/>
  <c r="R49" i="34" s="1"/>
  <c r="G53" i="34"/>
  <c r="H53" i="34" s="1"/>
  <c r="G54" i="34"/>
  <c r="H54" i="34" s="1"/>
  <c r="S7" i="37"/>
  <c r="AA7" i="37"/>
  <c r="R42" i="37" s="1"/>
  <c r="F7" i="35"/>
  <c r="B2" i="76"/>
  <c r="B3" i="43"/>
  <c r="J14" i="15"/>
  <c r="C57" i="15"/>
  <c r="C36" i="15"/>
  <c r="C33" i="15"/>
  <c r="C31" i="15" s="1"/>
  <c r="C13" i="15"/>
  <c r="Q49" i="15"/>
  <c r="J19" i="15"/>
  <c r="J17" i="15" s="1"/>
  <c r="J59" i="15"/>
  <c r="J60" i="15" s="1"/>
  <c r="C22" i="11"/>
  <c r="C33" i="67"/>
  <c r="H24" i="6" l="1"/>
  <c r="D16" i="6"/>
  <c r="A7" i="51"/>
  <c r="B7" i="72" s="1"/>
  <c r="H26" i="6"/>
  <c r="R26" i="6" s="1"/>
  <c r="B3" i="76"/>
  <c r="F50" i="68"/>
  <c r="F50" i="69"/>
  <c r="C33" i="11"/>
  <c r="C39" i="11" s="1"/>
  <c r="H22" i="6"/>
  <c r="R22" i="6" s="1"/>
  <c r="M20" i="6"/>
  <c r="I20" i="6" s="1"/>
  <c r="S7" i="1"/>
  <c r="C31" i="11"/>
  <c r="H25" i="6"/>
  <c r="R25" i="6" s="1"/>
  <c r="H23" i="6"/>
  <c r="R23" i="6" s="1"/>
  <c r="S6" i="1"/>
  <c r="M19" i="6"/>
  <c r="K27" i="6"/>
  <c r="B3" i="33"/>
  <c r="C16" i="12"/>
  <c r="C21" i="12" s="1"/>
  <c r="C22" i="12" s="1"/>
  <c r="C30" i="12" s="1"/>
  <c r="C28" i="12" s="1"/>
  <c r="I68" i="39"/>
  <c r="H70" i="39"/>
  <c r="A10" i="51"/>
  <c r="B9" i="72" s="1"/>
  <c r="C8" i="71"/>
  <c r="T9" i="71"/>
  <c r="D9" i="71"/>
  <c r="U9" i="71" s="1"/>
  <c r="C42" i="11"/>
  <c r="K63" i="40"/>
  <c r="J65" i="40"/>
  <c r="M19" i="9"/>
  <c r="C118" i="9" s="1"/>
  <c r="C14" i="74" s="1"/>
  <c r="B2" i="74" s="1"/>
  <c r="J7" i="35"/>
  <c r="D27" i="6"/>
  <c r="D31" i="6" s="1"/>
  <c r="I6" i="6" s="1"/>
  <c r="R24" i="6"/>
  <c r="D19" i="68"/>
  <c r="C10" i="68"/>
  <c r="D19" i="69"/>
  <c r="C10" i="69"/>
  <c r="C8" i="69" s="1"/>
  <c r="C5" i="69" s="1"/>
  <c r="C23" i="69" s="1"/>
  <c r="R43" i="37"/>
  <c r="E42" i="37"/>
  <c r="I47" i="37" s="1"/>
  <c r="J47" i="37" s="1"/>
  <c r="R50" i="34"/>
  <c r="E49" i="34"/>
  <c r="AA7" i="35"/>
  <c r="R38" i="35" s="1"/>
  <c r="S7" i="35"/>
  <c r="AC7" i="35"/>
  <c r="V38" i="35" s="1"/>
  <c r="I38" i="35" s="1"/>
  <c r="W7" i="35"/>
  <c r="I46" i="37"/>
  <c r="J46" i="37" s="1"/>
  <c r="U7" i="36"/>
  <c r="AB7" i="36"/>
  <c r="T36" i="36" s="1"/>
  <c r="G36" i="36" s="1"/>
  <c r="R37" i="36"/>
  <c r="E36" i="36"/>
  <c r="G47" i="37"/>
  <c r="H47" i="37" s="1"/>
  <c r="I40" i="36"/>
  <c r="J40" i="36" s="1"/>
  <c r="H7" i="35"/>
  <c r="Q48" i="15"/>
  <c r="L46" i="15"/>
  <c r="C61" i="67"/>
  <c r="C59" i="67" s="1"/>
  <c r="C64" i="15"/>
  <c r="C61" i="15"/>
  <c r="C59" i="15" s="1"/>
  <c r="C56" i="15"/>
  <c r="C65" i="15" s="1"/>
  <c r="Q70" i="15"/>
  <c r="C37" i="15"/>
  <c r="C30" i="15" s="1"/>
  <c r="C39" i="15" s="1"/>
  <c r="C75" i="15"/>
  <c r="J22" i="15"/>
  <c r="J13" i="15"/>
  <c r="J23" i="15" s="1"/>
  <c r="L51" i="15"/>
  <c r="C14" i="67"/>
  <c r="C17" i="67"/>
  <c r="C15" i="67" l="1"/>
  <c r="C18" i="67"/>
  <c r="I5" i="6"/>
  <c r="I19" i="6"/>
  <c r="M27" i="6"/>
  <c r="AQ7" i="1"/>
  <c r="AR7" i="1"/>
  <c r="T7" i="1"/>
  <c r="AQ6" i="1"/>
  <c r="AR6" i="1"/>
  <c r="T6" i="1"/>
  <c r="E6" i="70"/>
  <c r="E2" i="70" s="1"/>
  <c r="S16" i="1"/>
  <c r="S20" i="6"/>
  <c r="H20" i="6"/>
  <c r="L18" i="9"/>
  <c r="D8" i="71"/>
  <c r="C7" i="71"/>
  <c r="K65" i="40"/>
  <c r="L63" i="40"/>
  <c r="C46" i="11"/>
  <c r="C45" i="11" s="1"/>
  <c r="C43" i="11"/>
  <c r="C41" i="11" s="1"/>
  <c r="J68" i="39"/>
  <c r="I70" i="39"/>
  <c r="C27" i="12"/>
  <c r="C25" i="12" s="1"/>
  <c r="C32" i="12" s="1"/>
  <c r="B2" i="12" s="1"/>
  <c r="B3" i="12" s="1"/>
  <c r="D37" i="69"/>
  <c r="C37" i="69" s="1"/>
  <c r="C33" i="69" s="1"/>
  <c r="C19" i="69"/>
  <c r="D37" i="68"/>
  <c r="C37" i="68" s="1"/>
  <c r="C33" i="68" s="1"/>
  <c r="C19" i="68"/>
  <c r="AB7" i="35"/>
  <c r="T38" i="35" s="1"/>
  <c r="G38" i="35" s="1"/>
  <c r="U7" i="35"/>
  <c r="E40" i="36"/>
  <c r="F40" i="36" s="1"/>
  <c r="E41" i="36"/>
  <c r="F41" i="36" s="1"/>
  <c r="G40" i="36"/>
  <c r="H40" i="36" s="1"/>
  <c r="G41" i="36"/>
  <c r="H41" i="36" s="1"/>
  <c r="E54" i="34"/>
  <c r="F54" i="34" s="1"/>
  <c r="E53" i="34"/>
  <c r="F53" i="34" s="1"/>
  <c r="I54" i="34"/>
  <c r="J54" i="34" s="1"/>
  <c r="I41" i="36"/>
  <c r="J41" i="36" s="1"/>
  <c r="C36" i="36"/>
  <c r="C37" i="36"/>
  <c r="B2" i="36" s="1"/>
  <c r="B3" i="36" s="1"/>
  <c r="I42" i="35"/>
  <c r="J42" i="35" s="1"/>
  <c r="R39" i="35"/>
  <c r="E38" i="35"/>
  <c r="C50" i="34"/>
  <c r="B2" i="34" s="1"/>
  <c r="B3" i="34" s="1"/>
  <c r="C49" i="34"/>
  <c r="U6" i="1" s="1"/>
  <c r="C42" i="37"/>
  <c r="C43" i="37"/>
  <c r="B2" i="37" s="1"/>
  <c r="B3" i="37" s="1"/>
  <c r="E46" i="37"/>
  <c r="F46" i="37" s="1"/>
  <c r="E47" i="37"/>
  <c r="F47" i="37" s="1"/>
  <c r="C58" i="15"/>
  <c r="C67" i="15" s="1"/>
  <c r="C68" i="15" s="1"/>
  <c r="C71" i="15" s="1"/>
  <c r="J16" i="15"/>
  <c r="J25" i="15" s="1"/>
  <c r="C80" i="15"/>
  <c r="C79" i="15" s="1"/>
  <c r="Q69" i="15"/>
  <c r="Q68" i="15" s="1"/>
  <c r="C40" i="15"/>
  <c r="F6" i="67"/>
  <c r="AE6" i="1"/>
  <c r="T16" i="1" l="1"/>
  <c r="C19" i="67"/>
  <c r="C20" i="67" s="1"/>
  <c r="C26" i="67" s="1"/>
  <c r="I27" i="6"/>
  <c r="S19" i="6"/>
  <c r="S27" i="6" s="1"/>
  <c r="H19" i="6"/>
  <c r="R20" i="6"/>
  <c r="R7" i="1" s="1"/>
  <c r="L19" i="9"/>
  <c r="L65" i="40"/>
  <c r="M63" i="40"/>
  <c r="K68" i="39"/>
  <c r="J70" i="39"/>
  <c r="C49" i="11"/>
  <c r="C51" i="11" s="1"/>
  <c r="C6" i="71"/>
  <c r="D7" i="71"/>
  <c r="F31" i="67"/>
  <c r="C6" i="67"/>
  <c r="C42" i="68"/>
  <c r="C39" i="68"/>
  <c r="C43" i="68" s="1"/>
  <c r="C39" i="69"/>
  <c r="C43" i="69" s="1"/>
  <c r="C42" i="69"/>
  <c r="C20" i="68"/>
  <c r="C24" i="68"/>
  <c r="C24" i="69"/>
  <c r="C20" i="69"/>
  <c r="E43" i="35"/>
  <c r="F43" i="35" s="1"/>
  <c r="E42" i="35"/>
  <c r="F42" i="35" s="1"/>
  <c r="G43" i="35"/>
  <c r="H43" i="35" s="1"/>
  <c r="G42" i="35"/>
  <c r="H42" i="35" s="1"/>
  <c r="C38" i="35"/>
  <c r="C39" i="35"/>
  <c r="B2" i="35" s="1"/>
  <c r="B3" i="35" s="1"/>
  <c r="I43" i="35"/>
  <c r="J43" i="35" s="1"/>
  <c r="Q67" i="15"/>
  <c r="L57" i="15"/>
  <c r="L60" i="15" s="1"/>
  <c r="L57" i="67"/>
  <c r="L60" i="67" s="1"/>
  <c r="B2" i="15"/>
  <c r="B3" i="15" s="1"/>
  <c r="Q56" i="15"/>
  <c r="Q65" i="15"/>
  <c r="C43" i="15"/>
  <c r="Q47" i="15"/>
  <c r="Q53" i="15" s="1"/>
  <c r="C83" i="15"/>
  <c r="C82" i="15" s="1"/>
  <c r="C46" i="15"/>
  <c r="F41" i="67"/>
  <c r="F69" i="67" l="1"/>
  <c r="J29" i="67"/>
  <c r="C23" i="67"/>
  <c r="C29" i="67" s="1"/>
  <c r="C13" i="67" s="1"/>
  <c r="H27" i="6"/>
  <c r="R19" i="6"/>
  <c r="C52" i="11"/>
  <c r="B2" i="11" s="1"/>
  <c r="B3" i="11" s="1"/>
  <c r="D6" i="71"/>
  <c r="C5" i="71"/>
  <c r="L68" i="39"/>
  <c r="K70" i="39"/>
  <c r="M65" i="40"/>
  <c r="N63" i="40"/>
  <c r="C10" i="67"/>
  <c r="C5" i="67" s="1"/>
  <c r="C38" i="67" s="1"/>
  <c r="C31" i="67"/>
  <c r="C46" i="68"/>
  <c r="C45" i="68" s="1"/>
  <c r="C46" i="69"/>
  <c r="C45" i="69" s="1"/>
  <c r="C28" i="69"/>
  <c r="C27" i="69" s="1"/>
  <c r="C25" i="69"/>
  <c r="C22" i="69" s="1"/>
  <c r="C41" i="69"/>
  <c r="C41" i="68"/>
  <c r="C25" i="68"/>
  <c r="C22" i="68" s="1"/>
  <c r="C28" i="68"/>
  <c r="C27" i="68" s="1"/>
  <c r="Q66" i="15"/>
  <c r="Q75" i="15" s="1"/>
  <c r="Q57" i="15"/>
  <c r="Q62" i="15" s="1"/>
  <c r="Q66" i="67"/>
  <c r="Q57" i="67"/>
  <c r="C19" i="9"/>
  <c r="C20" i="9"/>
  <c r="Q49" i="67" l="1"/>
  <c r="C57" i="67"/>
  <c r="C64" i="67" s="1"/>
  <c r="J59" i="67"/>
  <c r="J60" i="67" s="1"/>
  <c r="Q48" i="67" s="1"/>
  <c r="C36" i="67"/>
  <c r="J19" i="67"/>
  <c r="J17" i="67" s="1"/>
  <c r="J14" i="67"/>
  <c r="J22" i="67" s="1"/>
  <c r="C75" i="67"/>
  <c r="Q70" i="67"/>
  <c r="C56" i="67"/>
  <c r="C65" i="67" s="1"/>
  <c r="C37" i="67"/>
  <c r="C30" i="67" s="1"/>
  <c r="C39" i="67" s="1"/>
  <c r="R6" i="1"/>
  <c r="R27" i="6"/>
  <c r="C56" i="11"/>
  <c r="C57" i="11" s="1"/>
  <c r="M20" i="43"/>
  <c r="D5" i="71"/>
  <c r="N65" i="40"/>
  <c r="H7" i="40" s="1"/>
  <c r="O63" i="40"/>
  <c r="O65" i="40" s="1"/>
  <c r="J7" i="40" s="1"/>
  <c r="F7" i="40"/>
  <c r="M68" i="39"/>
  <c r="L70" i="39"/>
  <c r="C102" i="9"/>
  <c r="C21" i="9"/>
  <c r="C103" i="9"/>
  <c r="C49" i="68"/>
  <c r="C51" i="68" s="1"/>
  <c r="C49" i="69"/>
  <c r="C51" i="69" s="1"/>
  <c r="C31" i="68"/>
  <c r="C31" i="69"/>
  <c r="F35" i="67"/>
  <c r="L51" i="67"/>
  <c r="M21" i="67"/>
  <c r="C58" i="67" l="1"/>
  <c r="C67" i="67" s="1"/>
  <c r="C68" i="67" s="1"/>
  <c r="C71" i="67" s="1"/>
  <c r="J13" i="67"/>
  <c r="J23" i="67" s="1"/>
  <c r="J16" i="67" s="1"/>
  <c r="J25" i="67" s="1"/>
  <c r="L46" i="67"/>
  <c r="F63" i="67"/>
  <c r="C62" i="67" s="1"/>
  <c r="J20" i="67"/>
  <c r="R16" i="1"/>
  <c r="AA7" i="40"/>
  <c r="R42" i="40" s="1"/>
  <c r="S7" i="40"/>
  <c r="N68" i="39"/>
  <c r="M70" i="39"/>
  <c r="W7" i="40"/>
  <c r="AC7" i="40"/>
  <c r="V42" i="40" s="1"/>
  <c r="I42" i="40" s="1"/>
  <c r="AB7" i="40"/>
  <c r="T42" i="40" s="1"/>
  <c r="G42" i="40" s="1"/>
  <c r="U7" i="40"/>
  <c r="Q67" i="67"/>
  <c r="C80" i="67"/>
  <c r="C79" i="67" s="1"/>
  <c r="Q69" i="67"/>
  <c r="Q68" i="67" s="1"/>
  <c r="C40" i="67"/>
  <c r="C52" i="69"/>
  <c r="B2" i="69" s="1"/>
  <c r="B3" i="69" s="1"/>
  <c r="C52" i="68"/>
  <c r="C57" i="68" s="1"/>
  <c r="C56" i="68" s="1"/>
  <c r="C57" i="69" l="1"/>
  <c r="C56" i="69" s="1"/>
  <c r="O68" i="39"/>
  <c r="O70" i="39" s="1"/>
  <c r="N70" i="39"/>
  <c r="I46" i="40"/>
  <c r="J46" i="40" s="1"/>
  <c r="G47" i="40"/>
  <c r="H47" i="40" s="1"/>
  <c r="G46" i="40"/>
  <c r="H46" i="40" s="1"/>
  <c r="R43" i="40"/>
  <c r="E42" i="40"/>
  <c r="I47" i="40" s="1"/>
  <c r="J47" i="40" s="1"/>
  <c r="C45" i="67"/>
  <c r="C46" i="67" s="1"/>
  <c r="Q47" i="67"/>
  <c r="Q53" i="67" s="1"/>
  <c r="D2" i="67"/>
  <c r="C83" i="67"/>
  <c r="C82" i="67" s="1"/>
  <c r="C43" i="67"/>
  <c r="Q65" i="67"/>
  <c r="Q75" i="67" s="1"/>
  <c r="Q56" i="67"/>
  <c r="Q62" i="67" s="1"/>
  <c r="R35" i="31"/>
  <c r="R31" i="31"/>
  <c r="R34" i="31"/>
  <c r="R33" i="31"/>
  <c r="R32" i="31"/>
  <c r="B2" i="68"/>
  <c r="B3" i="68" l="1"/>
  <c r="E46" i="40"/>
  <c r="F46" i="40" s="1"/>
  <c r="E47" i="40"/>
  <c r="F47" i="40" s="1"/>
  <c r="C43" i="40"/>
  <c r="C42" i="40"/>
  <c r="F7" i="39"/>
  <c r="H7" i="39"/>
  <c r="J7" i="39"/>
  <c r="B3" i="67"/>
  <c r="B2" i="67"/>
  <c r="S32" i="31"/>
  <c r="S34" i="31"/>
  <c r="S31" i="31"/>
  <c r="S33" i="31"/>
  <c r="S35" i="31"/>
  <c r="D35" i="79"/>
  <c r="D20" i="9"/>
  <c r="D19" i="9"/>
  <c r="D34" i="79"/>
  <c r="U7" i="39" l="1"/>
  <c r="AB7" i="39"/>
  <c r="T47" i="39" s="1"/>
  <c r="G47" i="39" s="1"/>
  <c r="S7" i="39"/>
  <c r="AA7" i="39"/>
  <c r="R47" i="39" s="1"/>
  <c r="B52" i="40"/>
  <c r="F52" i="40" s="1"/>
  <c r="B58" i="40"/>
  <c r="F58" i="40" s="1"/>
  <c r="B60" i="40"/>
  <c r="F60" i="40" s="1"/>
  <c r="B53" i="40"/>
  <c r="F53" i="40" s="1"/>
  <c r="B51" i="40"/>
  <c r="F51" i="40" s="1"/>
  <c r="B59" i="40"/>
  <c r="F59" i="40" s="1"/>
  <c r="F61" i="40"/>
  <c r="B2" i="40" s="1"/>
  <c r="B3" i="40" s="1"/>
  <c r="B55" i="40"/>
  <c r="F55" i="40" s="1"/>
  <c r="B56" i="40"/>
  <c r="F56" i="40" s="1"/>
  <c r="B54" i="40"/>
  <c r="F54" i="40" s="1"/>
  <c r="B57" i="40"/>
  <c r="F57" i="40" s="1"/>
  <c r="W7" i="39"/>
  <c r="AC7" i="39"/>
  <c r="V47" i="39" s="1"/>
  <c r="I47" i="39" s="1"/>
  <c r="D103" i="9"/>
  <c r="G20" i="9"/>
  <c r="D102" i="9"/>
  <c r="D21" i="9"/>
  <c r="D22" i="9"/>
  <c r="G19" i="9"/>
  <c r="G21" i="9" s="1"/>
  <c r="R48" i="39" l="1"/>
  <c r="E47" i="39"/>
  <c r="I52" i="39" s="1"/>
  <c r="J52" i="39" s="1"/>
  <c r="I51" i="39"/>
  <c r="J51" i="39" s="1"/>
  <c r="G51" i="39"/>
  <c r="H51" i="39" s="1"/>
  <c r="G52" i="39"/>
  <c r="H52" i="39" s="1"/>
  <c r="C32" i="9"/>
  <c r="R24" i="31"/>
  <c r="R29" i="31" l="1"/>
  <c r="S29" i="31" s="1"/>
  <c r="D19" i="74" s="1"/>
  <c r="G19" i="74" s="1"/>
  <c r="H19" i="74" s="1"/>
  <c r="R30" i="31"/>
  <c r="S30" i="31" s="1"/>
  <c r="D20" i="74" s="1"/>
  <c r="G20" i="74" s="1"/>
  <c r="H20" i="74" s="1"/>
  <c r="E51" i="39"/>
  <c r="F51" i="39" s="1"/>
  <c r="E52" i="39"/>
  <c r="F52" i="39" s="1"/>
  <c r="C47" i="39"/>
  <c r="C48" i="39"/>
  <c r="G7" i="78"/>
  <c r="I7" i="78" s="1"/>
  <c r="R27" i="31"/>
  <c r="R25" i="31"/>
  <c r="S24" i="31"/>
  <c r="R26" i="31"/>
  <c r="R28" i="31"/>
  <c r="C35" i="9"/>
  <c r="C34" i="9" s="1"/>
  <c r="I118" i="9"/>
  <c r="E20" i="74" l="1"/>
  <c r="F20" i="74"/>
  <c r="E19" i="74"/>
  <c r="F19" i="74"/>
  <c r="B56" i="39"/>
  <c r="F56" i="39" s="1"/>
  <c r="F66" i="39" s="1"/>
  <c r="B2" i="39" s="1"/>
  <c r="B3" i="39" s="1"/>
  <c r="B59" i="39"/>
  <c r="F59" i="39" s="1"/>
  <c r="B65" i="39"/>
  <c r="F65" i="39" s="1"/>
  <c r="B63" i="39"/>
  <c r="F63" i="39" s="1"/>
  <c r="B64" i="39"/>
  <c r="F64" i="39" s="1"/>
  <c r="B57" i="39"/>
  <c r="F57" i="39" s="1"/>
  <c r="B60" i="39"/>
  <c r="F60" i="39" s="1"/>
  <c r="B58" i="39"/>
  <c r="F58" i="39" s="1"/>
  <c r="B62" i="39"/>
  <c r="F62" i="39" s="1"/>
  <c r="B61" i="39"/>
  <c r="F61" i="39" s="1"/>
  <c r="H118" i="9"/>
  <c r="H102" i="9"/>
  <c r="D7" i="53" s="1"/>
  <c r="B21" i="72" s="1"/>
  <c r="C105" i="9"/>
  <c r="I4" i="52"/>
  <c r="G11" i="78"/>
  <c r="I11" i="78" s="1"/>
  <c r="S28" i="31"/>
  <c r="D18" i="74" s="1"/>
  <c r="G18" i="74" s="1"/>
  <c r="H18" i="74" s="1"/>
  <c r="G10" i="78"/>
  <c r="I10" i="78" s="1"/>
  <c r="S27" i="31"/>
  <c r="D17" i="74" s="1"/>
  <c r="G17" i="74" s="1"/>
  <c r="H17" i="74" s="1"/>
  <c r="G9" i="78"/>
  <c r="I9" i="78" s="1"/>
  <c r="S26" i="31"/>
  <c r="D16" i="74" s="1"/>
  <c r="G16" i="74" s="1"/>
  <c r="H16" i="74" s="1"/>
  <c r="G8" i="78"/>
  <c r="I8" i="78" s="1"/>
  <c r="S25" i="31"/>
  <c r="F16" i="74" l="1"/>
  <c r="E16" i="74"/>
  <c r="F17" i="74"/>
  <c r="E17" i="74"/>
  <c r="F18" i="74"/>
  <c r="E18" i="74"/>
  <c r="S22" i="31"/>
  <c r="B20" i="31" s="1"/>
  <c r="D15" i="74"/>
  <c r="G15" i="74" s="1"/>
  <c r="H15" i="74" s="1"/>
  <c r="K7" i="78"/>
  <c r="H119" i="9"/>
  <c r="H5" i="52" s="1"/>
  <c r="C104" i="9"/>
  <c r="D14" i="74"/>
  <c r="G14" i="74" s="1"/>
  <c r="H4" i="52"/>
  <c r="H101" i="9"/>
  <c r="H109" i="9" s="1"/>
  <c r="D19" i="79"/>
  <c r="C19" i="79"/>
  <c r="D102" i="79" l="1"/>
  <c r="D21" i="79"/>
  <c r="C21" i="79"/>
  <c r="C102" i="79"/>
  <c r="G19" i="79"/>
  <c r="G21" i="79" s="1"/>
  <c r="D22" i="79"/>
  <c r="B21" i="31"/>
  <c r="H110" i="9"/>
  <c r="D18" i="53" s="1"/>
  <c r="B35" i="72" s="1"/>
  <c r="D16" i="53"/>
  <c r="D124" i="9"/>
  <c r="R22" i="31"/>
  <c r="F15" i="74"/>
  <c r="E15" i="74"/>
  <c r="D45" i="9"/>
  <c r="M48" i="9"/>
  <c r="H107" i="9"/>
  <c r="M49" i="9" s="1"/>
  <c r="D5" i="53"/>
  <c r="E14" i="74"/>
  <c r="F14" i="74"/>
  <c r="B5" i="74"/>
  <c r="D20" i="79"/>
  <c r="C20" i="79"/>
  <c r="D103" i="79" l="1"/>
  <c r="C103" i="79"/>
  <c r="G20" i="79"/>
  <c r="C32" i="79" s="1"/>
  <c r="D125" i="9"/>
  <c r="D10" i="52"/>
  <c r="H14" i="74"/>
  <c r="B34" i="72"/>
  <c r="D17" i="53"/>
  <c r="B36" i="72" s="1"/>
  <c r="L63" i="9"/>
  <c r="M63" i="9" s="1"/>
  <c r="L66" i="9"/>
  <c r="M66" i="9" s="1"/>
  <c r="L67" i="9"/>
  <c r="M67" i="9" s="1"/>
  <c r="L68" i="9"/>
  <c r="M68" i="9" s="1"/>
  <c r="L64" i="9"/>
  <c r="M64" i="9" s="1"/>
  <c r="L65" i="9"/>
  <c r="M65" i="9" s="1"/>
  <c r="C5" i="74"/>
  <c r="D5" i="74"/>
  <c r="H108" i="9"/>
  <c r="D15" i="53" s="1"/>
  <c r="B31" i="72" s="1"/>
  <c r="D13" i="53"/>
  <c r="D122" i="9"/>
  <c r="D52" i="9"/>
  <c r="C64" i="9"/>
  <c r="C63" i="9" s="1"/>
  <c r="C67" i="9" s="1"/>
  <c r="C85" i="9"/>
  <c r="C78" i="9"/>
  <c r="C73" i="9" s="1"/>
  <c r="D55" i="9"/>
  <c r="M53" i="9" s="1"/>
  <c r="C93" i="9"/>
  <c r="C86" i="9" s="1"/>
  <c r="C72" i="9"/>
  <c r="D53" i="9"/>
  <c r="B20" i="72"/>
  <c r="D6" i="53"/>
  <c r="B22" i="72" s="1"/>
  <c r="G118" i="9"/>
  <c r="E118" i="9" s="1"/>
  <c r="D11" i="52" l="1"/>
  <c r="C35" i="79"/>
  <c r="M69" i="9"/>
  <c r="N69" i="9" s="1"/>
  <c r="C68" i="9"/>
  <c r="D54" i="9" s="1"/>
  <c r="D48" i="9" s="1"/>
  <c r="M52" i="9" s="1"/>
  <c r="D59" i="9"/>
  <c r="M55" i="9" s="1"/>
  <c r="C79" i="9"/>
  <c r="C95" i="9"/>
  <c r="D14" i="53"/>
  <c r="B32" i="72" s="1"/>
  <c r="B30" i="72"/>
  <c r="D8" i="52"/>
  <c r="D123" i="9"/>
  <c r="D9" i="52" s="1"/>
  <c r="B6" i="74"/>
  <c r="G4" i="52"/>
  <c r="B52" i="72" s="1"/>
  <c r="F118" i="9"/>
  <c r="F119" i="9" s="1"/>
  <c r="F5" i="52" s="1"/>
  <c r="B53" i="72" s="1"/>
  <c r="D118" i="9"/>
  <c r="E4" i="52"/>
  <c r="B48" i="72" s="1"/>
  <c r="C34" i="79" l="1"/>
  <c r="H118" i="79"/>
  <c r="I118" i="79" s="1"/>
  <c r="C105" i="79" s="1"/>
  <c r="D6" i="74"/>
  <c r="C6" i="74"/>
  <c r="C96" i="9"/>
  <c r="E96" i="9" s="1"/>
  <c r="E97" i="9" s="1"/>
  <c r="C80" i="9"/>
  <c r="E80" i="9" s="1"/>
  <c r="E81" i="9" s="1"/>
  <c r="F4" i="52"/>
  <c r="B51" i="72" s="1"/>
  <c r="D119" i="9"/>
  <c r="D5" i="52" s="1"/>
  <c r="B49" i="72" s="1"/>
  <c r="D4" i="52"/>
  <c r="B47" i="72" s="1"/>
  <c r="H102" i="79" l="1"/>
  <c r="C104" i="79"/>
  <c r="H101" i="79"/>
  <c r="H119" i="79"/>
  <c r="C81" i="9"/>
  <c r="C97" i="9"/>
  <c r="D45" i="79" l="1"/>
  <c r="M48" i="79"/>
  <c r="H109" i="79"/>
  <c r="H107" i="79"/>
  <c r="D58" i="9"/>
  <c r="D56" i="9" s="1"/>
  <c r="M54" i="9" s="1"/>
  <c r="N57" i="9" s="1"/>
  <c r="P57" i="9" s="1"/>
  <c r="H110" i="79" l="1"/>
  <c r="D124" i="79"/>
  <c r="D125" i="79" s="1"/>
  <c r="M49" i="79"/>
  <c r="D52" i="79"/>
  <c r="C85" i="79"/>
  <c r="C64" i="79"/>
  <c r="C63" i="79" s="1"/>
  <c r="C67" i="79" s="1"/>
  <c r="D53" i="79"/>
  <c r="C78" i="79"/>
  <c r="C73" i="79" s="1"/>
  <c r="C93" i="79"/>
  <c r="C86" i="79" s="1"/>
  <c r="C72" i="79"/>
  <c r="C79" i="79" s="1"/>
  <c r="D55" i="79"/>
  <c r="M53" i="79" s="1"/>
  <c r="H108" i="79"/>
  <c r="D122" i="79"/>
  <c r="D123" i="79" s="1"/>
  <c r="N58" i="9"/>
  <c r="N59" i="9"/>
  <c r="H111" i="9" s="1"/>
  <c r="D126" i="9" s="1"/>
  <c r="N60" i="9" l="1"/>
  <c r="N61" i="9"/>
  <c r="H112" i="9" s="1"/>
  <c r="D21" i="53" s="1"/>
  <c r="B39" i="72" s="1"/>
  <c r="D19" i="53"/>
  <c r="D20" i="53" s="1"/>
  <c r="B40" i="72" s="1"/>
  <c r="C80" i="79"/>
  <c r="E80" i="79" s="1"/>
  <c r="E81" i="79" s="1"/>
  <c r="D59" i="79"/>
  <c r="M55" i="79" s="1"/>
  <c r="C68" i="79"/>
  <c r="D54" i="79" s="1"/>
  <c r="D48" i="79" s="1"/>
  <c r="M52" i="79" s="1"/>
  <c r="C95" i="79"/>
  <c r="L65" i="79"/>
  <c r="M65" i="79" s="1"/>
  <c r="L68" i="79"/>
  <c r="M68" i="79" s="1"/>
  <c r="L63" i="79"/>
  <c r="M63" i="79" s="1"/>
  <c r="L66" i="79"/>
  <c r="M66" i="79" s="1"/>
  <c r="L64" i="79"/>
  <c r="M64" i="79" s="1"/>
  <c r="L67" i="79"/>
  <c r="M67" i="79" s="1"/>
  <c r="D12" i="52"/>
  <c r="D127" i="9"/>
  <c r="D13" i="52" l="1"/>
  <c r="B7" i="74"/>
  <c r="B38" i="72"/>
  <c r="M69" i="79"/>
  <c r="N69" i="79" s="1"/>
  <c r="C81" i="79"/>
  <c r="D58" i="79" s="1"/>
  <c r="D56" i="79" s="1"/>
  <c r="M54" i="79" s="1"/>
  <c r="N57" i="79" s="1"/>
  <c r="C96" i="79"/>
  <c r="E96" i="79" s="1"/>
  <c r="E97" i="79" s="1"/>
  <c r="C7" i="74" l="1"/>
  <c r="D7" i="74"/>
  <c r="N58" i="79"/>
  <c r="P57" i="79"/>
  <c r="N59" i="79"/>
  <c r="I14" i="74" s="1"/>
  <c r="B8" i="74" s="1"/>
  <c r="C97" i="79"/>
  <c r="C8" i="74" l="1"/>
  <c r="D8" i="74"/>
  <c r="N61" i="79"/>
  <c r="H112" i="79" s="1"/>
  <c r="H111" i="79"/>
  <c r="D126" i="79" s="1"/>
  <c r="D127" i="79" s="1"/>
  <c r="N60" i="79"/>
  <c r="F118" i="79"/>
  <c r="G118" i="79" s="1"/>
  <c r="E118" i="79" s="1"/>
  <c r="D118" i="79"/>
  <c r="D119" i="79" s="1"/>
  <c r="AO6" i="1"/>
  <c r="F119" i="79" l="1"/>
  <c r="B6" i="70"/>
  <c r="B2" i="70" s="1"/>
  <c r="B3" i="7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<sst xmlns="http://schemas.openxmlformats.org/spreadsheetml/2006/main" count="7872" uniqueCount="3201">
  <si>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</si>
  <si>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</si>
  <si>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</si>
  <si>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</si>
  <si>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</si>
  <si>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</si>
  <si>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</si>
  <si>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</si>
  <si>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</si>
  <si>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</si>
  <si>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</si>
  <si>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</si>
  <si>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</si>
  <si>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</si>
  <si>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</si>
  <si>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</si>
  <si>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</si>
  <si>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</si>
  <si>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</si>
  <si>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</si>
  <si>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</si>
  <si>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</si>
  <si>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</si>
  <si>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</si>
  <si>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</si>
  <si>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</si>
  <si>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</si>
  <si>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</si>
  <si>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</si>
  <si>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</si>
  <si>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</si>
  <si>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</si>
  <si>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</si>
  <si>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</si>
  <si>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</si>
  <si>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</si>
  <si>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</si>
  <si>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</si>
  <si>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</si>
  <si>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</si>
  <si>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</si>
  <si>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</si>
  <si>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</si>
  <si>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</si>
  <si>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</si>
  <si>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</si>
  <si>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</si>
  <si>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</si>
  <si>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</si>
  <si>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</si>
  <si>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</si>
  <si>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</si>
  <si>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</si>
  <si>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</si>
  <si>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</si>
  <si>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</si>
  <si>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</si>
  <si>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</si>
  <si>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</si>
  <si>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</si>
  <si>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</si>
  <si>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</si>
  <si>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</si>
  <si>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</si>
  <si>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</si>
  <si>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</si>
  <si>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</si>
  <si>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</si>
  <si>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</si>
  <si>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</si>
  <si>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</si>
  <si>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</si>
  <si>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</si>
  <si>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</si>
  <si>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</si>
  <si>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</si>
  <si>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</si>
  <si>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</si>
  <si>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</si>
  <si>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</si>
  <si>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</si>
  <si>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</si>
  <si>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</si>
  <si>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</si>
  <si>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</si>
  <si>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</si>
  <si>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</si>
  <si>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</si>
  <si>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</si>
  <si>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</si>
  <si>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</si>
  <si>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</si>
  <si>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</si>
  <si>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</si>
  <si>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</si>
  <si>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</si>
  <si>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</si>
  <si>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</si>
  <si>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</si>
  <si>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</si>
  <si>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</si>
  <si>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</si>
  <si>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</si>
  <si>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</si>
  <si>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</si>
  <si>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</si>
  <si>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</si>
  <si>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</si>
  <si>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</si>
  <si>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</si>
  <si>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</si>
  <si>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</si>
  <si>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</si>
  <si>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</si>
  <si>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</si>
  <si>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</si>
  <si>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</si>
  <si>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</si>
  <si>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</si>
  <si>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</si>
  <si>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</si>
  <si>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</si>
  <si>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</si>
  <si>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</si>
  <si>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</si>
  <si>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</si>
  <si>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</si>
  <si>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</si>
  <si>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</si>
  <si>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</si>
  <si>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</si>
  <si>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</si>
  <si>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</si>
  <si>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</si>
  <si>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</si>
  <si>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</si>
  <si>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</si>
  <si>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</si>
  <si>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</si>
  <si>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</si>
  <si>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</si>
  <si>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</si>
  <si>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</si>
  <si>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</si>
  <si>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</si>
  <si>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</si>
  <si>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</si>
  <si>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</si>
  <si>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</si>
  <si>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</si>
  <si>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</si>
  <si>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</si>
  <si>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</si>
  <si>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</si>
  <si>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</si>
  <si>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</si>
  <si>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</si>
  <si>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</si>
  <si>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</si>
  <si>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</si>
  <si>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</si>
  <si>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</si>
  <si>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</si>
  <si>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</si>
  <si>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</si>
  <si>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</si>
  <si>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</si>
  <si>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</si>
  <si>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</si>
  <si>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</si>
  <si>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</si>
  <si>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</si>
  <si>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</si>
  <si>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</si>
  <si>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</si>
  <si>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</si>
  <si>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</si>
  <si>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</si>
  <si>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</si>
  <si>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</si>
  <si>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</si>
  <si>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</si>
  <si>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</si>
  <si>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</si>
  <si>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</si>
  <si>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</si>
  <si>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</si>
  <si>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</si>
  <si>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</si>
  <si>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</si>
  <si>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</si>
  <si>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</si>
  <si>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</si>
  <si>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</si>
  <si>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</si>
  <si>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</si>
  <si>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</si>
  <si>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</si>
  <si>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</si>
  <si>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</si>
  <si>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</si>
  <si>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</si>
  <si>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</si>
  <si>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</si>
  <si>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</si>
  <si>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</si>
  <si>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</si>
  <si>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</si>
  <si>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</si>
  <si>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</si>
  <si>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</si>
  <si>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</si>
  <si>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</si>
  <si>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</si>
  <si>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</si>
  <si>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</si>
  <si>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</si>
  <si>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</si>
  <si>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</si>
  <si>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</si>
  <si>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</si>
  <si>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</si>
  <si>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</si>
  <si>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</si>
  <si>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</si>
  <si>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</si>
  <si>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</si>
  <si>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</si>
  <si>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</si>
  <si>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</si>
  <si>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</si>
  <si>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</si>
  <si>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</si>
  <si>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</si>
  <si>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</si>
  <si>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</si>
  <si>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</si>
  <si>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</si>
  <si>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</si>
  <si>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</si>
  <si>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</si>
  <si>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</si>
  <si>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</si>
  <si>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</si>
  <si>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</si>
  <si>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</si>
  <si>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</si>
  <si>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</si>
  <si>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</si>
  <si>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</si>
  <si>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</si>
  <si>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</si>
  <si>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</si>
  <si>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</si>
  <si>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</si>
  <si>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</si>
  <si>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</si>
  <si>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</si>
  <si>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</si>
  <si>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</si>
  <si>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</si>
  <si>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</si>
  <si>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</si>
  <si>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</si>
  <si>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</si>
  <si>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</si>
  <si>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</si>
  <si>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</si>
  <si>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</si>
  <si>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</si>
  <si>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</si>
  <si>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</si>
  <si>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</si>
  <si>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</si>
  <si>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</si>
  <si>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</si>
  <si>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</si>
  <si>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</si>
  <si>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</si>
  <si>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</si>
  <si>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</si>
  <si>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</si>
  <si>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</si>
  <si>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</si>
  <si>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</si>
  <si>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</si>
  <si>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</si>
  <si>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</si>
  <si>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</si>
  <si>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</si>
  <si>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</si>
  <si>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</si>
  <si>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</si>
  <si>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</si>
  <si>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</si>
  <si>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</si>
  <si>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</si>
  <si>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</si>
  <si>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</si>
  <si>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</si>
  <si>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</si>
  <si>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</si>
  <si>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</si>
  <si>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</si>
  <si>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</si>
  <si>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</si>
  <si>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</si>
  <si>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</si>
  <si>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</si>
  <si>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</si>
  <si>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</si>
  <si>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</si>
  <si>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</si>
  <si>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</si>
  <si>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</si>
  <si>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</si>
  <si>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</si>
  <si>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</si>
  <si>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</si>
  <si>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</si>
  <si>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</si>
  <si>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</si>
  <si>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</si>
  <si>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</si>
  <si>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</si>
  <si>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</si>
  <si>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</si>
  <si>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</si>
  <si>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</si>
  <si>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</si>
  <si>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</si>
  <si>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</si>
  <si>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</si>
  <si>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</si>
  <si>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</si>
  <si>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</si>
  <si>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</si>
  <si>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</si>
  <si>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</si>
  <si>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</si>
  <si>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</si>
  <si>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</si>
  <si>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</si>
  <si>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</si>
  <si>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</si>
  <si>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</si>
  <si>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</si>
  <si>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</si>
  <si>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</si>
  <si>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</si>
  <si>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</si>
  <si>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</si>
  <si>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</si>
  <si>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</si>
  <si>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</si>
  <si>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</si>
  <si>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</si>
  <si>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</si>
  <si>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</si>
  <si>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</si>
  <si>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</si>
  <si>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</si>
  <si>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</si>
  <si>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</si>
  <si>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</si>
  <si>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</si>
  <si>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</si>
  <si>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</si>
  <si>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</si>
  <si>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</si>
  <si>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</si>
  <si>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</si>
  <si>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</si>
  <si>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</si>
  <si>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</si>
  <si>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</si>
  <si>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</si>
  <si>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</si>
  <si>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</si>
  <si>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</si>
  <si>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</si>
  <si>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</si>
  <si>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</si>
  <si>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</si>
  <si>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</si>
  <si>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</si>
  <si>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</si>
  <si>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</si>
  <si>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</si>
  <si>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</si>
  <si>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</si>
  <si>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</si>
  <si>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</si>
  <si>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</si>
  <si>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</si>
  <si>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</si>
  <si>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</si>
  <si>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</si>
  <si>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</si>
  <si>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</si>
  <si>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</si>
  <si>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</si>
  <si>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</si>
  <si>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</si>
  <si>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</si>
  <si>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</si>
  <si>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</si>
  <si>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</si>
  <si>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</si>
  <si>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</si>
  <si>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</si>
  <si>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</si>
  <si>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</si>
  <si>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</si>
  <si>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</si>
  <si>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</si>
  <si>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</si>
  <si>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</si>
  <si>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</si>
  <si>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</si>
  <si>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</si>
  <si>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</si>
  <si>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</si>
  <si>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</si>
  <si>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</si>
  <si>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</si>
  <si>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</si>
  <si>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</si>
  <si>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</si>
  <si>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</si>
  <si>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</si>
  <si>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</si>
  <si>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</si>
  <si>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</si>
  <si>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</si>
  <si>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</si>
  <si>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</si>
  <si>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</si>
  <si>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</si>
  <si>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</si>
  <si>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</si>
  <si>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</si>
  <si>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</si>
  <si>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</si>
  <si>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</si>
  <si>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</si>
  <si>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</si>
  <si>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</si>
  <si>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</si>
  <si>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</si>
  <si>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</si>
  <si>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</si>
  <si>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</si>
  <si>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</si>
  <si>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</si>
  <si>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</si>
  <si>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</si>
  <si>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</si>
  <si>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</si>
  <si>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</si>
  <si>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</si>
  <si>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</si>
  <si>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</si>
  <si>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</si>
  <si>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</si>
  <si>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</si>
  <si>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</si>
  <si>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</si>
  <si>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</si>
  <si>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</si>
  <si>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</si>
  <si>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</si>
  <si>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</si>
  <si>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</si>
  <si>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</si>
  <si>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</si>
  <si>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</si>
  <si>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</si>
  <si>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</si>
  <si>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</si>
  <si>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</si>
  <si>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</si>
  <si>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</si>
  <si>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</si>
  <si>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</si>
  <si>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</si>
  <si>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</si>
  <si>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</si>
  <si>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</si>
  <si>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</si>
  <si>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</si>
  <si>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</si>
  <si>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</si>
  <si>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</si>
  <si>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</si>
  <si>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</si>
  <si>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</si>
  <si>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</si>
  <si>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</si>
  <si>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</si>
  <si>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</si>
  <si>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</si>
  <si>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</si>
  <si>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</si>
  <si>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</si>
  <si>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</si>
  <si>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</si>
  <si>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</si>
  <si>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</si>
  <si>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</si>
  <si>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</si>
  <si>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</si>
  <si>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</si>
  <si>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</si>
  <si>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</si>
  <si>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</si>
  <si>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</si>
  <si>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</si>
  <si>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</si>
  <si>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</si>
  <si>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</si>
  <si>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</si>
  <si>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</si>
  <si>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</si>
  <si>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</si>
  <si>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</si>
  <si>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</si>
  <si>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</si>
  <si>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</si>
  <si>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</si>
  <si>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</si>
  <si>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</si>
  <si>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</si>
  <si>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</si>
  <si>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</si>
  <si>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</si>
  <si>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</si>
  <si>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</si>
  <si>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</si>
  <si>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</si>
  <si>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</si>
  <si>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</si>
  <si>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</si>
  <si>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</si>
  <si>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</si>
  <si>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</si>
  <si>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</si>
  <si>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</si>
  <si>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</si>
  <si>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</si>
  <si>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</si>
  <si>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</si>
  <si>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</si>
  <si>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</si>
  <si>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</si>
  <si>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</si>
  <si>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</si>
  <si>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</si>
  <si>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</si>
  <si>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</si>
  <si>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</si>
  <si>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</si>
  <si>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</si>
  <si>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</si>
  <si>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</si>
  <si>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</si>
  <si>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</si>
  <si>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</si>
  <si>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</si>
  <si>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</si>
  <si>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</si>
  <si>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</si>
  <si>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</si>
  <si>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</si>
  <si>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</si>
  <si>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</si>
  <si>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</si>
  <si>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</si>
  <si>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</si>
  <si>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</si>
  <si>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</si>
  <si>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</si>
  <si>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</si>
  <si>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</si>
  <si>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</si>
  <si>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</si>
  <si>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</si>
  <si>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</si>
  <si>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</si>
  <si>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</si>
  <si>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</si>
  <si>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</si>
  <si>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</si>
  <si>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</si>
  <si>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</si>
  <si>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</si>
  <si>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</si>
  <si>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</si>
  <si>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</si>
  <si>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</si>
  <si>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</si>
  <si>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</si>
  <si>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</si>
  <si>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</si>
  <si>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</si>
  <si>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</si>
  <si>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</si>
  <si>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</si>
  <si>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</si>
  <si>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</si>
  <si>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</si>
  <si>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</si>
  <si>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</si>
  <si>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</si>
  <si>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</si>
  <si>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</si>
  <si>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</si>
  <si>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</si>
  <si>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</si>
  <si>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</si>
  <si>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</si>
  <si>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</si>
  <si>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</si>
  <si>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</si>
  <si>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</si>
  <si>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</si>
  <si>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</si>
  <si>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</si>
  <si>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</si>
  <si>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</si>
  <si>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</si>
  <si>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</si>
  <si>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</si>
  <si>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</si>
  <si>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</si>
  <si>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</si>
  <si>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</si>
  <si>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</si>
  <si>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</si>
  <si>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</si>
  <si>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</si>
  <si>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</si>
  <si>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</si>
  <si>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</si>
  <si>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</si>
  <si>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</si>
  <si>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</si>
  <si>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</si>
  <si>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</si>
  <si>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</si>
  <si>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</si>
  <si>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</si>
  <si>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</si>
  <si>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</si>
  <si>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</si>
  <si>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</si>
  <si>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</si>
  <si>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</si>
  <si>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</si>
  <si>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</si>
  <si>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</si>
  <si>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</si>
  <si>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</si>
  <si>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</si>
  <si>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</si>
  <si>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</si>
  <si>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</si>
  <si>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</si>
  <si>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</si>
  <si>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</si>
  <si>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</si>
  <si>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</si>
  <si>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</si>
  <si>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</si>
  <si>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</si>
  <si>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</si>
  <si>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</si>
  <si>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</si>
  <si>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</si>
  <si>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</si>
  <si>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</si>
  <si>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</si>
  <si>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</si>
  <si>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</si>
  <si>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</si>
  <si>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</si>
  <si>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</si>
  <si>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</si>
  <si>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</si>
  <si>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</si>
  <si>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</si>
  <si>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</si>
  <si>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</si>
  <si>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</si>
  <si>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</si>
  <si>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</si>
  <si>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</si>
  <si>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</si>
  <si>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</si>
  <si>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</si>
  <si>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</si>
  <si>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</si>
  <si>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</si>
  <si>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</si>
  <si>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</si>
  <si>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</si>
  <si>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</si>
  <si>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</si>
  <si>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</si>
  <si>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</si>
  <si>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</si>
  <si>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</si>
  <si>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</si>
  <si>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</si>
  <si>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</si>
  <si>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</si>
  <si>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</si>
  <si>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</si>
  <si>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</si>
  <si>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</si>
  <si>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</si>
  <si>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</si>
  <si>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</si>
  <si>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</si>
  <si>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</si>
  <si>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</si>
  <si>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</si>
  <si>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</si>
  <si>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</si>
  <si>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</si>
  <si>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</si>
  <si>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</si>
  <si>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</si>
  <si>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</si>
  <si>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</si>
  <si>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</si>
  <si>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</si>
  <si>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</si>
  <si>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</si>
  <si>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</si>
  <si>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</si>
  <si>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</si>
  <si>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</si>
  <si>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</si>
  <si>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</si>
  <si>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</si>
  <si>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</si>
  <si>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</si>
  <si>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</si>
  <si>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</si>
  <si>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</si>
  <si>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</si>
  <si>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</si>
  <si>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</si>
  <si>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</si>
  <si>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</si>
  <si>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</si>
  <si>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</si>
  <si>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</si>
  <si>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</si>
  <si>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</si>
  <si>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</si>
  <si>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</si>
  <si>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</si>
  <si>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</si>
  <si>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</si>
  <si>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</si>
  <si>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</si>
  <si>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</si>
  <si>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</si>
  <si>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</si>
  <si>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</si>
  <si>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</si>
  <si>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</si>
  <si>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</si>
  <si>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</si>
  <si>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</si>
  <si>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</si>
  <si>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</si>
  <si>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</si>
  <si>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</si>
  <si>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</si>
  <si>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</si>
  <si>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</si>
  <si>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</si>
  <si>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</si>
  <si>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</si>
  <si>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</si>
  <si>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</si>
  <si>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</si>
  <si>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</si>
  <si>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</si>
  <si>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</si>
  <si>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</si>
  <si>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</si>
  <si>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</si>
  <si>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</si>
  <si>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</si>
  <si>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</si>
  <si>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</si>
  <si>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</si>
  <si>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</si>
  <si>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</si>
  <si>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</si>
  <si>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</si>
  <si>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</si>
  <si>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</si>
  <si>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</si>
  <si>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</si>
  <si>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</si>
  <si>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</si>
  <si>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</si>
  <si>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</si>
  <si>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</si>
  <si>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</si>
  <si>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</si>
  <si>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</si>
  <si>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</si>
  <si>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</si>
  <si>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</si>
  <si>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</si>
  <si>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</si>
  <si>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</si>
  <si>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</si>
  <si>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</si>
  <si>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</si>
  <si>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</si>
  <si>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</si>
  <si>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</si>
  <si>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</si>
  <si>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</si>
  <si>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</si>
  <si>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</si>
  <si>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</si>
  <si>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</si>
  <si>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</si>
  <si>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</si>
  <si>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</si>
  <si>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</si>
  <si>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</si>
  <si>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</si>
  <si>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</si>
  <si>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</si>
  <si>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</si>
  <si>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</si>
  <si>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</si>
  <si>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</si>
  <si>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</si>
  <si>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</si>
  <si>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</si>
  <si>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</si>
  <si>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</si>
  <si>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</si>
  <si>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</si>
  <si>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</si>
  <si>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</si>
  <si>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</si>
  <si>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</si>
  <si>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</si>
  <si>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</si>
  <si>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</si>
  <si>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</si>
  <si>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</si>
  <si>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</si>
  <si>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</si>
  <si>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</si>
  <si>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</si>
  <si>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</si>
  <si>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</si>
  <si>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</si>
  <si>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</si>
  <si>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</si>
  <si>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</si>
  <si>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</si>
  <si>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</si>
  <si>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</si>
  <si>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</si>
  <si>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</si>
  <si>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</si>
  <si>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</si>
  <si>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</si>
  <si>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</si>
  <si>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</si>
  <si>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</si>
  <si>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</si>
  <si>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</si>
  <si>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</si>
  <si>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</si>
  <si>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</si>
  <si>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</si>
  <si>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</si>
  <si>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</si>
  <si>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</si>
  <si>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</si>
  <si>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</si>
  <si>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</si>
  <si>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</si>
  <si>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</si>
  <si>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</si>
  <si>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</si>
  <si>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</si>
  <si>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</si>
  <si>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</si>
  <si>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</si>
  <si>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</si>
  <si>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</si>
  <si>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</si>
  <si>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</si>
  <si>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</si>
  <si>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</si>
  <si>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</si>
  <si>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</si>
  <si>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</si>
  <si>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</si>
  <si>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</si>
  <si>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</si>
  <si>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</si>
  <si>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</si>
  <si>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</si>
  <si>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</si>
  <si>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</si>
  <si>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</si>
  <si>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</si>
  <si>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</si>
  <si>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</si>
  <si>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</si>
  <si>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</si>
  <si>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</si>
  <si>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</si>
  <si>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</si>
  <si>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</si>
  <si>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</si>
  <si>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</si>
  <si>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</si>
  <si>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</si>
  <si>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</si>
  <si>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</si>
  <si>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</si>
  <si>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</si>
  <si>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</si>
  <si>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</si>
  <si>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</si>
  <si>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</si>
  <si>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</si>
  <si>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</si>
  <si>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</si>
  <si>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</si>
  <si>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</si>
  <si>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</si>
  <si>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</si>
  <si>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</si>
  <si>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</si>
  <si>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</si>
  <si>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</si>
  <si>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</si>
  <si>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</si>
  <si>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</si>
  <si>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</si>
  <si>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</si>
  <si>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</si>
  <si>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</si>
  <si>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</si>
  <si>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</si>
  <si>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</si>
  <si>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</si>
  <si>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</si>
  <si>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</si>
  <si>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</si>
  <si>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</si>
  <si>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</si>
  <si>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</si>
  <si>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</si>
  <si>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</si>
  <si>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</si>
  <si>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</si>
  <si>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</si>
  <si>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</si>
  <si>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</si>
  <si>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</si>
  <si>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</si>
  <si>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</si>
  <si>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</si>
  <si>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</si>
  <si>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</si>
  <si>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</si>
  <si>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</si>
  <si>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</si>
  <si>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</si>
  <si>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</si>
  <si>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</si>
  <si>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</si>
  <si>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</si>
  <si>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</si>
  <si>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</si>
  <si>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</si>
  <si>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</si>
  <si>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</si>
  <si>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</si>
  <si>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</si>
  <si>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</si>
  <si>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</si>
  <si>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</si>
  <si>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</si>
  <si>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</si>
  <si>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</si>
  <si>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</si>
  <si>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</si>
  <si>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</si>
  <si>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</si>
  <si>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</si>
  <si>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</si>
  <si>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</si>
  <si>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</si>
  <si>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</si>
  <si>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</si>
  <si>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</si>
  <si>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</si>
  <si>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</si>
  <si>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</si>
  <si>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</si>
  <si>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</si>
  <si>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</si>
  <si>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</si>
  <si>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</si>
  <si>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</si>
  <si>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</si>
  <si>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</si>
  <si>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</si>
  <si>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</si>
  <si>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</si>
  <si>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</si>
  <si>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</si>
  <si>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</si>
  <si>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</si>
  <si>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</si>
  <si>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</si>
  <si>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</si>
  <si>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</si>
  <si>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</si>
  <si>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</si>
  <si>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</si>
  <si>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</si>
  <si>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</si>
  <si>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</si>
  <si>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</si>
  <si>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</si>
  <si>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</si>
  <si>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</si>
  <si>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</si>
  <si>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</si>
  <si>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</si>
  <si>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</si>
  <si>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</si>
  <si>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</si>
  <si>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</si>
  <si>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</si>
  <si>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</si>
  <si>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</si>
  <si>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</si>
  <si>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</si>
  <si>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</si>
  <si>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</si>
  <si>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</si>
  <si>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</si>
  <si>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</si>
  <si>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</si>
  <si>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</si>
  <si>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</si>
  <si>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</si>
  <si>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</si>
  <si>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</si>
  <si>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</si>
  <si>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</si>
  <si>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</si>
  <si>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</si>
  <si>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</si>
  <si>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</si>
  <si>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</si>
  <si>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</si>
  <si>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</si>
  <si>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</si>
  <si>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</si>
  <si>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</si>
  <si>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</si>
  <si>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</si>
  <si>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</si>
  <si>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</si>
  <si>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</si>
  <si>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</si>
  <si>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</si>
  <si>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</si>
  <si>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</si>
  <si>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</si>
  <si>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</si>
  <si>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</si>
  <si>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</si>
  <si>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</si>
  <si>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</si>
  <si>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</si>
  <si>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</si>
  <si>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</si>
  <si>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</si>
  <si>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</si>
  <si>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</si>
  <si>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</si>
  <si>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</si>
  <si>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</si>
  <si>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</si>
  <si>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</si>
  <si>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</si>
  <si>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</si>
  <si>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</si>
  <si>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</si>
  <si>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</si>
  <si>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</si>
  <si>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</si>
  <si>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</si>
  <si>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</si>
  <si>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</si>
  <si>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</si>
  <si>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</si>
  <si>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</si>
  <si>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</si>
  <si>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</si>
  <si>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</si>
  <si>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</si>
  <si>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</si>
  <si>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</si>
  <si>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</si>
  <si>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</si>
  <si>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</si>
  <si>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</si>
  <si>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</si>
  <si>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</si>
  <si>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</si>
  <si>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</si>
  <si>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</si>
  <si>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</si>
  <si>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</si>
  <si>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</si>
  <si>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</si>
  <si>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</si>
  <si>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</si>
  <si>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</si>
  <si>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</si>
  <si>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</si>
  <si>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</si>
  <si>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</si>
  <si>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</si>
  <si>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</si>
  <si>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</si>
  <si>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</si>
  <si>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</si>
  <si>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</si>
  <si>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</si>
  <si>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</si>
  <si>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</si>
  <si>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</si>
  <si>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</si>
  <si>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</si>
  <si>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</si>
  <si>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</si>
  <si>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</si>
  <si>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</si>
  <si>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</si>
  <si>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</si>
  <si>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</si>
  <si>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</si>
  <si>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</si>
  <si>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</si>
  <si>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</si>
  <si>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</si>
  <si>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</si>
  <si>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</si>
  <si>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</si>
  <si>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</si>
  <si>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</si>
  <si>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</si>
  <si>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</si>
  <si>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</si>
  <si>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</si>
  <si>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</si>
  <si>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</si>
  <si>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</si>
  <si>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</si>
  <si>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</si>
  <si>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</si>
  <si>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</si>
  <si>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</si>
  <si>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</si>
  <si>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</si>
  <si>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</si>
  <si>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</si>
  <si>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</si>
  <si>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</si>
  <si>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</si>
  <si>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</si>
  <si>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</si>
  <si>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</si>
  <si>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</si>
  <si>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</si>
  <si>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</si>
  <si>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</si>
  <si>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</si>
  <si>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</si>
  <si>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</si>
  <si>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</si>
  <si>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</si>
  <si>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</si>
  <si>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</si>
  <si>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</si>
  <si>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</si>
  <si>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</si>
  <si>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</si>
  <si>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</si>
  <si>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</si>
  <si>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</si>
  <si>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</si>
  <si>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</si>
  <si>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</si>
  <si>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</si>
  <si>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</si>
  <si>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</si>
  <si>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</si>
  <si>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</si>
  <si>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</si>
  <si>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</si>
  <si>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</si>
  <si>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</si>
  <si>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</si>
  <si>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</si>
  <si>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</si>
  <si>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</si>
  <si>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</si>
  <si>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</si>
  <si>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</si>
  <si>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</si>
  <si>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</si>
  <si>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</si>
  <si>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</si>
  <si>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</si>
  <si>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</si>
  <si>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</si>
  <si>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</si>
  <si>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</si>
  <si>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</si>
  <si>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</si>
  <si>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</si>
  <si>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</si>
  <si>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</si>
  <si>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</si>
  <si>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</si>
  <si>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</si>
  <si>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</si>
  <si>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</si>
  <si>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</si>
  <si>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</si>
  <si>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</si>
  <si>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</si>
  <si>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</si>
  <si>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</si>
  <si>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</si>
  <si>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</si>
  <si>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</si>
  <si>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</si>
  <si>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</si>
  <si>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</si>
  <si>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</si>
  <si>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</si>
  <si>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</si>
  <si>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</si>
  <si>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</si>
  <si>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</si>
  <si>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</si>
  <si>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</si>
  <si>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</si>
  <si>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</si>
  <si>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</si>
  <si>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</si>
  <si>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</si>
  <si>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</si>
  <si>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</si>
  <si>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</si>
  <si>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</si>
  <si>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</si>
  <si>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</si>
  <si>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</si>
  <si>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</si>
  <si>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</si>
  <si>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</si>
  <si>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</si>
  <si>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</si>
  <si>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</si>
  <si>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</si>
  <si>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</si>
  <si>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</si>
  <si>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</si>
  <si>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</si>
  <si>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</si>
  <si>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</si>
  <si>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</si>
  <si>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</si>
  <si>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</si>
  <si>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</si>
  <si>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</si>
  <si>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</si>
  <si>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</si>
  <si>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</si>
  <si>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</si>
  <si>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</si>
  <si>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</si>
  <si>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</si>
  <si>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</si>
  <si>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</si>
  <si>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</si>
  <si>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</si>
  <si>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</si>
  <si>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</si>
  <si>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</si>
  <si>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</si>
  <si>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</si>
  <si>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</si>
  <si>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</si>
  <si>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</si>
  <si>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</si>
  <si>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</si>
  <si>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</si>
  <si>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</si>
  <si>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</si>
  <si>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</si>
  <si>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</si>
  <si>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</si>
  <si>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</si>
  <si>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</si>
  <si>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</si>
  <si>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</si>
  <si>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</si>
  <si>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</si>
  <si>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</si>
  <si>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</si>
  <si>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</si>
  <si>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</si>
  <si>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</si>
  <si>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</si>
  <si>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</si>
  <si>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</si>
  <si>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</si>
  <si>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</si>
  <si>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</si>
  <si>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</si>
  <si>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</si>
  <si>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</si>
  <si>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</si>
  <si>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</si>
  <si>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</si>
  <si>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</si>
  <si>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</si>
  <si>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</si>
  <si>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</si>
  <si>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</si>
  <si>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</si>
  <si>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</si>
  <si>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</si>
  <si>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</si>
  <si>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</si>
  <si>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</si>
  <si>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</si>
  <si>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</si>
  <si>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</si>
  <si>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</si>
  <si>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</si>
  <si>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</si>
  <si>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</si>
  <si>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</si>
  <si>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</si>
  <si>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</si>
  <si>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</si>
  <si>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</si>
  <si>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</si>
  <si>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</si>
  <si>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</si>
  <si>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</si>
  <si>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</si>
  <si>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</si>
  <si>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</si>
  <si>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</si>
  <si>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</si>
  <si>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</si>
  <si>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</si>
  <si>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</si>
  <si>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</si>
  <si>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</si>
  <si>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</si>
  <si>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</si>
  <si>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</si>
  <si>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</si>
  <si>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</si>
  <si>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</si>
  <si>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</si>
  <si>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</si>
  <si>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</si>
  <si>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</si>
  <si>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</si>
  <si>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</si>
  <si>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</si>
  <si>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</si>
  <si>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</si>
  <si>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</si>
  <si>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</si>
  <si>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</si>
  <si>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</si>
  <si>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</si>
  <si>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</si>
  <si>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</si>
  <si>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</si>
  <si>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</si>
  <si>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</si>
  <si>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</si>
  <si>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</si>
  <si>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</si>
  <si>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</si>
  <si>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</si>
  <si>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</si>
  <si>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</si>
  <si>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</si>
  <si>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</si>
  <si>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</si>
  <si>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</si>
  <si>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</si>
  <si>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</si>
  <si>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</si>
  <si>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</si>
  <si>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</si>
  <si>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</si>
  <si>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</si>
  <si>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</si>
  <si>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</si>
  <si>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</si>
  <si>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</si>
  <si>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</si>
  <si>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</si>
  <si>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</si>
  <si>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</si>
  <si>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</si>
  <si>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</si>
  <si>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</si>
  <si>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</si>
  <si>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</si>
  <si>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</si>
  <si>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</si>
  <si>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</si>
  <si>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</si>
  <si>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</si>
  <si>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</si>
  <si>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</si>
  <si>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</si>
  <si>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</si>
  <si>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</si>
  <si>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</si>
  <si>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</si>
  <si>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</si>
  <si>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</si>
  <si>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</si>
  <si>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</si>
  <si>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</si>
  <si>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</si>
  <si>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</si>
  <si>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</si>
  <si>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</si>
  <si>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</si>
  <si>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</si>
  <si>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</si>
  <si>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</si>
  <si>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</si>
  <si>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</si>
  <si>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</si>
  <si>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</si>
  <si>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</si>
  <si>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</si>
  <si>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</si>
  <si>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</si>
  <si>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</si>
  <si>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</si>
  <si>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</si>
  <si>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</si>
  <si>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</si>
  <si>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</si>
  <si>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</si>
  <si>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</si>
  <si>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</si>
  <si>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</si>
  <si>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</si>
  <si>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</si>
  <si>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</si>
  <si>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</si>
  <si>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</si>
  <si>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</si>
  <si>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</si>
  <si>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</si>
  <si>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</si>
  <si>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</si>
  <si>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</si>
  <si>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</si>
  <si>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</si>
  <si>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</si>
  <si>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</si>
  <si>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</si>
  <si>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</si>
  <si>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</si>
  <si>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</si>
  <si>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</si>
  <si>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</si>
  <si>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</si>
  <si>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</si>
  <si>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</si>
  <si>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</si>
  <si>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</si>
  <si>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</si>
  <si>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</si>
  <si>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</si>
  <si>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</si>
  <si>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</si>
  <si>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</si>
  <si>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</si>
  <si>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</si>
  <si>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</si>
  <si>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</si>
  <si>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</si>
  <si>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</si>
  <si>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</si>
  <si>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</si>
  <si>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</si>
  <si>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</si>
  <si>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</si>
  <si>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</si>
  <si>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</si>
  <si>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</si>
  <si>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</si>
  <si>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</si>
  <si>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</si>
  <si>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</si>
  <si>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</si>
  <si>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</si>
  <si>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</si>
  <si>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</si>
  <si>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</si>
  <si>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</si>
  <si>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</si>
  <si>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</si>
  <si>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</si>
  <si>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</si>
  <si>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</si>
  <si>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</si>
  <si>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</si>
  <si>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</si>
  <si>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</si>
  <si>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</si>
  <si>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</si>
  <si>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</si>
  <si>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</si>
  <si>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</si>
  <si>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</si>
  <si>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</si>
  <si>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</si>
  <si>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</si>
  <si>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</si>
  <si>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</si>
  <si>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</si>
  <si>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</si>
  <si>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</si>
  <si>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</si>
  <si>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</si>
  <si>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</si>
  <si>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</si>
  <si>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</si>
  <si>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</si>
  <si>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</si>
  <si>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</si>
  <si>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</si>
  <si>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</si>
  <si>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</si>
  <si>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</si>
  <si>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</si>
  <si>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</si>
  <si>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</si>
  <si>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</si>
  <si>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</si>
  <si>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</si>
  <si>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</si>
  <si>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</si>
  <si>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</si>
  <si>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</si>
  <si>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</si>
  <si>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</si>
  <si>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</si>
  <si>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</si>
  <si>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</si>
  <si>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</si>
  <si>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</si>
  <si>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</si>
  <si>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</si>
  <si>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</si>
  <si>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</si>
  <si>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</si>
  <si>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</si>
  <si>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</si>
  <si>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</si>
  <si>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</si>
  <si>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</si>
  <si>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</si>
  <si>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</si>
  <si>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</si>
  <si>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</si>
  <si>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</si>
  <si>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</si>
  <si>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</si>
  <si>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</si>
  <si>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</si>
  <si>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</si>
  <si>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</si>
  <si>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</si>
  <si>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</si>
  <si>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</si>
  <si>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</si>
  <si>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</si>
  <si>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</si>
  <si>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</si>
  <si>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</si>
  <si>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</si>
  <si>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</si>
  <si>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</si>
  <si>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</si>
  <si>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</si>
  <si>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</si>
  <si>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</si>
  <si>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</si>
  <si>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</si>
  <si>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</si>
  <si>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</si>
  <si>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</si>
  <si>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</si>
  <si>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</si>
  <si>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</si>
  <si>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</si>
  <si>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</si>
  <si>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</si>
  <si>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</si>
  <si>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</si>
  <si>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</si>
  <si>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</si>
  <si>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</si>
  <si>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</si>
  <si>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</si>
  <si>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</si>
  <si>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</si>
  <si>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</si>
  <si>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</si>
  <si>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</si>
  <si>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</si>
  <si>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</si>
  <si>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</si>
  <si>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</si>
  <si>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</si>
  <si>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</si>
  <si>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</si>
  <si>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</si>
  <si>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</si>
  <si>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</si>
  <si>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</si>
  <si>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</si>
  <si>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</si>
  <si>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</si>
  <si>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</si>
  <si>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</si>
  <si>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</si>
  <si>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</si>
  <si>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</si>
  <si>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</si>
  <si>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</si>
  <si>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</si>
  <si>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</si>
  <si>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</si>
  <si>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</si>
  <si>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</si>
  <si>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</si>
  <si>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</si>
  <si>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</si>
  <si>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</si>
  <si>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</si>
  <si>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</si>
  <si>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</si>
  <si>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</si>
  <si>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</si>
  <si>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</si>
  <si>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</si>
  <si>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</si>
  <si>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</si>
  <si>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</si>
  <si>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</si>
  <si>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</si>
  <si>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</si>
  <si>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</si>
  <si>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</si>
  <si>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</si>
  <si>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</si>
  <si>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</si>
  <si>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</si>
  <si>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</si>
  <si>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</si>
  <si>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</si>
  <si>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</si>
  <si>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</si>
  <si>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</si>
  <si>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</si>
  <si>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</si>
  <si>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</si>
  <si>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</si>
  <si>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</si>
  <si>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</si>
  <si>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</si>
  <si>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</si>
  <si>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</si>
  <si>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</si>
  <si>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</si>
  <si>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</si>
  <si>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</si>
  <si>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</si>
  <si>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</si>
  <si>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</si>
  <si>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</si>
  <si>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</si>
  <si>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</si>
  <si>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</si>
  <si>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</si>
  <si>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</si>
  <si>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</si>
  <si>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</si>
  <si>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</si>
  <si>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</si>
  <si>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</si>
  <si>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</si>
  <si>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</si>
  <si>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</si>
  <si>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</si>
  <si>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</si>
  <si>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</si>
  <si>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</si>
  <si>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</si>
  <si>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</si>
  <si>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</si>
  <si>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</si>
  <si>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</si>
  <si>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</si>
  <si>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</si>
  <si>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</si>
  <si>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</si>
  <si>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</si>
  <si>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</si>
  <si>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</si>
  <si>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</si>
  <si>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</si>
  <si>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</si>
  <si>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</si>
  <si>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</si>
  <si>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</si>
  <si>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</si>
  <si>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</si>
  <si>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</si>
  <si>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</si>
  <si>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</si>
  <si>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</si>
  <si>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</si>
  <si>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</si>
  <si>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</si>
  <si>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</si>
  <si>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</si>
  <si>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</si>
  <si>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</si>
  <si>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</si>
  <si>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</si>
  <si>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</si>
  <si>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</si>
  <si>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</si>
  <si>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</si>
  <si>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</si>
  <si>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</si>
  <si>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</si>
  <si>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</si>
  <si>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</si>
  <si>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</si>
  <si>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</si>
  <si>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</si>
  <si>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</si>
  <si>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</si>
  <si>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</si>
  <si>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</si>
  <si>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</si>
  <si>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</si>
  <si>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</si>
  <si>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</si>
  <si>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</si>
  <si>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</si>
  <si>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</si>
  <si>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</si>
  <si>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</si>
  <si>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</si>
  <si>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</si>
  <si>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</si>
  <si>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</si>
  <si>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</si>
  <si>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</si>
  <si>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</si>
  <si>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</si>
  <si>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</si>
  <si>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</si>
  <si>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</si>
  <si>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</si>
  <si>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</si>
  <si>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</si>
  <si>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</si>
  <si>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</si>
  <si>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</si>
  <si>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</si>
  <si>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</si>
  <si>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</si>
  <si>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</si>
  <si>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</si>
  <si>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</si>
  <si>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</si>
  <si>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</si>
  <si>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</si>
  <si>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</si>
  <si>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</si>
  <si>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</si>
  <si>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</si>
  <si>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</si>
  <si>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</si>
  <si>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</si>
  <si>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</si>
  <si>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</si>
  <si>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</si>
  <si>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</si>
  <si>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</si>
  <si>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</si>
  <si>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</si>
  <si>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</si>
  <si>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</si>
  <si>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</si>
  <si>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</si>
  <si>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</si>
  <si>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</si>
  <si>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</si>
  <si>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</si>
  <si>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</si>
  <si>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</si>
  <si>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</si>
  <si>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</si>
  <si>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</si>
  <si>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</si>
  <si>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</si>
  <si>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</si>
  <si>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</si>
  <si>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</si>
  <si>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</si>
  <si>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</si>
  <si>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</si>
  <si>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</si>
  <si>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</si>
  <si>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</si>
  <si>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</si>
  <si>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</si>
  <si>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</si>
  <si>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</si>
  <si>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</si>
  <si>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</si>
  <si>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</si>
  <si>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</si>
  <si>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</si>
  <si>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</si>
  <si>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</si>
  <si>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</si>
  <si>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</si>
  <si>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</si>
  <si>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</si>
  <si>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</si>
  <si>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</si>
  <si>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</si>
  <si>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</si>
  <si>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</si>
  <si>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</si>
  <si>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</si>
  <si>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</si>
  <si>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</si>
  <si>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</si>
  <si>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</si>
  <si>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</si>
  <si>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</si>
  <si>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</si>
  <si>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</si>
  <si>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</si>
  <si>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</si>
  <si>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</si>
  <si>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</si>
  <si>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</si>
  <si>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</si>
  <si>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</si>
  <si>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</si>
  <si>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</si>
  <si>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</si>
  <si>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</si>
  <si>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</si>
  <si>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</si>
  <si>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</si>
  <si>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</si>
  <si>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</si>
  <si>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</si>
  <si>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</si>
  <si>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</si>
  <si>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</si>
  <si>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</si>
  <si>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</si>
  <si>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</si>
  <si>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</si>
  <si>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</si>
  <si>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</si>
  <si>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</si>
  <si>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</si>
  <si>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</si>
  <si>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</si>
  <si>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</si>
  <si>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</si>
  <si>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</si>
  <si>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</si>
  <si>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</si>
  <si>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</si>
  <si>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</si>
  <si>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</si>
  <si>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</si>
  <si>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</si>
  <si>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</si>
  <si>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</si>
  <si>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</si>
  <si>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</si>
  <si>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</si>
  <si>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</si>
  <si>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</si>
  <si>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</si>
  <si>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</si>
  <si>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</si>
  <si>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</si>
  <si>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</si>
  <si>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</si>
  <si>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</si>
  <si>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</si>
  <si>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</si>
  <si>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</si>
  <si>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</si>
  <si>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</si>
  <si>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</si>
  <si>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</si>
  <si>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</si>
  <si>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</si>
  <si>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</si>
  <si>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</si>
  <si>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</si>
  <si>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</si>
  <si>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</si>
  <si>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</si>
  <si>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</si>
  <si>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</si>
  <si>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</si>
  <si>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</si>
  <si>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</si>
  <si>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</si>
  <si>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</si>
  <si>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</si>
  <si>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</si>
  <si>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</si>
  <si>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</si>
  <si>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</si>
  <si>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</si>
  <si>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</si>
  <si>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</si>
  <si>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</si>
  <si>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</si>
  <si>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</si>
  <si>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</si>
  <si>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</si>
  <si>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</si>
  <si>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</si>
  <si>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</si>
  <si>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</si>
  <si>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</si>
  <si>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</si>
  <si>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</si>
  <si>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</si>
  <si>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</si>
  <si>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</si>
  <si>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</si>
  <si>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</si>
  <si>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</si>
  <si>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</si>
  <si>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</si>
  <si>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</si>
  <si>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</si>
  <si>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</si>
  <si>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</si>
  <si>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</si>
  <si>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</si>
  <si>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</si>
  <si>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</si>
  <si>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</si>
  <si>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</si>
  <si>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</si>
  <si>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</si>
  <si>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</si>
  <si>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</si>
  <si>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</si>
  <si>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</si>
  <si>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</si>
  <si>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</si>
  <si>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</si>
  <si>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</si>
  <si>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</si>
  <si>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</si>
  <si>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</si>
  <si>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</si>
  <si>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</si>
  <si>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</si>
  <si>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</si>
  <si>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</si>
  <si>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</si>
  <si>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</si>
  <si>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</si>
  <si>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</si>
  <si>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</si>
  <si>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</si>
  <si>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</si>
  <si>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</si>
  <si>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</si>
  <si>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</si>
  <si>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</si>
  <si>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</si>
  <si>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</si>
  <si>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</si>
  <si>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</si>
  <si>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</si>
  <si>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</si>
  <si>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</si>
  <si>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</si>
  <si>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</si>
  <si>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</si>
  <si>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</si>
  <si>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</si>
  <si>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</si>
  <si>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</si>
  <si>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</si>
  <si>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</si>
  <si>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</si>
  <si>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</si>
  <si>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</si>
  <si>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</si>
  <si>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</si>
  <si>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</si>
  <si>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</si>
  <si>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</si>
  <si>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</si>
  <si>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</si>
  <si>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</si>
  <si>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</si>
  <si>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</si>
  <si>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</si>
  <si>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</si>
  <si>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</si>
  <si>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</si>
  <si>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</si>
  <si>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</si>
  <si>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</si>
  <si>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</si>
  <si>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</si>
  <si>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</si>
  <si>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</si>
  <si>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</si>
  <si>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</si>
  <si>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</si>
  <si>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</si>
  <si>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</si>
  <si>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</si>
  <si>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</si>
  <si>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</si>
  <si>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</si>
  <si>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</si>
  <si>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</si>
  <si>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</si>
  <si>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</si>
  <si>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</si>
  <si>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</si>
  <si>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</si>
  <si>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</si>
  <si>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</si>
  <si>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</si>
  <si>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</si>
  <si>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</si>
  <si>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</si>
  <si>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</si>
  <si>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</si>
  <si>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</si>
  <si>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</si>
  <si>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</si>
  <si>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</si>
  <si>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</si>
  <si>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</si>
  <si>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</si>
  <si>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</si>
  <si>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</si>
  <si>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</si>
  <si>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</si>
  <si>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</si>
  <si>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</si>
  <si>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</si>
  <si>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</si>
  <si>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</si>
  <si>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</si>
  <si>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</si>
  <si>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</si>
  <si>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</si>
  <si>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</si>
  <si>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</si>
  <si>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</si>
  <si>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</si>
  <si>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</si>
  <si>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</si>
  <si>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</si>
  <si>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</si>
  <si>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</si>
  <si>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</si>
  <si>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</si>
  <si>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</si>
  <si>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</si>
  <si>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</si>
  <si>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</si>
  <si>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</si>
  <si>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</si>
  <si>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</si>
  <si>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</si>
  <si>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</si>
  <si>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</si>
  <si>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</si>
  <si>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</si>
  <si>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</si>
  <si>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</si>
  <si>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</si>
  <si>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</si>
  <si>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</si>
  <si>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</si>
  <si>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</si>
  <si>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</si>
  <si>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</si>
  <si>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</si>
  <si>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</si>
  <si>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</si>
  <si>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</si>
  <si>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</si>
  <si>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</si>
  <si>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</si>
  <si>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</si>
  <si>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</si>
  <si>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</si>
  <si>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</si>
  <si>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</si>
  <si>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</si>
  <si>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</si>
  <si>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</si>
  <si>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</si>
  <si>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</si>
  <si>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</si>
  <si>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</si>
  <si>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</si>
  <si>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</si>
  <si>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</si>
  <si>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</si>
  <si>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</si>
  <si>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</si>
  <si>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</si>
  <si>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</si>
  <si>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</si>
  <si>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</si>
  <si>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</si>
  <si>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</si>
  <si>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</si>
  <si>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</si>
  <si>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</si>
  <si>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</si>
  <si>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</si>
  <si>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</si>
  <si>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</si>
  <si>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</si>
  <si>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</si>
  <si>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</si>
  <si>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</si>
  <si>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</si>
  <si>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</si>
  <si>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</si>
  <si>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</si>
  <si>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</si>
  <si>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</si>
  <si>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</si>
  <si>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</si>
  <si>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</si>
  <si>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</si>
  <si>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</si>
  <si>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</si>
  <si>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</si>
  <si>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</si>
  <si>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</si>
  <si>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</si>
  <si>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</si>
  <si>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</si>
  <si>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</si>
  <si>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</si>
  <si>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</si>
  <si>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</si>
  <si>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</si>
  <si>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</si>
  <si>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</si>
  <si>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</si>
  <si>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</si>
  <si>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</si>
  <si>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</si>
  <si>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</si>
  <si>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</si>
  <si>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</si>
  <si>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</si>
  <si>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</si>
  <si>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</si>
  <si>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</si>
  <si>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</si>
  <si>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</si>
  <si>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</si>
  <si>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</si>
  <si>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</si>
  <si>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</si>
  <si>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</si>
  <si>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</si>
  <si>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</si>
  <si>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</si>
  <si>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</si>
  <si>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</si>
  <si>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</si>
  <si>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</si>
  <si>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</si>
  <si>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</si>
  <si>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</si>
  <si>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</si>
  <si>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</si>
  <si>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</si>
  <si>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</si>
  <si>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</si>
  <si>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</si>
  <si>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</si>
  <si>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</si>
  <si>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</si>
  <si>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</si>
  <si>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</si>
  <si>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</si>
  <si>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</si>
  <si>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</si>
  <si>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</si>
  <si>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</si>
  <si>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</si>
  <si>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</si>
  <si>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</si>
  <si>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</si>
  <si>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</si>
  <si>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</si>
  <si>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</si>
  <si>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</si>
  <si>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</si>
  <si>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</si>
  <si>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</si>
  <si>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</si>
  <si>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</si>
  <si>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</si>
  <si>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</si>
  <si>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</si>
  <si>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</si>
  <si>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</si>
  <si>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</si>
  <si>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</si>
  <si>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</si>
  <si>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</si>
  <si>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</si>
  <si>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</si>
  <si>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</si>
  <si>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</si>
  <si>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</si>
  <si>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</si>
  <si>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</si>
  <si>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</si>
  <si>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</si>
  <si>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</si>
  <si>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</si>
  <si>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</si>
  <si>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</si>
  <si>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</si>
  <si>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</si>
  <si>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</si>
  <si>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</si>
  <si>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</si>
  <si>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</si>
  <si>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</si>
  <si>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</si>
  <si>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</si>
  <si>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</si>
  <si>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</si>
  <si>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</si>
  <si>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</si>
  <si>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</si>
  <si>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</si>
  <si>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</si>
  <si>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</si>
  <si>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</si>
  <si>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</si>
  <si>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</si>
  <si>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</si>
  <si>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</si>
  <si>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</si>
  <si>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</si>
  <si>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</si>
  <si>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</si>
  <si>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</si>
  <si>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</si>
  <si>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</si>
  <si>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</si>
  <si>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</si>
  <si>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</si>
  <si>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</si>
  <si>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</si>
  <si>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</si>
  <si>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</si>
  <si>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</si>
  <si>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</si>
  <si>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</si>
  <si>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</si>
  <si>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</si>
  <si>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</si>
  <si>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</si>
  <si>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</si>
  <si>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</si>
  <si>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</si>
  <si>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</si>
  <si>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</si>
  <si>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</si>
  <si>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</si>
  <si>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</si>
  <si>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</si>
  <si>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</si>
  <si>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</si>
  <si>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</si>
  <si>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</si>
  <si>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</si>
  <si>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</si>
  <si>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</si>
  <si>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</si>
  <si>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</si>
  <si>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</si>
  <si>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</si>
  <si>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</si>
  <si>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</si>
  <si>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</si>
  <si>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</si>
  <si>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</si>
  <si>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</si>
  <si>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</si>
  <si>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</si>
  <si>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</si>
  <si>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</si>
  <si>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</si>
  <si>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</si>
  <si>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</si>
  <si>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</si>
  <si>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</si>
  <si>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</si>
  <si>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</si>
  <si>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</si>
  <si>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</si>
  <si>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</si>
  <si>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</si>
  <si>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</si>
  <si>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</si>
  <si>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</si>
  <si>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</si>
  <si>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</si>
  <si>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</si>
  <si>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</si>
  <si>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</si>
  <si>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</si>
  <si>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</si>
  <si>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</si>
  <si>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</si>
  <si>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</si>
  <si>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</si>
  <si>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</si>
  <si>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</si>
  <si>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</si>
  <si>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</si>
  <si>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</si>
  <si>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</si>
  <si>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</si>
  <si>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</si>
  <si>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</si>
  <si>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</si>
  <si>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</si>
  <si>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</si>
  <si>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</si>
  <si>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</si>
  <si>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</si>
  <si>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</si>
  <si>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</si>
  <si>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</si>
  <si>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</si>
  <si>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</si>
  <si>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</si>
  <si>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</si>
  <si>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</si>
  <si>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</si>
  <si>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</si>
  <si>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</si>
  <si>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</si>
  <si>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</si>
  <si>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</si>
  <si>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</si>
  <si>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</si>
  <si>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</si>
  <si>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</si>
  <si>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</si>
  <si>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</si>
  <si>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</si>
  <si>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</si>
  <si>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</si>
  <si>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</si>
  <si>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</si>
  <si>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</si>
  <si>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</si>
  <si>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</si>
  <si>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</si>
  <si>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</si>
  <si>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</si>
  <si>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</si>
  <si>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</si>
  <si>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</si>
  <si>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</si>
  <si>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</si>
  <si>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</si>
  <si>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</si>
  <si>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</si>
  <si>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</si>
  <si>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</si>
  <si>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</si>
  <si>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</si>
  <si>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</si>
  <si>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</si>
  <si>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</si>
  <si>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</si>
  <si>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</si>
  <si>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</si>
  <si>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</si>
  <si>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</si>
  <si>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</si>
  <si>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</si>
  <si>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</si>
  <si>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</si>
  <si>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</si>
  <si>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</si>
  <si>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</si>
  <si>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</si>
  <si>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</si>
  <si>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</si>
  <si>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</si>
  <si>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</si>
  <si>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</si>
  <si>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</si>
  <si>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</si>
  <si>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</si>
  <si>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</si>
  <si>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</si>
  <si>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</si>
  <si>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</si>
  <si>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</si>
  <si>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</si>
  <si>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</si>
  <si>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</si>
  <si>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</si>
  <si>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</si>
  <si>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</si>
  <si>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</si>
  <si>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</si>
  <si>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</si>
  <si>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</si>
  <si>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</si>
  <si>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</si>
  <si>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</si>
  <si>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</si>
  <si>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</si>
  <si>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</si>
  <si>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</si>
  <si>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</si>
  <si>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</si>
  <si>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</si>
  <si>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</si>
  <si>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</si>
  <si>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</si>
  <si>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</si>
  <si>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</si>
  <si>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</si>
  <si>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</si>
  <si>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</si>
  <si>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</si>
  <si>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</si>
  <si>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</si>
  <si>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</si>
  <si>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</si>
  <si>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</si>
  <si>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</si>
  <si>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</si>
  <si>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</si>
  <si>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</si>
  <si>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</si>
  <si>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</si>
  <si>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</si>
  <si>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</si>
  <si>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</si>
  <si>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</si>
  <si>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</si>
  <si>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</si>
  <si>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</si>
  <si>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</si>
  <si>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</si>
  <si>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</si>
  <si>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</si>
  <si>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</si>
  <si>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</si>
  <si>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</si>
  <si>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</si>
  <si>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</si>
  <si>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</si>
  <si>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</si>
  <si>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</si>
  <si>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</si>
  <si>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</si>
  <si>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</si>
  <si>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</si>
  <si>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</si>
  <si>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</si>
  <si>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</si>
  <si>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</si>
  <si>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</si>
  <si>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</si>
  <si>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</si>
  <si>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</si>
  <si>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</si>
  <si>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</si>
  <si>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</si>
  <si>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</si>
  <si>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</si>
  <si>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</si>
  <si>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</si>
  <si>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</si>
  <si>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</si>
  <si>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</si>
  <si>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</si>
  <si>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</si>
  <si>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</si>
  <si>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</si>
  <si>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</si>
  <si>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</si>
  <si>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</si>
  <si>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</si>
  <si>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</si>
  <si>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</si>
  <si>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</si>
  <si>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</si>
  <si>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</si>
  <si>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</si>
  <si>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</si>
  <si>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</si>
  <si>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</si>
  <si>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</si>
  <si>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</si>
  <si>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</si>
  <si>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</si>
  <si>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</si>
  <si>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</si>
  <si>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</si>
  <si>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</si>
  <si>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</si>
  <si>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</si>
  <si>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</si>
  <si>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</si>
  <si>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</si>
  <si>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</si>
  <si>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</si>
  <si>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</si>
  <si>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</si>
  <si>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</si>
  <si>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</si>
  <si>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</si>
  <si>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</si>
  <si>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</si>
  <si>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</si>
  <si>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</si>
  <si>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</si>
  <si>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</si>
  <si>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</si>
  <si>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</si>
  <si>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</si>
  <si>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</si>
  <si>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</si>
  <si>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</si>
  <si>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</si>
  <si>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</si>
  <si>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</si>
  <si>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</si>
  <si>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</si>
  <si>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</si>
  <si>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</si>
  <si>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</si>
  <si>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</si>
  <si>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</si>
  <si>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</si>
  <si>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</si>
  <si>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</si>
  <si>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</si>
  <si>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</si>
  <si>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</si>
  <si>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</si>
  <si>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</si>
  <si>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</si>
  <si>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</si>
  <si>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</si>
  <si>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</si>
  <si>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</si>
  <si>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</si>
  <si>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</si>
  <si>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</si>
  <si>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</si>
  <si>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</si>
  <si>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</si>
  <si>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</si>
  <si>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</si>
  <si>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</si>
  <si>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</si>
  <si>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</si>
  <si>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</si>
  <si>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</si>
  <si>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</si>
  <si>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</si>
  <si>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</si>
  <si>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</si>
  <si>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</si>
  <si>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</si>
  <si>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</si>
  <si>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</si>
  <si>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</si>
  <si>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</si>
  <si>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</si>
  <si>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</si>
  <si>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</si>
  <si>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</si>
  <si>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</si>
  <si>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</si>
  <si>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</si>
  <si>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</si>
  <si>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</si>
  <si>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</si>
  <si>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</si>
  <si>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</si>
  <si>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</si>
  <si>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</si>
  <si>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</si>
  <si>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</si>
  <si>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</si>
  <si>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</si>
  <si>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</si>
  <si>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</si>
  <si>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</si>
  <si>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</si>
  <si>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</si>
  <si>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</si>
  <si>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</si>
  <si>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</si>
  <si>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</si>
  <si>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</si>
  <si>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</si>
  <si>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</si>
  <si>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</si>
  <si>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</si>
  <si>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</si>
  <si>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</si>
  <si>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</si>
  <si>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</si>
  <si>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</si>
  <si>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</si>
  <si>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</si>
  <si>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</si>
  <si>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</si>
  <si>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</si>
  <si>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</si>
  <si>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</si>
  <si>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</si>
  <si>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</si>
  <si>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</si>
  <si>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</si>
  <si>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</si>
  <si>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</si>
  <si>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</si>
  <si>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</si>
  <si>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</si>
  <si>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</si>
  <si>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</si>
  <si>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</si>
  <si>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</si>
  <si>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</si>
  <si>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</si>
  <si>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</si>
  <si>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</si>
  <si>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</si>
  <si>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</si>
  <si>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</si>
  <si>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</si>
  <si>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</si>
  <si>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</si>
  <si>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</si>
  <si>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</si>
  <si>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</si>
  <si>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</si>
  <si>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</si>
  <si>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</si>
  <si>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</si>
  <si>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</si>
  <si>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</si>
  <si>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</si>
  <si>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</si>
  <si>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</si>
  <si>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</si>
  <si>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</si>
  <si>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</si>
  <si>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</si>
  <si>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</si>
  <si>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</si>
  <si>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</si>
  <si>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</si>
  <si>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</si>
  <si>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</si>
  <si>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</si>
  <si>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</si>
  <si>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</si>
  <si>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</si>
  <si>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</si>
  <si>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</si>
  <si>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</si>
  <si>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</si>
  <si>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</si>
  <si>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</si>
  <si>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</si>
  <si>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</si>
  <si>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</si>
  <si>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</si>
  <si>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</si>
  <si>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</si>
  <si>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</si>
  <si>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</si>
  <si>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</si>
  <si>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</si>
  <si>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</si>
  <si>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</si>
  <si>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</si>
  <si>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</si>
  <si>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</si>
  <si>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</si>
  <si>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</si>
  <si>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</si>
  <si>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</si>
  <si>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</si>
  <si>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</si>
  <si>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</si>
  <si>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</si>
  <si>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</si>
  <si>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</si>
  <si>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</si>
  <si>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</si>
  <si>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</si>
  <si>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</si>
  <si>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</si>
  <si>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</si>
  <si>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</si>
  <si>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</si>
  <si>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</si>
  <si>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</si>
  <si>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</si>
  <si>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</si>
  <si>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</si>
  <si>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</si>
  <si>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</si>
  <si>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</si>
  <si>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</si>
  <si>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</si>
  <si>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</si>
  <si>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</si>
  <si>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</si>
  <si>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</si>
  <si>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</si>
  <si>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</si>
  <si>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</si>
  <si>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</si>
  <si>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</si>
  <si>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</si>
  <si>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</si>
  <si>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</si>
  <si>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</si>
  <si>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</si>
  <si>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</si>
  <si>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</si>
  <si>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</si>
  <si>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</si>
  <si>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</si>
  <si>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</si>
  <si>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</si>
  <si>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</si>
  <si>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</si>
  <si>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</si>
  <si>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</si>
  <si>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</si>
  <si>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</si>
  <si>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</si>
  <si>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</si>
  <si>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</si>
  <si>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</si>
  <si>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</si>
  <si>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</si>
  <si>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</si>
  <si>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</si>
  <si>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</si>
  <si>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</si>
  <si>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</si>
  <si>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</si>
  <si>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</si>
  <si>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</si>
  <si>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</si>
  <si>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</si>
  <si>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</si>
  <si>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</si>
  <si>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</si>
  <si>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</si>
  <si>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</si>
  <si>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</si>
  <si>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</si>
  <si>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</si>
  <si>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</si>
  <si>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</si>
  <si>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</si>
  <si>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</si>
  <si>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</si>
  <si>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</si>
  <si>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</si>
  <si>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</si>
  <si>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</si>
  <si>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</si>
  <si>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</si>
  <si>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</si>
  <si>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</si>
  <si>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</si>
  <si>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</si>
  <si>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</si>
  <si>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</si>
  <si>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</si>
  <si>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</si>
  <si>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</si>
  <si>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</si>
  <si>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</si>
  <si>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</si>
  <si>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</si>
  <si>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</si>
  <si>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</si>
  <si>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</si>
  <si>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</si>
  <si>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</si>
  <si>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</si>
  <si>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</si>
  <si>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</si>
  <si>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</si>
  <si>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</si>
  <si>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</si>
  <si>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</si>
  <si>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</si>
  <si>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</si>
  <si>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</si>
  <si>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</si>
  <si>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</si>
  <si>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</si>
  <si>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</si>
  <si>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</si>
  <si>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</si>
  <si>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</si>
  <si>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</si>
  <si>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</si>
  <si>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</si>
  <si>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</si>
  <si>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</si>
  <si>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</si>
  <si>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</si>
  <si>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</si>
  <si>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</si>
  <si>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</si>
  <si>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</si>
  <si>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</si>
  <si>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</si>
  <si>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</si>
  <si>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</si>
  <si>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</si>
  <si>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</si>
  <si>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</si>
  <si>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</si>
  <si>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</si>
  <si>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</si>
  <si>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</si>
  <si>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</si>
  <si>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</si>
  <si>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</si>
  <si>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</si>
  <si>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</si>
  <si>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</si>
  <si>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</si>
  <si>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</si>
  <si>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</si>
  <si>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</si>
  <si>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</si>
  <si>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</si>
  <si>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</si>
  <si>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</si>
  <si>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</si>
  <si>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</si>
  <si>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</si>
  <si>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</si>
  <si>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</si>
  <si>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</si>
  <si>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</si>
  <si>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</si>
  <si>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</si>
  <si>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</si>
  <si>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</si>
  <si>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</si>
  <si>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</si>
  <si>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</si>
  <si>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</si>
  <si>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</si>
  <si>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</si>
  <si>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</si>
  <si>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</si>
  <si>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</si>
  <si>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</si>
  <si>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</si>
  <si>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</si>
  <si>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</si>
  <si>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</si>
  <si>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</si>
  <si>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</si>
  <si>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</si>
  <si>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</si>
  <si>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</si>
  <si>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</si>
  <si>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</si>
  <si>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</si>
  <si>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</si>
  <si>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</si>
  <si>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</si>
  <si>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</si>
  <si>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</si>
  <si>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</si>
  <si>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</si>
  <si>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</si>
  <si>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</si>
  <si>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</si>
  <si>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</si>
  <si>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</si>
  <si>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</si>
  <si>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</si>
  <si>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</si>
  <si>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</si>
  <si>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</si>
  <si>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</si>
  <si>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</si>
  <si>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</si>
  <si>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</si>
  <si>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</si>
  <si>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</si>
  <si>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</si>
  <si>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</si>
  <si>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</si>
  <si>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</si>
  <si>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</si>
  <si>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</si>
  <si>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</si>
  <si>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</si>
  <si>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</si>
  <si>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</si>
  <si>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</si>
  <si>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</si>
  <si>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</si>
  <si>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</si>
  <si>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</si>
  <si>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</si>
  <si>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</si>
  <si>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</si>
  <si>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</si>
  <si>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</si>
  <si>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</si>
  <si>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</si>
  <si>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</si>
  <si>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</si>
  <si>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</si>
  <si>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</si>
  <si>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</si>
  <si>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</si>
  <si>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</si>
  <si>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</si>
  <si>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</si>
  <si>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</si>
  <si>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</si>
  <si>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</si>
  <si>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</si>
  <si>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</si>
  <si>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</si>
  <si>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</si>
  <si>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</si>
  <si>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</si>
  <si>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</si>
  <si>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</si>
  <si>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</si>
  <si>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</si>
  <si>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</si>
  <si>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</si>
  <si>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</si>
  <si>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</si>
  <si>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</si>
  <si>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</si>
  <si>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</si>
  <si>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</si>
  <si>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</si>
  <si>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</si>
  <si>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</si>
  <si>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</si>
  <si>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</si>
  <si>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</si>
  <si>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</si>
  <si>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</si>
  <si>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</si>
  <si>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</si>
  <si>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</si>
  <si>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</si>
  <si>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</si>
  <si>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王鹏</t>
  </si>
  <si>
    <t>郑燚</t>
  </si>
  <si>
    <t>北京睿利众屹软件有限公司</t>
    <phoneticPr fontId="6" type="noConversion"/>
  </si>
  <si>
    <t>兴业银行股份有限公司北京通州支行</t>
    <phoneticPr fontId="6" type="noConversion"/>
  </si>
  <si>
    <t>抵押</t>
  </si>
  <si>
    <t>房地产市场价值</t>
  </si>
  <si>
    <t>北京市</t>
  </si>
  <si>
    <t>自然人</t>
  </si>
  <si>
    <t>出让</t>
  </si>
  <si>
    <t>是</t>
  </si>
  <si>
    <t>办公项目</t>
  </si>
  <si>
    <t>否</t>
  </si>
  <si>
    <t>现房</t>
  </si>
  <si>
    <t>通路</t>
  </si>
  <si>
    <t>通电</t>
  </si>
  <si>
    <t>通讯</t>
  </si>
  <si>
    <t>通上水</t>
  </si>
  <si>
    <t>通下水</t>
  </si>
  <si>
    <t>通热</t>
  </si>
  <si>
    <t>平整</t>
  </si>
  <si>
    <t>地上</t>
  </si>
  <si>
    <t>底商</t>
  </si>
  <si>
    <t>典型办公</t>
  </si>
  <si>
    <t>典型办公</t>
    <phoneticPr fontId="7" type="noConversion"/>
  </si>
  <si>
    <t>其他用房</t>
    <phoneticPr fontId="7" type="noConversion"/>
  </si>
  <si>
    <t>成新度</t>
  </si>
  <si>
    <t>押一</t>
  </si>
  <si>
    <t>钢混</t>
  </si>
  <si>
    <t>非生产用房</t>
  </si>
  <si>
    <t>售价</t>
  </si>
  <si>
    <t>比较法-商业</t>
  </si>
  <si>
    <t>正常</t>
  </si>
  <si>
    <t>办公</t>
    <phoneticPr fontId="31" type="noConversion"/>
  </si>
  <si>
    <t>30-40（含）</t>
  </si>
  <si>
    <t>一般</t>
  </si>
  <si>
    <t>较好</t>
  </si>
  <si>
    <t>七通</t>
  </si>
  <si>
    <t>单面临街</t>
  </si>
  <si>
    <t>单面临街</t>
    <phoneticPr fontId="31" type="noConversion"/>
  </si>
  <si>
    <t>多面临街</t>
    <phoneticPr fontId="31" type="noConversion"/>
  </si>
  <si>
    <t>较小</t>
    <phoneticPr fontId="31" type="noConversion"/>
  </si>
  <si>
    <t>一般</t>
    <phoneticPr fontId="31" type="noConversion"/>
  </si>
  <si>
    <t>较大</t>
    <phoneticPr fontId="31" type="noConversion"/>
  </si>
  <si>
    <t>较差</t>
    <phoneticPr fontId="31" type="noConversion"/>
  </si>
  <si>
    <t>较好</t>
    <phoneticPr fontId="31" type="noConversion"/>
  </si>
  <si>
    <t>不临街</t>
    <phoneticPr fontId="31" type="noConversion"/>
  </si>
  <si>
    <t>较好</t>
    <phoneticPr fontId="31" type="noConversion"/>
  </si>
  <si>
    <t>一层</t>
  </si>
  <si>
    <t>一层</t>
    <phoneticPr fontId="31" type="noConversion"/>
  </si>
  <si>
    <t>二层</t>
    <phoneticPr fontId="31" type="noConversion"/>
  </si>
  <si>
    <t>三层</t>
    <phoneticPr fontId="31" type="noConversion"/>
  </si>
  <si>
    <t>底商</t>
    <phoneticPr fontId="31" type="noConversion"/>
  </si>
  <si>
    <t>钢混</t>
    <phoneticPr fontId="31" type="noConversion"/>
  </si>
  <si>
    <t>精装</t>
    <phoneticPr fontId="31" type="noConversion"/>
  </si>
  <si>
    <t>六通</t>
    <phoneticPr fontId="31" type="noConversion"/>
  </si>
  <si>
    <t>七通</t>
    <phoneticPr fontId="31" type="noConversion"/>
  </si>
  <si>
    <t>六通</t>
    <phoneticPr fontId="31" type="noConversion"/>
  </si>
  <si>
    <t>标准层高</t>
  </si>
  <si>
    <t>标准层高</t>
    <phoneticPr fontId="31" type="noConversion"/>
  </si>
  <si>
    <t>超高层高</t>
  </si>
  <si>
    <t>超高层高</t>
    <phoneticPr fontId="31" type="noConversion"/>
  </si>
  <si>
    <t>精装</t>
    <phoneticPr fontId="31" type="noConversion"/>
  </si>
  <si>
    <t>普装</t>
    <phoneticPr fontId="31" type="noConversion"/>
  </si>
  <si>
    <t>简装</t>
    <phoneticPr fontId="31" type="noConversion"/>
  </si>
  <si>
    <t>毛坯</t>
    <phoneticPr fontId="31" type="noConversion"/>
  </si>
  <si>
    <t>收益法 (元)</t>
  </si>
  <si>
    <t>楼面单价</t>
  </si>
  <si>
    <t>临街状况</t>
    <phoneticPr fontId="3" type="noConversion"/>
  </si>
  <si>
    <t>多面临街</t>
    <phoneticPr fontId="25" type="noConversion"/>
  </si>
  <si>
    <t>双面临街</t>
    <phoneticPr fontId="25" type="noConversion"/>
  </si>
  <si>
    <t>单面临街</t>
    <phoneticPr fontId="25" type="noConversion"/>
  </si>
  <si>
    <t>不临街</t>
    <phoneticPr fontId="25" type="noConversion"/>
  </si>
  <si>
    <t>是否含地下室</t>
    <phoneticPr fontId="3" type="noConversion"/>
  </si>
  <si>
    <t>是</t>
    <phoneticPr fontId="25" type="noConversion"/>
  </si>
  <si>
    <t>否</t>
    <phoneticPr fontId="25" type="noConversion"/>
  </si>
  <si>
    <t>情况4</t>
  </si>
  <si>
    <t>面积</t>
    <phoneticPr fontId="140" type="noConversion"/>
  </si>
  <si>
    <t>单价</t>
    <phoneticPr fontId="140" type="noConversion"/>
  </si>
  <si>
    <t>总值</t>
    <phoneticPr fontId="140" type="noConversion"/>
  </si>
  <si>
    <t>房号</t>
    <phoneticPr fontId="140" type="noConversion"/>
  </si>
  <si>
    <r>
      <t>F</t>
    </r>
    <r>
      <rPr>
        <sz val="11"/>
        <color theme="1"/>
        <rFont val="宋体"/>
        <family val="3"/>
        <charset val="134"/>
        <scheme val="minor"/>
      </rPr>
      <t>01总值</t>
    </r>
    <phoneticPr fontId="140" type="noConversion"/>
  </si>
  <si>
    <t>租金</t>
  </si>
  <si>
    <t>比较法-办公</t>
  </si>
  <si>
    <t>办公</t>
    <phoneticPr fontId="32" type="noConversion"/>
  </si>
  <si>
    <t>六通</t>
  </si>
  <si>
    <t>高速路</t>
    <phoneticPr fontId="32" type="noConversion"/>
  </si>
  <si>
    <t>快速路</t>
    <phoneticPr fontId="32" type="noConversion"/>
  </si>
  <si>
    <t>主干道</t>
  </si>
  <si>
    <t>主干道</t>
    <phoneticPr fontId="32" type="noConversion"/>
  </si>
  <si>
    <t>次干道</t>
  </si>
  <si>
    <t>次干道</t>
    <phoneticPr fontId="32" type="noConversion"/>
  </si>
  <si>
    <t>支路</t>
    <phoneticPr fontId="32" type="noConversion"/>
  </si>
  <si>
    <t>一层</t>
    <phoneticPr fontId="32" type="noConversion"/>
  </si>
  <si>
    <t>二层</t>
    <phoneticPr fontId="32" type="noConversion"/>
  </si>
  <si>
    <t>三层</t>
    <phoneticPr fontId="32" type="noConversion"/>
  </si>
  <si>
    <t>南</t>
    <phoneticPr fontId="32" type="noConversion"/>
  </si>
  <si>
    <t>精装</t>
    <phoneticPr fontId="32" type="noConversion"/>
  </si>
  <si>
    <t>普通</t>
    <phoneticPr fontId="32" type="noConversion"/>
  </si>
  <si>
    <t>六通</t>
    <phoneticPr fontId="32" type="noConversion"/>
  </si>
  <si>
    <t>七通</t>
    <phoneticPr fontId="32" type="noConversion"/>
  </si>
  <si>
    <t>低层</t>
    <phoneticPr fontId="32" type="noConversion"/>
  </si>
  <si>
    <t>六通</t>
    <phoneticPr fontId="32" type="noConversion"/>
  </si>
  <si>
    <t>专业</t>
  </si>
  <si>
    <t>专业</t>
    <phoneticPr fontId="32" type="noConversion"/>
  </si>
  <si>
    <t>商业</t>
    <phoneticPr fontId="31" type="noConversion"/>
  </si>
  <si>
    <t>可餐饮</t>
  </si>
  <si>
    <t>可餐饮</t>
    <phoneticPr fontId="31" type="noConversion"/>
  </si>
  <si>
    <t>不可餐饮</t>
  </si>
  <si>
    <t>不可餐饮</t>
    <phoneticPr fontId="31" type="noConversion"/>
  </si>
  <si>
    <t>商业</t>
    <phoneticPr fontId="32" type="noConversion"/>
  </si>
  <si>
    <t>底商</t>
    <phoneticPr fontId="32" type="noConversion"/>
  </si>
  <si>
    <t>钢混</t>
    <phoneticPr fontId="32" type="noConversion"/>
  </si>
  <si>
    <t>按租金收入计税</t>
  </si>
  <si>
    <t>蓝色标记位估价对象</t>
    <phoneticPr fontId="140" type="noConversion"/>
  </si>
  <si>
    <t>红色标记为案例所在位置</t>
    <phoneticPr fontId="140" type="noConversion"/>
  </si>
  <si>
    <t>旭辉空港中心</t>
    <phoneticPr fontId="3" type="noConversion"/>
  </si>
  <si>
    <t>旭辉26街区</t>
    <phoneticPr fontId="3" type="noConversion"/>
  </si>
  <si>
    <t>A</t>
    <phoneticPr fontId="3" type="noConversion"/>
  </si>
  <si>
    <t>B</t>
    <phoneticPr fontId="3" type="noConversion"/>
  </si>
  <si>
    <t>C</t>
    <phoneticPr fontId="3" type="noConversion"/>
  </si>
  <si>
    <t>顺义区小天竺路1号院</t>
    <phoneticPr fontId="3" type="noConversion"/>
  </si>
  <si>
    <t>小天竺路</t>
    <phoneticPr fontId="3" type="noConversion"/>
  </si>
  <si>
    <t>二层</t>
  </si>
  <si>
    <t>天恒花园</t>
    <phoneticPr fontId="3" type="noConversion"/>
  </si>
  <si>
    <t>较大</t>
  </si>
  <si>
    <t>是否含地下室</t>
    <phoneticPr fontId="31" type="noConversion"/>
  </si>
  <si>
    <t>否</t>
    <phoneticPr fontId="31" type="noConversion"/>
  </si>
  <si>
    <t>是</t>
    <phoneticPr fontId="31" type="noConversion"/>
  </si>
  <si>
    <t>已注销及未注销</t>
  </si>
  <si>
    <t>转让取得</t>
  </si>
  <si>
    <t>个人其他（有凭证）</t>
  </si>
  <si>
    <t>典型户型修正</t>
  </si>
  <si>
    <t>买卖合同</t>
  </si>
  <si>
    <t>2016年5月1日后购买</t>
  </si>
  <si>
    <t>个人其他（无凭证）</t>
  </si>
  <si>
    <t>普装</t>
  </si>
  <si>
    <t>不临街</t>
  </si>
  <si>
    <t>成本比率</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</si>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</sst>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2" borderId="23" xfId="0"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28" fillId="0" borderId="110"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98" fillId="0" borderId="0" xfId="0" applyFont="1" applyAlignment="1">
      <alignment horizontal="center" vertical="center"/>
    </xf>
    <xf numFmtId="0" fontId="0" fillId="0" borderId="0" xfId="0" applyAlignment="1">
      <alignment horizontal="center" vertical="center"/>
    </xf>
    <xf numFmtId="0" fontId="134" fillId="2" borderId="7"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237" fillId="0" borderId="1" xfId="0" applyNumberFormat="1" applyFont="1" applyFill="1" applyBorder="1" applyAlignment="1" applyProtection="1">
      <alignment horizontal="center" vertical="center" wrapText="1"/>
      <protection locked="0"/>
    </xf>
    <xf numFmtId="49" fontId="46" fillId="9" borderId="30" xfId="0" applyNumberFormat="1" applyFont="1" applyFill="1" applyBorder="1" applyAlignment="1" applyProtection="1">
      <alignment horizontal="center" vertical="center" wrapText="1"/>
      <protection locked="0"/>
    </xf>
    <xf numFmtId="49" fontId="97" fillId="9" borderId="23" xfId="0" applyNumberFormat="1" applyFont="1" applyFill="1" applyBorder="1" applyAlignment="1" applyProtection="1">
      <alignment horizontal="center" vertical="center" wrapText="1"/>
      <protection locked="0"/>
    </xf>
    <xf numFmtId="49" fontId="46" fillId="9" borderId="6" xfId="0" applyNumberFormat="1" applyFont="1" applyFill="1" applyBorder="1" applyAlignment="1" applyProtection="1">
      <alignment horizontal="center" vertical="center" wrapText="1"/>
      <protection locked="0"/>
    </xf>
    <xf numFmtId="0" fontId="49" fillId="9" borderId="1" xfId="0" applyFont="1" applyFill="1" applyBorder="1" applyAlignment="1" applyProtection="1">
      <alignment horizontal="left" vertical="center" wrapText="1"/>
      <protection locked="0"/>
    </xf>
    <xf numFmtId="0" fontId="98" fillId="0" borderId="0" xfId="0" applyFont="1">
      <alignment vertical="center"/>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184" fontId="49" fillId="9" borderId="1" xfId="0" applyNumberFormat="1" applyFont="1" applyFill="1" applyBorder="1" applyAlignment="1" applyProtection="1">
      <alignment horizontal="center" vertical="center" shrinkToFi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6" fillId="6" borderId="1"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0" borderId="15" xfId="0" applyFont="1" applyBorder="1" applyAlignment="1" applyProtection="1">
      <alignment horizontal="center" vertical="center"/>
      <protection locked="0"/>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10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0" fontId="49" fillId="6" borderId="54"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192" fontId="132" fillId="6" borderId="1" xfId="0" applyNumberFormat="1"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172" fillId="6" borderId="1" xfId="0" applyFont="1" applyFill="1" applyBorder="1" applyAlignment="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131" fillId="6" borderId="23" xfId="0" applyFont="1" applyFill="1" applyBorder="1" applyAlignment="1" applyProtection="1">
      <alignment horizontal="lef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131" fillId="6" borderId="25"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9" fillId="6" borderId="19"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38" xfId="0" applyFont="1" applyFill="1" applyBorder="1" applyAlignment="1" applyProtection="1">
      <alignment horizontal="center" vertical="center" wrapText="1"/>
      <protection locked="0"/>
    </xf>
    <xf numFmtId="0" fontId="175" fillId="0" borderId="68"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9" fillId="19" borderId="113"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571500</xdr:colOff>
      <xdr:row>36</xdr:row>
      <xdr:rowOff>0</xdr:rowOff>
    </xdr:to>
    <xdr:pic>
      <xdr:nvPicPr>
        <xdr:cNvPr id="2" name="图片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801100" cy="6172200"/>
        </a:xfrm>
        <a:prstGeom prst="rect">
          <a:avLst/>
        </a:prstGeom>
      </xdr:spPr>
    </xdr:pic>
    <xdr:clientData/>
  </xdr:twoCellAnchor>
  <xdr:twoCellAnchor editAs="oneCell">
    <xdr:from>
      <xdr:col>0</xdr:col>
      <xdr:colOff>0</xdr:colOff>
      <xdr:row>35</xdr:row>
      <xdr:rowOff>152400</xdr:rowOff>
    </xdr:from>
    <xdr:to>
      <xdr:col>13</xdr:col>
      <xdr:colOff>28575</xdr:colOff>
      <xdr:row>69</xdr:row>
      <xdr:rowOff>57150</xdr:rowOff>
    </xdr:to>
    <xdr:pic>
      <xdr:nvPicPr>
        <xdr:cNvPr id="3" name="图片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153150"/>
          <a:ext cx="8943975" cy="5734050"/>
        </a:xfrm>
        <a:prstGeom prst="rect">
          <a:avLst/>
        </a:prstGeom>
      </xdr:spPr>
    </xdr:pic>
    <xdr:clientData/>
  </xdr:twoCellAnchor>
  <xdr:twoCellAnchor editAs="oneCell">
    <xdr:from>
      <xdr:col>0</xdr:col>
      <xdr:colOff>0</xdr:colOff>
      <xdr:row>104</xdr:row>
      <xdr:rowOff>85725</xdr:rowOff>
    </xdr:from>
    <xdr:to>
      <xdr:col>14</xdr:col>
      <xdr:colOff>457200</xdr:colOff>
      <xdr:row>135</xdr:row>
      <xdr:rowOff>121285</xdr:rowOff>
    </xdr:to>
    <xdr:pic>
      <xdr:nvPicPr>
        <xdr:cNvPr id="6" name="图片 5">
          <a:extLst>
            <a:ext uri="{FF2B5EF4-FFF2-40B4-BE49-F238E27FC236}">
              <a16:creationId xmlns:a16="http://schemas.microsoft.com/office/drawing/2014/main" xmlns="" id="{00000000-0008-0000-1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7916525"/>
          <a:ext cx="10058400" cy="5350510"/>
        </a:xfrm>
        <a:prstGeom prst="rect">
          <a:avLst/>
        </a:prstGeom>
      </xdr:spPr>
    </xdr:pic>
    <xdr:clientData/>
  </xdr:twoCellAnchor>
  <xdr:twoCellAnchor editAs="oneCell">
    <xdr:from>
      <xdr:col>0</xdr:col>
      <xdr:colOff>0</xdr:colOff>
      <xdr:row>136</xdr:row>
      <xdr:rowOff>66675</xdr:rowOff>
    </xdr:from>
    <xdr:to>
      <xdr:col>14</xdr:col>
      <xdr:colOff>457200</xdr:colOff>
      <xdr:row>167</xdr:row>
      <xdr:rowOff>102235</xdr:rowOff>
    </xdr:to>
    <xdr:pic>
      <xdr:nvPicPr>
        <xdr:cNvPr id="7" name="图片 6">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383875"/>
          <a:ext cx="10058400" cy="5350510"/>
        </a:xfrm>
        <a:prstGeom prst="rect">
          <a:avLst/>
        </a:prstGeom>
      </xdr:spPr>
    </xdr:pic>
    <xdr:clientData/>
  </xdr:twoCellAnchor>
  <xdr:twoCellAnchor editAs="oneCell">
    <xdr:from>
      <xdr:col>0</xdr:col>
      <xdr:colOff>0</xdr:colOff>
      <xdr:row>168</xdr:row>
      <xdr:rowOff>66675</xdr:rowOff>
    </xdr:from>
    <xdr:to>
      <xdr:col>14</xdr:col>
      <xdr:colOff>457200</xdr:colOff>
      <xdr:row>201</xdr:row>
      <xdr:rowOff>59690</xdr:rowOff>
    </xdr:to>
    <xdr:pic>
      <xdr:nvPicPr>
        <xdr:cNvPr id="8" name="图片 7">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8870275"/>
          <a:ext cx="10058400" cy="5650865"/>
        </a:xfrm>
        <a:prstGeom prst="rect">
          <a:avLst/>
        </a:prstGeom>
      </xdr:spPr>
    </xdr:pic>
    <xdr:clientData/>
  </xdr:twoCellAnchor>
  <xdr:twoCellAnchor editAs="oneCell">
    <xdr:from>
      <xdr:col>15</xdr:col>
      <xdr:colOff>152400</xdr:colOff>
      <xdr:row>1</xdr:row>
      <xdr:rowOff>123825</xdr:rowOff>
    </xdr:from>
    <xdr:to>
      <xdr:col>26</xdr:col>
      <xdr:colOff>381000</xdr:colOff>
      <xdr:row>37</xdr:row>
      <xdr:rowOff>15258</xdr:rowOff>
    </xdr:to>
    <xdr:pic>
      <xdr:nvPicPr>
        <xdr:cNvPr id="9" name="图片 8">
          <a:extLst>
            <a:ext uri="{FF2B5EF4-FFF2-40B4-BE49-F238E27FC236}">
              <a16:creationId xmlns:a16="http://schemas.microsoft.com/office/drawing/2014/main" xmlns="" id="{24B67845-94C0-4534-82AB-B6C744286F1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39400" y="295275"/>
          <a:ext cx="7772400" cy="6063633"/>
        </a:xfrm>
        <a:prstGeom prst="rect">
          <a:avLst/>
        </a:prstGeom>
      </xdr:spPr>
    </xdr:pic>
    <xdr:clientData/>
  </xdr:twoCellAnchor>
  <xdr:twoCellAnchor editAs="oneCell">
    <xdr:from>
      <xdr:col>0</xdr:col>
      <xdr:colOff>95250</xdr:colOff>
      <xdr:row>69</xdr:row>
      <xdr:rowOff>47625</xdr:rowOff>
    </xdr:from>
    <xdr:to>
      <xdr:col>12</xdr:col>
      <xdr:colOff>666750</xdr:colOff>
      <xdr:row>104</xdr:row>
      <xdr:rowOff>121152</xdr:rowOff>
    </xdr:to>
    <xdr:pic>
      <xdr:nvPicPr>
        <xdr:cNvPr id="10" name="图片 9">
          <a:extLst>
            <a:ext uri="{FF2B5EF4-FFF2-40B4-BE49-F238E27FC236}">
              <a16:creationId xmlns:a16="http://schemas.microsoft.com/office/drawing/2014/main" xmlns="" id="{209CC52B-35DB-4BC7-A8AA-01E6A9A3AB9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5250" y="11877675"/>
          <a:ext cx="8801100" cy="60742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6" customWidth="1"/>
    <col min="2" max="2" width="81" style="1373" customWidth="1"/>
    <col min="3" max="16384" width="9" style="1371"/>
  </cols>
  <sheetData>
    <row r="1" spans="1:2" s="1359" customFormat="1" ht="16.2" thickBot="1">
      <c r="A1" s="1358" t="s">
        <v>1186</v>
      </c>
      <c r="B1" s="1357" t="s">
        <v>1265</v>
      </c>
    </row>
    <row r="2" spans="1:2" s="1362" customFormat="1" ht="16.2" thickTop="1">
      <c r="A2" s="1360" t="s">
        <v>1187</v>
      </c>
      <c r="B2" s="1361" t="str">
        <f>'预评函-封皮'!B37:I37</f>
        <v>北京市房地产市场价值预评估</v>
      </c>
    </row>
    <row r="3" spans="1:2" s="1365" customFormat="1">
      <c r="A3" s="1363" t="s">
        <v>1188</v>
      </c>
      <c r="B3" s="1364" t="str">
        <f>'预评函-封皮'!B40</f>
        <v>北京睿利众屹软件有限公司</v>
      </c>
    </row>
    <row r="4" spans="1:2" s="1365" customFormat="1">
      <c r="A4" s="1363" t="s">
        <v>1189</v>
      </c>
      <c r="B4" s="1364" t="str">
        <f ca="1">'预评函-封皮'!B46</f>
        <v>王鹏（注册号：1120050019)、郑燚（注册号：1120070131)</v>
      </c>
    </row>
    <row r="5" spans="1:2" s="1359" customFormat="1" ht="16.2" thickBot="1">
      <c r="A5" s="1366" t="s">
        <v>1190</v>
      </c>
      <c r="B5" s="1367" t="str">
        <f>'预评函-封皮'!B49</f>
        <v>康正预评字号</v>
      </c>
    </row>
    <row r="6" spans="1:2" s="1362" customFormat="1" ht="16.2"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估价对象为北京市房地产，为所有。根据《国有土地使用证》[]，估价对象（分摊）出让国有建设用地使用权面积为0平方米，建筑面积为671.51平方米。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估价对象为北京市房地产,属开发建设的办公项目，该项目尚在开发建设中。根据《国有土地使用证》[]，估价对象（分摊）出让国有建设用地使用权面积为0平方米，规划建筑面积为671.51平方米。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为估价委托人在向兴业银行股份有限公司北京通州支行办理贷款手续过程中，确定房地产抵押贷款额度提供参考依据而评估房地产抵押价值。</v>
      </c>
    </row>
    <row r="12" spans="1:2" s="1365" customFormat="1">
      <c r="A12" s="1363" t="s">
        <v>1193</v>
      </c>
      <c r="B12" s="1364" t="str">
        <f>'预评函-1'!A15</f>
        <v>2021年1月13日（评估专业人员实地查勘之日）</v>
      </c>
    </row>
    <row r="13" spans="1:2" s="1365" customFormat="1">
      <c r="A13" s="1363" t="s">
        <v>1194</v>
      </c>
      <c r="B13" s="1364" t="str">
        <f>'预评函-1'!A18</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6.2" thickBot="1">
      <c r="A18" s="1366" t="s">
        <v>1199</v>
      </c>
      <c r="B18" s="1367" t="str">
        <f>'预评函-1'!A24</f>
        <v>本次评估采用的主估价方法为比较法和收益法。</v>
      </c>
    </row>
    <row r="19" spans="1:2" s="1362" customFormat="1" ht="16.2"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403</v>
      </c>
    </row>
    <row r="21" spans="1:2" s="1365" customFormat="1">
      <c r="A21" s="1363" t="s">
        <v>1202</v>
      </c>
      <c r="B21" s="1364">
        <f ca="1">'预评函-2'!D7</f>
        <v>34646</v>
      </c>
    </row>
    <row r="22" spans="1:2" s="1365" customFormat="1">
      <c r="A22" s="1363" t="s">
        <v>1203</v>
      </c>
      <c r="B22" s="1364" t="str">
        <f ca="1">'预评函-2'!D6</f>
        <v>肆佰零叁万元整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403</v>
      </c>
    </row>
    <row r="31" spans="1:2" s="1365" customFormat="1">
      <c r="A31" s="1363" t="s">
        <v>1241</v>
      </c>
      <c r="B31" s="1364">
        <f ca="1">'预评函-2'!D15</f>
        <v>6001</v>
      </c>
    </row>
    <row r="32" spans="1:2" s="1365" customFormat="1">
      <c r="A32" s="1363" t="s">
        <v>1208</v>
      </c>
      <c r="B32" s="1364" t="str">
        <f ca="1">'预评函-2'!D14</f>
        <v>肆佰零叁万元整</v>
      </c>
    </row>
    <row r="33" spans="1:2" s="1365" customFormat="1">
      <c r="A33" s="1363" t="s">
        <v>1243</v>
      </c>
      <c r="B33" s="1364" t="str">
        <f>'预评函-2'!B16</f>
        <v>4.抵押担保权已注销时的房地产抵押价值</v>
      </c>
    </row>
    <row r="34" spans="1:2" s="1365" customFormat="1">
      <c r="A34" s="1363" t="s">
        <v>1261</v>
      </c>
      <c r="B34" s="1364">
        <f ca="1">'预评函-2'!D16</f>
        <v>403</v>
      </c>
    </row>
    <row r="35" spans="1:2" s="1365" customFormat="1">
      <c r="A35" s="1363" t="s">
        <v>1242</v>
      </c>
      <c r="B35" s="1364">
        <f ca="1">'预评函-2'!D18</f>
        <v>6001</v>
      </c>
    </row>
    <row r="36" spans="1:2" s="1365" customFormat="1">
      <c r="A36" s="1363" t="s">
        <v>1209</v>
      </c>
      <c r="B36" s="1364" t="str">
        <f ca="1">'预评函-2'!D17</f>
        <v>肆佰零叁万元整</v>
      </c>
    </row>
    <row r="37" spans="1:2" s="1365" customFormat="1">
      <c r="A37" s="1363" t="s">
        <v>1244</v>
      </c>
      <c r="B37" s="1364" t="str">
        <f>'预评函-2'!B19</f>
        <v>5.抵押净值</v>
      </c>
    </row>
    <row r="38" spans="1:2" s="1365" customFormat="1">
      <c r="A38" s="1363" t="s">
        <v>1262</v>
      </c>
      <c r="B38" s="1364">
        <f ca="1">'预评函-2'!D19</f>
        <v>76</v>
      </c>
    </row>
    <row r="39" spans="1:2" s="1365" customFormat="1">
      <c r="A39" s="1363" t="s">
        <v>1210</v>
      </c>
      <c r="B39" s="1364">
        <f ca="1">'预评函-2'!D21</f>
        <v>1132</v>
      </c>
    </row>
    <row r="40" spans="1:2" s="1365" customFormat="1">
      <c r="A40" s="1363" t="s">
        <v>1211</v>
      </c>
      <c r="B40" s="1364" t="str">
        <f ca="1">'预评函-2'!D20</f>
        <v>柒拾陆万元整</v>
      </c>
    </row>
    <row r="41" spans="1:2" s="1365" customFormat="1">
      <c r="A41" s="1363" t="s">
        <v>1257</v>
      </c>
      <c r="B41" s="1364" t="str">
        <f>'预评函-3'!A4</f>
        <v>北京市房地产</v>
      </c>
    </row>
    <row r="42" spans="1:2" s="1365" customFormat="1" ht="31.2">
      <c r="A42" s="1363" t="s">
        <v>1255</v>
      </c>
      <c r="B42" s="1364" t="str">
        <f>'预评函-3'!B2</f>
        <v>建筑面积</v>
      </c>
    </row>
    <row r="43" spans="1:2" s="1365" customFormat="1">
      <c r="A43" s="1363" t="s">
        <v>1256</v>
      </c>
      <c r="B43" s="1364">
        <f>'预评函-3'!B4</f>
        <v>671.51000000000022</v>
      </c>
    </row>
    <row r="44" spans="1:2" s="1365" customFormat="1" ht="31.2">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6.2" thickBot="1">
      <c r="A57" s="1366" t="s">
        <v>1264</v>
      </c>
      <c r="B57" s="1367" t="str">
        <f>'预评函-3'!A6</f>
        <v/>
      </c>
    </row>
    <row r="58" spans="1:2" s="1362" customFormat="1" ht="16.2"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6.2" thickBot="1">
      <c r="A69" s="1366" t="s">
        <v>1226</v>
      </c>
      <c r="B69" s="1368">
        <f>'预评函-4'!C31</f>
        <v>42551</v>
      </c>
    </row>
    <row r="70" spans="1:2" ht="16.2" thickTop="1">
      <c r="A70" s="1369" t="s">
        <v>1227</v>
      </c>
      <c r="B70" s="1370" t="str">
        <f>'预评函-4'!A4</f>
        <v>王鹏</v>
      </c>
    </row>
    <row r="71" spans="1:2">
      <c r="A71" s="1363" t="s">
        <v>1228</v>
      </c>
      <c r="B71" s="1364">
        <f ca="1">'预评函-4'!B4</f>
        <v>1120050019</v>
      </c>
    </row>
    <row r="72" spans="1:2">
      <c r="A72" s="1363" t="s">
        <v>1229</v>
      </c>
      <c r="B72" s="1372" t="str">
        <f>'预评函-4'!A5</f>
        <v>郑燚</v>
      </c>
    </row>
    <row r="73" spans="1:2" s="1359" customFormat="1" ht="16.2" thickBot="1">
      <c r="A73" s="1366" t="s">
        <v>1230</v>
      </c>
      <c r="B73" s="1367">
        <f ca="1">'预评函-4'!B5</f>
        <v>1120070131</v>
      </c>
    </row>
    <row r="74" spans="1:2" ht="16.2"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4.4"/>
  <cols>
    <col min="1" max="1" width="13.44140625" style="1743" customWidth="1"/>
    <col min="2" max="2" width="23.21875" style="1694" customWidth="1"/>
    <col min="3" max="3" width="13" style="1738" customWidth="1"/>
    <col min="4" max="4" width="5.77734375" style="1735" customWidth="1"/>
    <col min="5" max="5" width="7.109375" style="1735" customWidth="1"/>
    <col min="6" max="6" width="10.6640625" style="1735" customWidth="1"/>
    <col min="7" max="7" width="7.44140625" style="1735" customWidth="1"/>
    <col min="8" max="8" width="9" style="1738" customWidth="1"/>
    <col min="9" max="9" width="11.6640625" style="1738" customWidth="1"/>
    <col min="10" max="10" width="9" style="1738" customWidth="1"/>
    <col min="11" max="19" width="9" style="1735" customWidth="1"/>
    <col min="20" max="23" width="9" style="1738" customWidth="1"/>
    <col min="24" max="24" width="21.109375" style="1694" customWidth="1"/>
    <col min="25" max="16384" width="9" style="1694"/>
  </cols>
  <sheetData>
    <row r="1" spans="1:23" s="1732" customFormat="1" ht="28.8">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为估价委托人在向兴业银行股份有限公司北京通州支行办理贷款手续过程中，确定房地产抵押贷款额度提供参考依据而评估房地产抵押价值。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兴业银行股份有限公司北京通州支行办理贷款手续。兴业银行股份有限公司北京通州支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33"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3"/>
      <c r="B54" s="1741" t="s">
        <v>832</v>
      </c>
      <c r="C54" s="1738" t="s">
        <v>1248</v>
      </c>
    </row>
    <row r="55" spans="1:4">
      <c r="A55" s="3133"/>
      <c r="B55" s="1741" t="s">
        <v>833</v>
      </c>
      <c r="C55" s="1738" t="s">
        <v>1249</v>
      </c>
    </row>
    <row r="56" spans="1:4">
      <c r="A56" s="3133"/>
      <c r="B56" s="1741" t="s">
        <v>834</v>
      </c>
      <c r="C56" s="1738" t="s">
        <v>1253</v>
      </c>
    </row>
    <row r="57" spans="1:4">
      <c r="A57" s="3133"/>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23" sqref="I23"/>
    </sheetView>
  </sheetViews>
  <sheetFormatPr defaultColWidth="10" defaultRowHeight="13.2"/>
  <cols>
    <col min="1" max="1" width="16.88671875" style="1933" customWidth="1"/>
    <col min="2" max="2" width="10" style="1933" customWidth="1"/>
    <col min="3" max="3" width="11.44140625" style="1933" customWidth="1"/>
    <col min="4" max="4" width="10" style="1933" customWidth="1"/>
    <col min="5" max="5" width="12.6640625" style="1933" customWidth="1"/>
    <col min="6" max="6" width="10" style="1933" customWidth="1"/>
    <col min="7" max="7" width="10.77734375" style="1933" customWidth="1"/>
    <col min="8" max="8" width="10" style="1933" customWidth="1"/>
    <col min="9" max="9" width="11.109375" style="1766" customWidth="1"/>
    <col min="10" max="10" width="10" style="1931" customWidth="1"/>
    <col min="11" max="11" width="10" style="2854" customWidth="1"/>
    <col min="12" max="13" width="10" style="2855"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8" thickBot="1">
      <c r="A1" s="2591" t="s">
        <v>2913</v>
      </c>
      <c r="B1" s="3142" t="str">
        <f>IF(B10="北京市","北京市",C10)&amp;F10&amp;IF(结果表!G1="在建","出让国有建设用地使用权及在建建筑物",IF(结果表!G1="土地","出让国有建设用地使用权",))&amp;B9&amp;"预评估"</f>
        <v>北京市房地产市场价值预评估</v>
      </c>
      <c r="C1" s="3143"/>
      <c r="D1" s="3143"/>
      <c r="E1" s="3143"/>
      <c r="F1" s="3143"/>
      <c r="G1" s="3143"/>
      <c r="H1" s="3143"/>
      <c r="I1" s="3144"/>
      <c r="J1" s="2696"/>
      <c r="K1" s="2593"/>
      <c r="L1" s="2594"/>
      <c r="M1" s="2594"/>
      <c r="N1" s="2595"/>
      <c r="O1" s="1763"/>
      <c r="P1" s="2595"/>
      <c r="Q1" s="2595"/>
      <c r="R1" s="2595"/>
      <c r="S1" s="1870" t="str">
        <f>IF(B10="北京市","北京市",C10)&amp;F10&amp;IF(结果表!G1="在建","出让国有建设用地使用权及在建建筑物房地产抵押价值",IF(结果表!G1="土地","出让国有建设用地使用权抵押价值",B9))</f>
        <v>北京市房地产市场价值</v>
      </c>
      <c r="T1" s="1933"/>
      <c r="U1" s="1933"/>
      <c r="V1" s="1933"/>
      <c r="W1" s="1933"/>
      <c r="X1" s="1933"/>
      <c r="Y1" s="1933"/>
      <c r="Z1" s="1933"/>
      <c r="AA1" s="1933"/>
      <c r="AB1" s="1933"/>
    </row>
    <row r="2" spans="1:28">
      <c r="A2" s="2592" t="s">
        <v>2914</v>
      </c>
      <c r="B2" s="2596"/>
      <c r="C2" s="2597"/>
      <c r="D2" s="2898"/>
      <c r="E2" s="2888"/>
      <c r="F2" s="2888"/>
      <c r="G2" s="2889"/>
      <c r="H2" s="2889"/>
      <c r="I2" s="2889"/>
      <c r="J2" s="2696"/>
      <c r="K2" s="2593"/>
      <c r="L2" s="2594"/>
      <c r="M2" s="2594"/>
      <c r="N2" s="2595"/>
      <c r="O2" s="1763"/>
      <c r="P2" s="2595"/>
      <c r="Q2" s="2595"/>
      <c r="R2" s="2595"/>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2915</v>
      </c>
      <c r="B3" s="2598">
        <v>44209</v>
      </c>
      <c r="C3" s="2599" t="s">
        <v>2916</v>
      </c>
      <c r="D3" s="2598">
        <f>B3</f>
        <v>44209</v>
      </c>
      <c r="E3" s="2889"/>
      <c r="F3" s="2889"/>
      <c r="G3" s="2889"/>
      <c r="H3" s="2889"/>
      <c r="I3" s="2889"/>
      <c r="J3" s="2696"/>
      <c r="K3" s="2593"/>
      <c r="L3" s="2594"/>
      <c r="M3" s="2594"/>
      <c r="N3" s="2595"/>
      <c r="O3" s="1763"/>
      <c r="P3" s="2595"/>
      <c r="Q3" s="2595"/>
      <c r="R3" s="2595"/>
      <c r="S3" s="1870"/>
      <c r="T3" s="1933"/>
      <c r="U3" s="1933"/>
      <c r="V3" s="1933"/>
      <c r="W3" s="1933"/>
      <c r="X3" s="1933"/>
      <c r="Y3" s="1933"/>
      <c r="Z3" s="1933"/>
      <c r="AA3" s="1933"/>
      <c r="AB3" s="1933"/>
    </row>
    <row r="4" spans="1:28" ht="13.8" thickBot="1">
      <c r="A4" s="1250" t="s">
        <v>2917</v>
      </c>
      <c r="B4" s="2600" t="s">
        <v>3061</v>
      </c>
      <c r="C4" s="2601">
        <f ca="1">SUMIF(注册房地产估价师,B4,估价师及机构信息!B3:B24)</f>
        <v>1120050019</v>
      </c>
      <c r="D4" s="2600" t="s">
        <v>3062</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4"/>
      <c r="K4" s="2603" t="str">
        <f ca="1">CONCATENATE(B4,"（注册号：",C4,")、",D4,"（注册号：",E4,")")</f>
        <v>王鹏（注册号：1120050019)、郑燚（注册号：1120070131)</v>
      </c>
      <c r="L4" s="2594"/>
      <c r="M4" s="2594"/>
      <c r="N4" s="2595"/>
      <c r="O4" s="1763"/>
      <c r="P4" s="2595"/>
      <c r="Q4" s="2595"/>
      <c r="R4" s="2595"/>
      <c r="S4" s="1870"/>
      <c r="T4" s="1933"/>
      <c r="U4" s="1933"/>
      <c r="V4" s="1933"/>
      <c r="W4" s="1933"/>
      <c r="X4" s="1933"/>
      <c r="Y4" s="1933"/>
      <c r="Z4" s="1933"/>
      <c r="AA4" s="1933"/>
      <c r="AB4" s="1933"/>
    </row>
    <row r="5" spans="1:28" ht="36.6" thickTop="1">
      <c r="A5" s="2604" t="s">
        <v>2918</v>
      </c>
      <c r="B5" s="3043" t="s">
        <v>3063</v>
      </c>
      <c r="C5" s="2605"/>
      <c r="D5" s="2606"/>
      <c r="E5" s="2890"/>
      <c r="F5" s="2890"/>
      <c r="G5" s="2890"/>
      <c r="H5" s="2890"/>
      <c r="I5" s="2890"/>
      <c r="J5" s="2664"/>
      <c r="K5" s="2603" t="str">
        <f>IF(F4="——","",IF(H4="——",F4&amp;"（注册号："&amp;G4&amp;")",CONCATENATE(F4,"（注册号：",G4,")、",H4,"（注册号：",I4,")")))</f>
        <v>（注册号：0)、（注册号：0)</v>
      </c>
      <c r="L5" s="2594"/>
      <c r="M5" s="2594"/>
      <c r="N5" s="2595"/>
      <c r="O5" s="1763"/>
      <c r="P5" s="2595"/>
      <c r="Q5" s="2595"/>
      <c r="R5" s="2595"/>
      <c r="S5" s="1933"/>
      <c r="T5" s="1933"/>
      <c r="U5" s="1933"/>
      <c r="V5" s="1933"/>
      <c r="W5" s="1933"/>
      <c r="X5" s="1933"/>
      <c r="Y5" s="1933"/>
      <c r="Z5" s="1933"/>
      <c r="AA5" s="1933"/>
      <c r="AB5" s="1933"/>
    </row>
    <row r="6" spans="1:28">
      <c r="A6" s="2607" t="s">
        <v>2919</v>
      </c>
      <c r="B6" s="3044" t="s">
        <v>3064</v>
      </c>
      <c r="C6" s="2608"/>
      <c r="D6" s="2609"/>
      <c r="E6" s="2888"/>
      <c r="F6" s="2890"/>
      <c r="G6" s="2890"/>
      <c r="H6" s="2890"/>
      <c r="I6" s="2890"/>
      <c r="J6" s="2664"/>
      <c r="K6" s="2840" t="str">
        <f>IF(COUNTIF(B6,"*上海银行*"),"上海银行","")</f>
        <v/>
      </c>
      <c r="L6" s="2838"/>
      <c r="M6" s="2838"/>
      <c r="N6" s="2664"/>
      <c r="O6" s="2675"/>
      <c r="P6" s="2664"/>
      <c r="Q6" s="2664"/>
      <c r="R6" s="2664"/>
    </row>
    <row r="7" spans="1:28">
      <c r="A7" s="2607"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3065</v>
      </c>
      <c r="C8" s="2613"/>
      <c r="D8" s="3145" t="s">
        <v>2922</v>
      </c>
      <c r="E8" s="2614" t="s">
        <v>3189</v>
      </c>
      <c r="F8" s="2615"/>
      <c r="G8" s="2889"/>
      <c r="H8" s="2889"/>
      <c r="I8" s="2889"/>
      <c r="J8" s="2664"/>
      <c r="K8" s="2839"/>
      <c r="L8" s="2838"/>
      <c r="M8" s="2838"/>
      <c r="N8" s="2664"/>
      <c r="O8" s="2675"/>
      <c r="P8" s="2664"/>
      <c r="Q8" s="2664"/>
      <c r="R8" s="2664"/>
    </row>
    <row r="9" spans="1:28" ht="13.8" thickBot="1">
      <c r="A9" s="2616" t="s">
        <v>2923</v>
      </c>
      <c r="B9" s="2617" t="s">
        <v>3066</v>
      </c>
      <c r="C9" s="2618"/>
      <c r="D9" s="3146"/>
      <c r="E9" s="2617" t="s">
        <v>1252</v>
      </c>
      <c r="F9" s="2619"/>
      <c r="G9" s="2891"/>
      <c r="H9" s="2891"/>
      <c r="I9" s="2891"/>
      <c r="J9" s="2664"/>
      <c r="K9" s="2841"/>
      <c r="L9" s="2838"/>
      <c r="M9" s="2838"/>
      <c r="N9" s="2664"/>
      <c r="O9" s="2675"/>
      <c r="P9" s="2664"/>
      <c r="Q9" s="2664"/>
      <c r="R9" s="2664"/>
    </row>
    <row r="10" spans="1:28" ht="13.8" thickTop="1">
      <c r="A10" s="2620" t="s">
        <v>2924</v>
      </c>
      <c r="B10" s="2621" t="s">
        <v>3067</v>
      </c>
      <c r="C10" s="2622"/>
      <c r="D10" s="2606"/>
      <c r="E10" s="2623" t="s">
        <v>2925</v>
      </c>
      <c r="F10" s="2892"/>
      <c r="G10" s="2893"/>
      <c r="H10" s="2894"/>
      <c r="I10" s="2895"/>
      <c r="J10" s="2664"/>
      <c r="K10" s="2841"/>
      <c r="L10" s="2838"/>
      <c r="M10" s="2838"/>
      <c r="N10" s="2664"/>
      <c r="O10" s="2675"/>
      <c r="P10" s="2664"/>
      <c r="Q10" s="2664"/>
      <c r="R10" s="2664"/>
    </row>
    <row r="11" spans="1:28">
      <c r="A11" s="2624" t="s">
        <v>2926</v>
      </c>
      <c r="B11" s="2625" t="s">
        <v>3068</v>
      </c>
      <c r="C11" s="2626"/>
      <c r="D11" s="2627"/>
      <c r="E11" s="2595"/>
      <c r="F11" s="2595"/>
      <c r="G11" s="2595"/>
      <c r="H11" s="2595"/>
      <c r="I11" s="2595"/>
      <c r="J11" s="2664"/>
      <c r="K11" s="2841"/>
      <c r="L11" s="2838"/>
      <c r="M11" s="2838"/>
      <c r="N11" s="2664"/>
      <c r="O11" s="2675"/>
      <c r="P11" s="2664"/>
      <c r="Q11" s="2664"/>
      <c r="R11" s="2664"/>
    </row>
    <row r="12" spans="1:28">
      <c r="A12" s="2628" t="s">
        <v>2927</v>
      </c>
      <c r="B12" s="2625" t="s">
        <v>3069</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c r="F13" s="3090">
        <v>56621</v>
      </c>
      <c r="G13" s="965"/>
      <c r="H13" s="965"/>
      <c r="I13" s="965"/>
      <c r="J13" s="2664"/>
      <c r="K13" s="2841"/>
      <c r="L13" s="2838"/>
      <c r="M13" s="2838"/>
      <c r="N13" s="2664"/>
      <c r="O13" s="2675"/>
      <c r="P13" s="2664"/>
      <c r="Q13" s="2664"/>
      <c r="R13" s="2664"/>
    </row>
    <row r="14" spans="1:28">
      <c r="A14" s="1241"/>
      <c r="B14" s="2630"/>
      <c r="C14" s="2631" t="s">
        <v>2936</v>
      </c>
      <c r="D14" s="2632"/>
      <c r="E14" s="2632"/>
      <c r="F14" s="2632">
        <v>50</v>
      </c>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f>IF(B12="出让",IF(F13="","",ROUNDDOWN(MIN((F13-$D$3)/365,F14),2)),F14)</f>
        <v>34</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52"/>
      <c r="C16" s="3153"/>
      <c r="D16" s="3154"/>
      <c r="E16" s="2638" t="s">
        <v>2939</v>
      </c>
      <c r="F16" s="3155"/>
      <c r="G16" s="3156"/>
      <c r="H16" s="3156"/>
      <c r="I16" s="3157"/>
      <c r="J16" s="2664"/>
      <c r="K16" s="2843"/>
      <c r="L16" s="2676"/>
      <c r="M16" s="2676"/>
      <c r="N16" s="2734"/>
      <c r="O16" s="2676"/>
      <c r="P16" s="2734"/>
      <c r="Q16" s="2664"/>
      <c r="R16" s="2664"/>
    </row>
    <row r="17" spans="1:28">
      <c r="A17" s="319" t="s">
        <v>2940</v>
      </c>
      <c r="B17" s="308" t="s">
        <v>2941</v>
      </c>
      <c r="C17" s="11">
        <f>'数据-汇总表'!E3</f>
        <v>671.51000000000022</v>
      </c>
      <c r="D17" s="2546" t="s">
        <v>2942</v>
      </c>
      <c r="E17" s="3158" t="s">
        <v>2943</v>
      </c>
      <c r="F17" s="3159"/>
      <c r="G17" s="3159"/>
      <c r="H17" s="3159"/>
      <c r="I17" s="3160"/>
      <c r="J17" s="2664"/>
      <c r="K17" s="2844"/>
      <c r="L17" s="2676"/>
      <c r="M17" s="2676"/>
      <c r="N17" s="2734"/>
      <c r="O17" s="2676"/>
      <c r="P17" s="2734"/>
      <c r="Q17" s="2664"/>
      <c r="R17" s="2664"/>
      <c r="S17" s="2664"/>
      <c r="T17" s="2664"/>
      <c r="U17" s="2664"/>
      <c r="V17" s="2664"/>
    </row>
    <row r="18" spans="1:28" ht="24.6" thickBot="1">
      <c r="A18" s="2639" t="s">
        <v>2944</v>
      </c>
      <c r="B18" s="1250" t="s">
        <v>2945</v>
      </c>
      <c r="C18" s="2640">
        <f>'数据-汇总表'!D3</f>
        <v>0</v>
      </c>
      <c r="D18" s="1252" t="s">
        <v>2946</v>
      </c>
      <c r="E18" s="3161" t="s">
        <v>2947</v>
      </c>
      <c r="F18" s="3162"/>
      <c r="G18" s="3162"/>
      <c r="H18" s="3162"/>
      <c r="I18" s="3163"/>
      <c r="J18" s="2664"/>
      <c r="K18" s="2844"/>
      <c r="L18" s="2676"/>
      <c r="M18" s="2676"/>
      <c r="N18" s="2734"/>
      <c r="O18" s="2676"/>
      <c r="P18" s="2734"/>
      <c r="Q18" s="2664"/>
      <c r="R18" s="2664"/>
      <c r="S18" s="2664"/>
      <c r="T18" s="2664"/>
      <c r="U18" s="2664"/>
      <c r="V18" s="2664"/>
    </row>
    <row r="19" spans="1:28" ht="37.200000000000003" thickTop="1" thickBot="1">
      <c r="A19" s="333" t="s">
        <v>1741</v>
      </c>
      <c r="B19" s="313" t="s">
        <v>2948</v>
      </c>
      <c r="C19" s="1750" t="s">
        <v>3070</v>
      </c>
      <c r="D19" s="1751" t="s">
        <v>2949</v>
      </c>
      <c r="E19" s="1752"/>
      <c r="F19" s="1753" t="str">
        <f>IF(AND(C19="是",E19="否"),"是否提供他项权证或相关说明","")</f>
        <v/>
      </c>
      <c r="G19" s="1754"/>
      <c r="H19" s="2890"/>
      <c r="I19" s="2890"/>
      <c r="J19" s="2664"/>
      <c r="K19" s="2841"/>
      <c r="L19" s="2838"/>
      <c r="M19" s="2838"/>
      <c r="N19" s="2734"/>
      <c r="O19" s="2676"/>
      <c r="P19" s="2734"/>
      <c r="Q19" s="2664"/>
      <c r="R19" s="2664"/>
      <c r="S19" s="2664"/>
      <c r="T19" s="2664"/>
      <c r="U19" s="2664"/>
      <c r="V19" s="2664"/>
    </row>
    <row r="20" spans="1:28">
      <c r="A20" s="2858" t="s">
        <v>2950</v>
      </c>
      <c r="B20" s="3148" t="s">
        <v>2951</v>
      </c>
      <c r="C20" s="3149"/>
      <c r="D20" s="3150" t="s">
        <v>2952</v>
      </c>
      <c r="E20" s="3151"/>
      <c r="F20" s="2873" t="s">
        <v>1742</v>
      </c>
      <c r="G20" s="2890"/>
      <c r="H20" s="2890"/>
      <c r="I20" s="2890"/>
      <c r="J20" s="2664"/>
      <c r="K20" s="3147"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4"/>
      <c r="N20" s="2637"/>
      <c r="O20" s="2636"/>
      <c r="P20" s="2637"/>
      <c r="Q20" s="2595"/>
      <c r="R20" s="2595"/>
      <c r="S20" s="2595"/>
      <c r="T20" s="2595"/>
      <c r="U20" s="2595"/>
      <c r="V20" s="2595"/>
      <c r="W20" s="1933"/>
      <c r="X20" s="1933"/>
      <c r="Y20" s="1933"/>
      <c r="Z20" s="1933"/>
      <c r="AA20" s="1933"/>
      <c r="AB20" s="1933"/>
    </row>
    <row r="21" spans="1:28" ht="36.6" thickBot="1">
      <c r="A21" s="2858"/>
      <c r="B21" s="2859" t="s">
        <v>2954</v>
      </c>
      <c r="C21" s="2860" t="s">
        <v>1743</v>
      </c>
      <c r="D21" s="1755" t="s">
        <v>2955</v>
      </c>
      <c r="E21" s="2861" t="s">
        <v>1743</v>
      </c>
      <c r="F21" s="2874"/>
      <c r="G21" s="2890"/>
      <c r="H21" s="2890"/>
      <c r="I21" s="2890"/>
      <c r="J21" s="2664"/>
      <c r="K21" s="314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7"/>
      <c r="O21" s="2636"/>
      <c r="P21" s="2637"/>
      <c r="Q21" s="2595"/>
      <c r="R21" s="2595"/>
      <c r="S21" s="2595"/>
      <c r="T21" s="2595"/>
      <c r="U21" s="2595"/>
      <c r="V21" s="2595"/>
      <c r="W21" s="1933"/>
      <c r="X21" s="1933"/>
      <c r="Y21" s="1933"/>
      <c r="Z21" s="1933"/>
      <c r="AA21" s="1933"/>
      <c r="AB21" s="1933"/>
    </row>
    <row r="22" spans="1:28" ht="36.6" thickBot="1">
      <c r="A22" s="2858"/>
      <c r="B22" s="2862" t="s">
        <v>2956</v>
      </c>
      <c r="C22" s="2860" t="s">
        <v>1744</v>
      </c>
      <c r="D22" s="2889"/>
      <c r="E22" s="2889"/>
      <c r="F22" s="2889"/>
      <c r="G22" s="2890"/>
      <c r="H22" s="2890"/>
      <c r="I22" s="2890"/>
      <c r="J22" s="2664"/>
      <c r="K22" s="314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7"/>
      <c r="O22" s="2636"/>
      <c r="P22" s="2637"/>
      <c r="Q22" s="2595"/>
      <c r="R22" s="2595"/>
      <c r="S22" s="2595"/>
      <c r="T22" s="2595"/>
      <c r="U22" s="2595"/>
      <c r="V22" s="2595"/>
      <c r="W22" s="1933"/>
      <c r="X22" s="1933"/>
      <c r="Y22" s="1933"/>
      <c r="Z22" s="1933"/>
      <c r="AA22" s="1933"/>
      <c r="AB22" s="1933"/>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8"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8" thickTop="1">
      <c r="A27" s="3135" t="s">
        <v>2959</v>
      </c>
      <c r="B27" s="326" t="s">
        <v>2960</v>
      </c>
      <c r="C27" s="2641" t="s">
        <v>3071</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5"/>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5"/>
      <c r="B29" s="308" t="s">
        <v>2962</v>
      </c>
      <c r="C29" s="2645" t="s">
        <v>3072</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136"/>
      <c r="B30" s="308" t="s">
        <v>2963</v>
      </c>
      <c r="C30" s="3137"/>
      <c r="D30" s="3138"/>
      <c r="E30" s="2890"/>
      <c r="F30" s="2890"/>
      <c r="G30" s="2890"/>
      <c r="H30" s="2890"/>
      <c r="I30" s="2890"/>
      <c r="J30" s="2664"/>
      <c r="K30" s="2841"/>
      <c r="L30" s="2838"/>
      <c r="M30" s="2838"/>
      <c r="N30" s="2664"/>
      <c r="O30" s="2675"/>
      <c r="P30" s="2664"/>
      <c r="Q30" s="2664"/>
      <c r="R30" s="2664"/>
      <c r="S30" s="2664"/>
      <c r="T30" s="2664"/>
      <c r="U30" s="2664"/>
      <c r="V30" s="2664"/>
    </row>
    <row r="31" spans="1:28">
      <c r="A31" s="3139" t="s">
        <v>2964</v>
      </c>
      <c r="B31" s="2647" t="s">
        <v>3073</v>
      </c>
      <c r="C31" s="2547" t="str">
        <f>IF(B31="现房","成新及维护状况正常否",IF(B31="在建","工程状态是否正常",IF(B31="土地","是否闲置","-")))</f>
        <v>成新及维护状况正常否</v>
      </c>
      <c r="D31" s="1559"/>
      <c r="E31" s="2648"/>
      <c r="F31" s="2890"/>
      <c r="G31" s="2890"/>
      <c r="H31" s="2890"/>
      <c r="I31" s="2890"/>
      <c r="J31" s="2664"/>
      <c r="K31" s="2840"/>
      <c r="L31" s="2838"/>
      <c r="M31" s="2838"/>
      <c r="N31" s="2664"/>
      <c r="O31" s="2675"/>
      <c r="P31" s="2664"/>
      <c r="Q31" s="2664"/>
      <c r="R31" s="2664"/>
      <c r="S31" s="2664"/>
      <c r="T31" s="2664"/>
      <c r="U31" s="2664"/>
      <c r="V31" s="2664"/>
    </row>
    <row r="32" spans="1:28">
      <c r="A32" s="3140"/>
      <c r="B32" s="2647"/>
      <c r="C32" s="2547" t="str">
        <f>IF(B32="现房","成新及维护状况是否正常",IF(B32="在建","工程状态是否正常",IF(B32="土地","是否闲置","-")))</f>
        <v>-</v>
      </c>
      <c r="D32" s="1559"/>
      <c r="E32" s="2648"/>
      <c r="F32" s="2890"/>
      <c r="G32" s="2890"/>
      <c r="H32" s="2890"/>
      <c r="I32" s="2890"/>
      <c r="J32" s="2664"/>
      <c r="K32" s="2841"/>
      <c r="L32" s="2838"/>
      <c r="M32" s="2838"/>
      <c r="N32" s="2664"/>
      <c r="O32" s="2675"/>
      <c r="P32" s="2664"/>
      <c r="Q32" s="2664"/>
      <c r="R32" s="2664"/>
      <c r="S32" s="2664"/>
      <c r="T32" s="2664"/>
      <c r="U32" s="2664"/>
      <c r="V32" s="2664"/>
    </row>
    <row r="33" spans="1:30">
      <c r="A33" s="3140"/>
      <c r="B33" s="2650"/>
      <c r="C33" s="1777" t="str">
        <f>IF(B33="现房","成新及维护状况是否正常",IF(B33="在建","工程状态是否正常",IF(B33="土地","是否闲置","-")))</f>
        <v>-</v>
      </c>
      <c r="D33" s="1551"/>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5" t="s">
        <v>3074</v>
      </c>
      <c r="C34" s="2215" t="s">
        <v>3075</v>
      </c>
      <c r="D34" s="2215" t="s">
        <v>3076</v>
      </c>
      <c r="E34" s="2215" t="s">
        <v>3077</v>
      </c>
      <c r="F34" s="2215" t="s">
        <v>3078</v>
      </c>
      <c r="G34" s="2215" t="s">
        <v>3080</v>
      </c>
      <c r="H34" s="2215" t="s">
        <v>3079</v>
      </c>
      <c r="I34" s="2890"/>
      <c r="J34" s="2664"/>
      <c r="K34" s="2652">
        <f>COUNTIF(B34:H34,"——")</f>
        <v>0</v>
      </c>
      <c r="L34" s="329" t="s">
        <v>2966</v>
      </c>
      <c r="M34" s="329" t="s">
        <v>2967</v>
      </c>
      <c r="N34" s="329" t="s">
        <v>2968</v>
      </c>
      <c r="O34" s="329" t="s">
        <v>2969</v>
      </c>
      <c r="P34" s="329" t="s">
        <v>2970</v>
      </c>
      <c r="Q34" s="329" t="s">
        <v>2971</v>
      </c>
      <c r="R34" s="329" t="s">
        <v>2972</v>
      </c>
      <c r="S34" s="3134" t="s">
        <v>2973</v>
      </c>
      <c r="T34" s="2653" t="str">
        <f>NUMBERSTRING(7-K34,1)&amp;"通"</f>
        <v>七通</v>
      </c>
      <c r="U34" s="2664"/>
      <c r="V34" s="2664"/>
    </row>
    <row r="35" spans="1:30">
      <c r="A35" s="2654"/>
      <c r="B35" s="3141" t="s">
        <v>2974</v>
      </c>
      <c r="C35" s="3141"/>
      <c r="D35" s="3141"/>
      <c r="E35" s="3141"/>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通路、通电、通讯、通上水、通下水、平整、通热</v>
      </c>
      <c r="S35" s="3134"/>
      <c r="T35" s="335" t="str">
        <f>IF(T34="一通",L35,IF(T34="二通",M35,IF(T34="三通",N35,IF(T34="四通",O35,IF(T34="五通",P35,IF(T34="六通",Q35,R35))))))</f>
        <v>通路、通电、通讯、通上水、通下水、平整、通热</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8" thickBot="1">
      <c r="A38" s="2857" t="s">
        <v>2976</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4"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5"/>
      <c r="B40" s="2595"/>
      <c r="C40" s="2595"/>
      <c r="D40" s="2595"/>
      <c r="E40" s="2595"/>
      <c r="F40" s="2595"/>
      <c r="G40" s="2595"/>
      <c r="H40" s="2595"/>
      <c r="I40" s="1765"/>
      <c r="J40" s="2734"/>
      <c r="K40" s="2840"/>
      <c r="L40" s="2676"/>
      <c r="M40" s="2676"/>
      <c r="N40" s="2734"/>
      <c r="O40" s="2676"/>
      <c r="P40" s="2664"/>
      <c r="Q40" s="2664"/>
      <c r="R40" s="2664"/>
      <c r="S40" s="2664"/>
      <c r="T40" s="2664"/>
      <c r="U40" s="2664"/>
      <c r="V40" s="2664"/>
    </row>
    <row r="41" spans="1:30">
      <c r="A41" s="2661" t="s">
        <v>2978</v>
      </c>
      <c r="B41" s="1945"/>
      <c r="C41" s="1559"/>
      <c r="D41" s="2595"/>
      <c r="E41" s="2595"/>
      <c r="F41" s="2595"/>
      <c r="G41" s="2595"/>
      <c r="H41" s="2595"/>
      <c r="I41" s="1763"/>
      <c r="J41" s="2664"/>
      <c r="K41" s="2841"/>
      <c r="L41" s="2838"/>
      <c r="M41" s="2838"/>
      <c r="N41" s="2664"/>
      <c r="O41" s="2675"/>
      <c r="P41" s="2664"/>
      <c r="Q41" s="2664"/>
      <c r="R41" s="2664"/>
      <c r="S41" s="2664"/>
      <c r="T41" s="2664"/>
      <c r="U41" s="2664"/>
      <c r="V41" s="2664"/>
    </row>
    <row r="42" spans="1:30" ht="25.2">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31" customFormat="1">
      <c r="A43" s="1757"/>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31" customFormat="1">
      <c r="A44" s="1757"/>
      <c r="B44" s="1757"/>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31" customFormat="1">
      <c r="A45" s="1757"/>
      <c r="B45" s="1757"/>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31" customFormat="1">
      <c r="A46" s="1757"/>
      <c r="B46" s="1757"/>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31" customFormat="1">
      <c r="A47" s="1757"/>
      <c r="B47" s="1757"/>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31" customFormat="1">
      <c r="A48" s="1757"/>
      <c r="B48" s="1757"/>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31" customFormat="1">
      <c r="A49" s="1757"/>
      <c r="B49" s="1757"/>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31" customFormat="1">
      <c r="A50" s="1757"/>
      <c r="B50" s="1757"/>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31" customFormat="1">
      <c r="A51" s="1757"/>
      <c r="B51" s="1757"/>
      <c r="C51" s="1182"/>
      <c r="D51" s="1182"/>
      <c r="E51" s="1182"/>
      <c r="F51" s="1182"/>
      <c r="G51" s="1182"/>
      <c r="H51" s="1182"/>
      <c r="I51" s="1182"/>
      <c r="J51" s="2662"/>
      <c r="K51" s="2663"/>
      <c r="L51" s="2663"/>
      <c r="M51" s="1182"/>
      <c r="N51" s="1182"/>
      <c r="O51" s="1182"/>
      <c r="P51" s="1182"/>
      <c r="Q51" s="1182"/>
      <c r="R51" s="1182"/>
    </row>
    <row r="52" spans="1:22" s="1931" customFormat="1">
      <c r="A52" s="1757"/>
      <c r="B52" s="1757"/>
      <c r="C52" s="1757"/>
      <c r="D52" s="1757"/>
      <c r="E52" s="1757"/>
      <c r="F52" s="1182"/>
      <c r="G52" s="1757"/>
      <c r="H52" s="1757"/>
      <c r="I52" s="1757"/>
      <c r="J52" s="2665"/>
      <c r="K52" s="2663"/>
      <c r="L52" s="2663"/>
      <c r="M52" s="2663"/>
      <c r="N52" s="1757"/>
      <c r="O52" s="1757"/>
      <c r="P52" s="1757"/>
      <c r="Q52" s="1757"/>
      <c r="R52" s="1757"/>
    </row>
    <row r="53" spans="1:22" s="1931" customFormat="1">
      <c r="A53" s="1757"/>
      <c r="B53" s="1757"/>
      <c r="C53" s="1757"/>
      <c r="D53" s="1757"/>
      <c r="E53" s="1757"/>
      <c r="F53" s="1182"/>
      <c r="G53" s="1757"/>
      <c r="H53" s="1757"/>
      <c r="I53" s="1757"/>
      <c r="J53" s="2665"/>
      <c r="K53" s="2663"/>
      <c r="L53" s="2663"/>
      <c r="M53" s="2663"/>
      <c r="N53" s="1757"/>
      <c r="O53" s="1757"/>
      <c r="P53" s="1757"/>
      <c r="Q53" s="1757"/>
      <c r="R53" s="1757"/>
    </row>
    <row r="54" spans="1:22" s="1931" customFormat="1">
      <c r="A54" s="1757"/>
      <c r="B54" s="1757"/>
      <c r="C54" s="1757"/>
      <c r="D54" s="1757"/>
      <c r="E54" s="1757"/>
      <c r="F54" s="1182"/>
      <c r="G54" s="1757"/>
      <c r="H54" s="1757"/>
      <c r="I54" s="1757"/>
      <c r="J54" s="2665"/>
      <c r="K54" s="2663"/>
      <c r="L54" s="2663"/>
      <c r="M54" s="2663"/>
      <c r="N54" s="1757"/>
      <c r="O54" s="1757"/>
      <c r="P54" s="1757"/>
      <c r="Q54" s="1757"/>
      <c r="R54" s="1757"/>
    </row>
    <row r="55" spans="1:22" s="1931" customFormat="1">
      <c r="A55" s="1757"/>
      <c r="B55" s="1757"/>
      <c r="C55" s="1757"/>
      <c r="D55" s="1757"/>
      <c r="E55" s="1757"/>
      <c r="F55" s="1182"/>
      <c r="G55" s="1757"/>
      <c r="H55" s="1757"/>
      <c r="I55" s="1757"/>
      <c r="J55" s="2665"/>
      <c r="K55" s="2663"/>
      <c r="L55" s="2663"/>
      <c r="M55" s="2663"/>
      <c r="N55" s="1757"/>
      <c r="O55" s="1757"/>
      <c r="P55" s="1757"/>
      <c r="Q55" s="1757"/>
      <c r="R55" s="1757"/>
    </row>
    <row r="56" spans="1:22" s="1931" customFormat="1">
      <c r="A56" s="1757"/>
      <c r="B56" s="1757"/>
      <c r="C56" s="1757"/>
      <c r="D56" s="1757"/>
      <c r="E56" s="1757"/>
      <c r="F56" s="1182"/>
      <c r="G56" s="1757"/>
      <c r="H56" s="1757"/>
      <c r="I56" s="1757"/>
      <c r="J56" s="2665"/>
      <c r="K56" s="2663"/>
      <c r="L56" s="2663"/>
      <c r="M56" s="2663"/>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4" sqref="J14"/>
    </sheetView>
  </sheetViews>
  <sheetFormatPr defaultColWidth="8.88671875" defaultRowHeight="13.8"/>
  <cols>
    <col min="1" max="1" width="10.6640625" style="1760" customWidth="1"/>
    <col min="2" max="2" width="11" style="1760" customWidth="1"/>
    <col min="3" max="3" width="10.33203125" style="1760" customWidth="1"/>
    <col min="4" max="4" width="9.109375" style="1760" customWidth="1"/>
    <col min="5" max="6" width="10" style="1821" customWidth="1"/>
    <col min="7" max="8" width="10" style="1760" customWidth="1"/>
    <col min="9" max="9" width="10.6640625" style="1760" customWidth="1"/>
    <col min="10" max="10" width="9.44140625" style="1760" customWidth="1"/>
    <col min="11" max="11" width="11" style="1760" customWidth="1"/>
    <col min="12" max="14" width="9.44140625" style="1760" customWidth="1"/>
    <col min="15" max="15" width="9.88671875" style="1760" customWidth="1"/>
    <col min="16" max="16" width="9.77734375" style="1760" customWidth="1"/>
    <col min="17" max="17" width="9.33203125" style="1760" customWidth="1"/>
    <col min="18" max="18" width="9.21875" style="1760" customWidth="1"/>
    <col min="19" max="19" width="10.88671875" style="1760" customWidth="1"/>
    <col min="20" max="21" width="10.77734375" style="1760" customWidth="1"/>
    <col min="22" max="22" width="10.88671875" style="1760" customWidth="1"/>
    <col min="23" max="27" width="10.77734375" style="1760" customWidth="1"/>
    <col min="28" max="28" width="10.88671875" style="1760" customWidth="1"/>
    <col min="29" max="29" width="11" style="1760" bestFit="1" customWidth="1"/>
    <col min="30" max="30" width="10" style="1760" bestFit="1" customWidth="1"/>
    <col min="31" max="31" width="9.77734375" style="1760" customWidth="1"/>
    <col min="32" max="46" width="9.44140625" style="1760" customWidth="1"/>
    <col min="47" max="47" width="18.109375" style="1760" customWidth="1"/>
    <col min="48" max="50" width="9.77734375" style="1760" customWidth="1"/>
    <col min="51" max="55" width="10.44140625" style="1760" bestFit="1" customWidth="1"/>
    <col min="56" max="56" width="9.44140625" style="1760" bestFit="1" customWidth="1"/>
    <col min="57" max="63" width="9.109375" style="1760" bestFit="1" customWidth="1"/>
    <col min="64" max="64" width="9.44140625" style="1760" bestFit="1" customWidth="1"/>
    <col min="65" max="65" width="9.109375" style="1760" bestFit="1" customWidth="1"/>
    <col min="66" max="66" width="9.44140625" style="1760" bestFit="1" customWidth="1"/>
    <col min="67" max="69" width="9.109375" style="1760" bestFit="1" customWidth="1"/>
    <col min="70" max="70" width="9.44140625" style="1760" bestFit="1" customWidth="1"/>
    <col min="71" max="71" width="9" style="1760" customWidth="1"/>
    <col min="72" max="72" width="9.109375" style="1760" bestFit="1" customWidth="1"/>
    <col min="73" max="16384" width="8.88671875" style="1760"/>
  </cols>
  <sheetData>
    <row r="1" spans="1:72" ht="21">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3.2">
      <c r="A3" s="13"/>
      <c r="B3" s="14">
        <f>IF(C3="否",G5-AT5,G5)</f>
        <v>671.51000000000022</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3.2">
      <c r="A5" s="15" t="s">
        <v>1757</v>
      </c>
      <c r="B5" s="1533"/>
      <c r="C5" s="1533"/>
      <c r="D5" s="1535"/>
      <c r="E5" s="16" t="s">
        <v>1</v>
      </c>
      <c r="F5" s="16">
        <f>SUM(F13:F587)</f>
        <v>0</v>
      </c>
      <c r="G5" s="16">
        <f>SUM(G13:G587)</f>
        <v>671.51000000000022</v>
      </c>
      <c r="H5" s="16">
        <f t="shared" ref="H5:AT5" si="0">SUM(H13:H656)</f>
        <v>671.51000000000022</v>
      </c>
      <c r="I5" s="16">
        <f t="shared" si="0"/>
        <v>671.51000000000022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671.51000000000022</v>
      </c>
      <c r="BA5" s="18">
        <f t="shared" si="1"/>
        <v>671.51000000000022</v>
      </c>
      <c r="BB5" s="18">
        <f t="shared" si="1"/>
        <v>671.51000000000022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3.2">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5.2">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3.2">
      <c r="A9" s="1781"/>
      <c r="B9" s="1781"/>
      <c r="C9" s="1781"/>
      <c r="D9" s="1781"/>
      <c r="E9" s="1781"/>
      <c r="F9" s="1781"/>
      <c r="G9" s="1202"/>
      <c r="H9" s="1789" t="s">
        <v>1777</v>
      </c>
      <c r="I9" s="1790" t="s">
        <v>3081</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3.2">
      <c r="A10" s="1781"/>
      <c r="B10" s="1781"/>
      <c r="C10" s="1781"/>
      <c r="D10" s="1781"/>
      <c r="E10" s="1781"/>
      <c r="F10" s="1781"/>
      <c r="G10" s="1202"/>
      <c r="H10" s="28"/>
      <c r="I10" s="1790" t="s">
        <v>27</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3.2">
      <c r="A11" s="1781"/>
      <c r="B11" s="1781"/>
      <c r="C11" s="1781"/>
      <c r="D11" s="1781"/>
      <c r="E11" s="1781"/>
      <c r="F11" s="1781"/>
      <c r="G11" s="1202"/>
      <c r="H11" s="1798"/>
      <c r="I11" s="1801" t="s">
        <v>3082</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3.2">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底商</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3.2">
      <c r="A13" s="1182"/>
      <c r="B13" s="1182"/>
      <c r="C13" s="1182"/>
      <c r="D13" s="1812"/>
      <c r="E13" s="16">
        <f>IF($C$3="是",ROUND($A$3*G13/$B$3,2),ROUND($A$3*(G13-AT13)/$B$3,2))</f>
        <v>0</v>
      </c>
      <c r="F13" s="32"/>
      <c r="G13" s="33">
        <f>H13+AC13+AT13</f>
        <v>0</v>
      </c>
      <c r="H13" s="20">
        <f>SUMIF(I$12:AB$12,"总值",I13:AB13)</f>
        <v>0</v>
      </c>
      <c r="I13" s="1813"/>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3.2">
      <c r="A14" s="1182"/>
      <c r="B14" s="1182"/>
      <c r="C14" s="1182"/>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3.2">
      <c r="A15" s="1182"/>
      <c r="B15" s="1182"/>
      <c r="C15" s="1182"/>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3.2">
      <c r="A16" s="1182"/>
      <c r="B16" s="1182"/>
      <c r="C16" s="1182"/>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3.2">
      <c r="A17" s="1182"/>
      <c r="B17" s="1182"/>
      <c r="C17" s="1182"/>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v>6</v>
      </c>
      <c r="D18" s="1812" t="s">
        <v>3070</v>
      </c>
      <c r="E18" s="35">
        <f t="shared" ref="E18:E112" si="7">IF($C$3="是",ROUND($A$3*G18/$B$3,2),ROUND($A$3*(G18-AT18)/$B$3,2))</f>
        <v>0</v>
      </c>
      <c r="F18" s="36"/>
      <c r="G18" s="37">
        <f t="shared" ref="G18:G109" si="8">H18+AC18+AT18</f>
        <v>116.2</v>
      </c>
      <c r="H18" s="38">
        <f t="shared" ref="H18:H109" si="9">SUMIF(I$12:AB$12,"总值",I18:AB18)</f>
        <v>116.2</v>
      </c>
      <c r="I18" s="39">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v>7</v>
      </c>
      <c r="D19" s="1812" t="s">
        <v>3070</v>
      </c>
      <c r="E19" s="35">
        <f t="shared" si="7"/>
        <v>0</v>
      </c>
      <c r="F19" s="36"/>
      <c r="G19" s="37">
        <f t="shared" si="8"/>
        <v>142.52000000000001</v>
      </c>
      <c r="H19" s="38">
        <f t="shared" si="9"/>
        <v>142.52000000000001</v>
      </c>
      <c r="I19" s="39">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2">
        <v>8</v>
      </c>
      <c r="D20" s="1812" t="s">
        <v>3070</v>
      </c>
      <c r="E20" s="35">
        <f t="shared" si="7"/>
        <v>0</v>
      </c>
      <c r="F20" s="36"/>
      <c r="G20" s="37">
        <f t="shared" si="8"/>
        <v>133.59</v>
      </c>
      <c r="H20" s="38">
        <f t="shared" si="9"/>
        <v>133.59</v>
      </c>
      <c r="I20" s="39">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2">
        <v>9</v>
      </c>
      <c r="D21" s="1812" t="s">
        <v>3070</v>
      </c>
      <c r="E21" s="35">
        <f t="shared" si="7"/>
        <v>0</v>
      </c>
      <c r="F21" s="36"/>
      <c r="G21" s="37">
        <f t="shared" si="8"/>
        <v>125.85</v>
      </c>
      <c r="H21" s="38">
        <f t="shared" si="9"/>
        <v>125.85</v>
      </c>
      <c r="I21" s="39">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2">
        <v>10</v>
      </c>
      <c r="D22" s="1812" t="s">
        <v>3070</v>
      </c>
      <c r="E22" s="35">
        <f t="shared" si="7"/>
        <v>0</v>
      </c>
      <c r="F22" s="36"/>
      <c r="G22" s="37">
        <f t="shared" si="8"/>
        <v>28.82</v>
      </c>
      <c r="H22" s="38">
        <f t="shared" si="9"/>
        <v>28.82</v>
      </c>
      <c r="I22" s="39">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2">
        <v>11</v>
      </c>
      <c r="D23" s="1812" t="s">
        <v>3070</v>
      </c>
      <c r="E23" s="35">
        <f t="shared" si="7"/>
        <v>0</v>
      </c>
      <c r="F23" s="36"/>
      <c r="G23" s="37">
        <f t="shared" si="8"/>
        <v>95.71</v>
      </c>
      <c r="H23" s="38">
        <f t="shared" si="9"/>
        <v>95.71</v>
      </c>
      <c r="I23" s="39">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82">
        <v>12</v>
      </c>
      <c r="D24" s="1812" t="s">
        <v>3070</v>
      </c>
      <c r="E24" s="35">
        <f t="shared" si="7"/>
        <v>0</v>
      </c>
      <c r="F24" s="36"/>
      <c r="G24" s="37">
        <f t="shared" si="8"/>
        <v>28.82</v>
      </c>
      <c r="H24" s="38">
        <f t="shared" si="9"/>
        <v>28.82</v>
      </c>
      <c r="I24" s="39">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64" t="s">
        <v>0</v>
      </c>
      <c r="B1" s="3164" t="s">
        <v>4</v>
      </c>
      <c r="C1" s="3164" t="s">
        <v>5</v>
      </c>
      <c r="D1" s="3165" t="s">
        <v>53</v>
      </c>
      <c r="E1" s="3165" t="s">
        <v>54</v>
      </c>
      <c r="F1" s="3165"/>
      <c r="G1" s="3165"/>
      <c r="H1" s="3165"/>
      <c r="I1" s="3165"/>
      <c r="J1" s="3165"/>
      <c r="K1" s="3165"/>
      <c r="L1" s="3165"/>
      <c r="M1" s="3165"/>
    </row>
    <row r="2" spans="1:13" ht="27" customHeight="1">
      <c r="A2" s="3164"/>
      <c r="B2" s="3164"/>
      <c r="C2" s="3164"/>
      <c r="D2" s="3165"/>
      <c r="E2" s="3165" t="s">
        <v>37</v>
      </c>
      <c r="F2" s="3165" t="s">
        <v>38</v>
      </c>
      <c r="G2" s="3165"/>
      <c r="H2" s="3165"/>
      <c r="I2" s="3165"/>
      <c r="J2" s="3165" t="s">
        <v>39</v>
      </c>
      <c r="K2" s="3165"/>
      <c r="L2" s="3165"/>
      <c r="M2" s="3165"/>
    </row>
    <row r="3" spans="1:13" ht="46.8">
      <c r="A3" s="3164"/>
      <c r="B3" s="3164"/>
      <c r="C3" s="3164"/>
      <c r="D3" s="3165"/>
      <c r="E3" s="316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5" t="s">
        <v>55</v>
      </c>
      <c r="B9" s="3165"/>
      <c r="C9" s="31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K30" sqref="K30"/>
    </sheetView>
  </sheetViews>
  <sheetFormatPr defaultColWidth="9.21875" defaultRowHeight="13.8"/>
  <cols>
    <col min="1" max="1" width="12.109375" style="1825" customWidth="1"/>
    <col min="2" max="2" width="10.21875" style="1825" customWidth="1"/>
    <col min="3" max="3" width="18.44140625" style="1825" customWidth="1"/>
    <col min="4" max="4" width="11.6640625" style="1825" customWidth="1"/>
    <col min="5" max="5" width="13.33203125" style="1825" customWidth="1"/>
    <col min="6" max="8" width="11.44140625" style="1825" customWidth="1"/>
    <col min="9" max="9" width="11.109375" style="1825" customWidth="1"/>
    <col min="10" max="10" width="3.109375" style="2875" customWidth="1"/>
    <col min="11" max="16" width="10" style="1825" customWidth="1"/>
    <col min="17" max="17" width="2.6640625" style="1825" customWidth="1"/>
    <col min="18" max="18" width="9.33203125" style="1825" bestFit="1" customWidth="1"/>
    <col min="19" max="19" width="10.44140625" style="1825" bestFit="1" customWidth="1"/>
    <col min="20" max="16384" width="9.21875" style="1825"/>
  </cols>
  <sheetData>
    <row r="1" spans="1:16" ht="18" thickBot="1">
      <c r="A1" s="1824" t="s">
        <v>1816</v>
      </c>
      <c r="B1" s="1301"/>
      <c r="C1" s="1301"/>
      <c r="D1" s="1301"/>
      <c r="E1" s="1301"/>
      <c r="F1" s="1301"/>
      <c r="G1" s="1301"/>
      <c r="H1" s="1301"/>
      <c r="I1" s="1301"/>
      <c r="J1" s="1301"/>
      <c r="K1" s="1301"/>
      <c r="L1" s="1301"/>
      <c r="M1" s="1301"/>
      <c r="N1" s="1301"/>
      <c r="O1" s="1301"/>
      <c r="P1" s="1301"/>
    </row>
    <row r="2" spans="1:16" ht="14.4">
      <c r="A2" s="3175" t="s">
        <v>1817</v>
      </c>
      <c r="B2" s="3175"/>
      <c r="C2" s="3175"/>
      <c r="D2" s="904" t="s">
        <v>1793</v>
      </c>
      <c r="E2" s="1826" t="s">
        <v>1794</v>
      </c>
      <c r="F2" s="2885"/>
      <c r="G2" s="2876"/>
      <c r="H2" s="2877"/>
      <c r="I2" s="2549" t="s">
        <v>1818</v>
      </c>
      <c r="J2" s="2885"/>
      <c r="K2" s="2885"/>
      <c r="L2" s="2885"/>
      <c r="M2" s="2885"/>
      <c r="N2" s="2887"/>
      <c r="O2" s="2885"/>
      <c r="P2" s="2885"/>
    </row>
    <row r="3" spans="1:16" ht="15" thickBot="1">
      <c r="A3" s="3176" t="s">
        <v>1791</v>
      </c>
      <c r="B3" s="3176"/>
      <c r="C3" s="3176"/>
      <c r="D3" s="46">
        <f>'数据-基础表'!AY6</f>
        <v>0</v>
      </c>
      <c r="E3" s="46">
        <f>'数据-基础表'!AZ5</f>
        <v>671.51000000000022</v>
      </c>
      <c r="F3" s="2885"/>
      <c r="G3" s="1307"/>
      <c r="H3" s="1157" t="s">
        <v>1792</v>
      </c>
      <c r="I3" s="964" t="e">
        <f>ROUND('数据-基础表'!B3/'数据-基础表'!A3,2)</f>
        <v>#DIV/0!</v>
      </c>
      <c r="J3" s="2885"/>
      <c r="K3" s="2885"/>
      <c r="L3" s="2885"/>
      <c r="M3" s="2885"/>
      <c r="N3" s="2887"/>
      <c r="O3" s="2885"/>
      <c r="P3" s="2885"/>
    </row>
    <row r="4" spans="1:16" ht="14.4">
      <c r="A4" s="3177"/>
      <c r="B4" s="3178"/>
      <c r="C4" s="3179"/>
      <c r="D4" s="1828" t="s">
        <v>1793</v>
      </c>
      <c r="E4" s="1829" t="s">
        <v>1794</v>
      </c>
      <c r="F4" s="2885"/>
      <c r="G4" s="2878" t="s">
        <v>1819</v>
      </c>
      <c r="H4" s="1157" t="s">
        <v>1799</v>
      </c>
      <c r="I4" s="964" t="e">
        <f>ROUND(SUMIF('数据-基础表'!I9:AS9,"地上",'数据-基础表'!I5:AS5)/'数据-基础表'!A3,2)</f>
        <v>#DIV/0!</v>
      </c>
      <c r="J4" s="2885"/>
      <c r="K4" s="2885"/>
      <c r="L4" s="2885"/>
      <c r="M4" s="2885"/>
      <c r="N4" s="2887"/>
      <c r="O4" s="2885"/>
      <c r="P4" s="2885"/>
    </row>
    <row r="5" spans="1:16" ht="14.4">
      <c r="A5" s="47" t="s">
        <v>1795</v>
      </c>
      <c r="B5" s="3180" t="s">
        <v>1796</v>
      </c>
      <c r="C5" s="3180"/>
      <c r="D5" s="48">
        <f>ROUND($D$3*E5/$E$3,2)</f>
        <v>0</v>
      </c>
      <c r="E5" s="49">
        <f>SUMIF('数据-基础表'!$11:$11,"住宅",'数据-基础表'!$5:$5)</f>
        <v>0</v>
      </c>
      <c r="F5" s="2885"/>
      <c r="G5" s="1307"/>
      <c r="H5" s="1157" t="s">
        <v>1792</v>
      </c>
      <c r="I5" s="964" t="e">
        <f>ROUND(E31/D31,2)</f>
        <v>#DIV/0!</v>
      </c>
      <c r="J5" s="2885"/>
      <c r="K5" s="2885"/>
      <c r="L5" s="2885"/>
      <c r="M5" s="2885"/>
      <c r="N5" s="2885"/>
      <c r="O5" s="2885"/>
      <c r="P5" s="2885"/>
    </row>
    <row r="6" spans="1:16" ht="15" thickBot="1">
      <c r="A6" s="1831"/>
      <c r="B6" s="3180" t="s">
        <v>1797</v>
      </c>
      <c r="C6" s="3180"/>
      <c r="D6" s="48">
        <f>ROUND($D$3*E6/$E$3,2)</f>
        <v>0</v>
      </c>
      <c r="E6" s="49">
        <f>E3-E5</f>
        <v>671.51000000000022</v>
      </c>
      <c r="F6" s="2885"/>
      <c r="G6" s="2879" t="s">
        <v>1798</v>
      </c>
      <c r="H6" s="1308" t="s">
        <v>1799</v>
      </c>
      <c r="I6" s="2880" t="e">
        <f>ROUND(F31/D31,2)</f>
        <v>#DIV/0!</v>
      </c>
      <c r="J6" s="2885"/>
      <c r="K6" s="2885"/>
      <c r="L6" s="2885"/>
      <c r="M6" s="2885"/>
      <c r="N6" s="2885"/>
      <c r="O6" s="2885"/>
      <c r="P6" s="2885"/>
    </row>
    <row r="7" spans="1:16" ht="15" thickBot="1">
      <c r="A7" s="3172"/>
      <c r="B7" s="3173"/>
      <c r="C7" s="3174"/>
      <c r="D7" s="1828" t="s">
        <v>1793</v>
      </c>
      <c r="E7" s="1832" t="s">
        <v>1800</v>
      </c>
      <c r="F7" s="2885"/>
      <c r="G7" s="2881" t="s">
        <v>1801</v>
      </c>
      <c r="H7" s="2882"/>
      <c r="I7" s="2883"/>
      <c r="J7" s="2885"/>
      <c r="K7" s="2885"/>
      <c r="L7" s="2885"/>
      <c r="M7" s="2885"/>
      <c r="N7" s="2885"/>
      <c r="O7" s="2885"/>
      <c r="P7" s="2885"/>
    </row>
    <row r="8" spans="1:16" ht="14.4">
      <c r="A8" s="47" t="s">
        <v>1802</v>
      </c>
      <c r="B8" s="50" t="s">
        <v>1803</v>
      </c>
      <c r="C8" s="48" t="s">
        <v>1804</v>
      </c>
      <c r="D8" s="48">
        <f t="shared" ref="D8:D15" si="0">ROUND($D$3*E8/$E$3,2)</f>
        <v>0</v>
      </c>
      <c r="E8" s="51">
        <f>SUMIF('数据-基础表'!BB10:BK10,"地上",'数据-基础表'!BB5:BK5)</f>
        <v>671.51000000000022</v>
      </c>
      <c r="F8" s="2885"/>
      <c r="G8" s="2886"/>
      <c r="H8" s="2886"/>
      <c r="I8" s="2885"/>
      <c r="J8" s="2885"/>
      <c r="K8" s="2885"/>
      <c r="L8" s="2885"/>
      <c r="M8" s="2885"/>
      <c r="N8" s="2885"/>
      <c r="O8" s="2885"/>
      <c r="P8" s="2885"/>
    </row>
    <row r="9" spans="1:16" ht="14.4">
      <c r="A9" s="1833"/>
      <c r="B9" s="1834"/>
      <c r="C9" s="48" t="s">
        <v>1805</v>
      </c>
      <c r="D9" s="48">
        <f t="shared" si="0"/>
        <v>0</v>
      </c>
      <c r="E9" s="52">
        <v>0</v>
      </c>
      <c r="F9" s="2885"/>
      <c r="G9" s="2886"/>
      <c r="H9" s="2886"/>
      <c r="I9" s="2885"/>
      <c r="J9" s="2885"/>
      <c r="K9" s="2885"/>
      <c r="L9" s="2885"/>
      <c r="M9" s="2885"/>
      <c r="N9" s="2885"/>
      <c r="O9" s="2885"/>
      <c r="P9" s="2885"/>
    </row>
    <row r="10" spans="1:16" ht="14.4">
      <c r="A10" s="1833"/>
      <c r="B10" s="1834"/>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ht="14.4">
      <c r="A11" s="1833"/>
      <c r="B11" s="1834"/>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ht="14.4">
      <c r="A12" s="1833"/>
      <c r="B12" s="1834"/>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ht="14.4">
      <c r="A13" s="1833"/>
      <c r="B13" s="1834"/>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ht="14.4">
      <c r="A14" s="1833"/>
      <c r="B14" s="1834"/>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3"/>
      <c r="B15" s="1834"/>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 thickBot="1">
      <c r="A16" s="1831"/>
      <c r="B16" s="1834"/>
      <c r="C16" s="50" t="s">
        <v>1809</v>
      </c>
      <c r="D16" s="50">
        <f>SUM(D8:D15)</f>
        <v>0</v>
      </c>
      <c r="E16" s="53">
        <f>SUM(E8:E15)</f>
        <v>671.51000000000022</v>
      </c>
      <c r="F16" s="2885"/>
      <c r="G16" s="2886"/>
      <c r="H16" s="1835" t="s">
        <v>1821</v>
      </c>
      <c r="I16" s="1836"/>
      <c r="J16" s="1301"/>
      <c r="K16" s="3169" t="s">
        <v>1821</v>
      </c>
      <c r="L16" s="3170"/>
      <c r="M16" s="3170"/>
      <c r="N16" s="3170"/>
      <c r="O16" s="3170"/>
      <c r="P16" s="3171"/>
    </row>
    <row r="17" spans="1:19" ht="14.4">
      <c r="A17" s="1837" t="s">
        <v>1822</v>
      </c>
      <c r="B17" s="1838" t="s">
        <v>1823</v>
      </c>
      <c r="C17" s="1839" t="s">
        <v>1824</v>
      </c>
      <c r="D17" s="1840" t="s">
        <v>1812</v>
      </c>
      <c r="E17" s="1841" t="s">
        <v>1813</v>
      </c>
      <c r="F17" s="1842"/>
      <c r="G17" s="1843"/>
      <c r="H17" s="1844" t="s">
        <v>1825</v>
      </c>
      <c r="I17" s="1845" t="s">
        <v>1810</v>
      </c>
      <c r="J17" s="1301"/>
      <c r="K17" s="3166" t="s">
        <v>1826</v>
      </c>
      <c r="L17" s="3167"/>
      <c r="M17" s="3168"/>
      <c r="N17" s="3166" t="s">
        <v>1827</v>
      </c>
      <c r="O17" s="3167"/>
      <c r="P17" s="3168"/>
      <c r="R17" s="1827" t="s">
        <v>1828</v>
      </c>
      <c r="S17" s="60"/>
    </row>
    <row r="18" spans="1:19" ht="14.4">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ht="14.4">
      <c r="A19" s="1854"/>
      <c r="B19" s="50" t="s">
        <v>1811</v>
      </c>
      <c r="C19" s="3045" t="s">
        <v>3084</v>
      </c>
      <c r="D19" s="48">
        <f>ROUND($D$3*E19/$E$3,2)</f>
        <v>0</v>
      </c>
      <c r="E19" s="56">
        <f t="shared" ref="E19:E26" si="1">SUM(F19:G19)</f>
        <v>116.2</v>
      </c>
      <c r="F19" s="3025">
        <f>'数据-基础表'!I18</f>
        <v>116.2</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116.2</v>
      </c>
    </row>
    <row r="20" spans="1:19" ht="14.4">
      <c r="A20" s="1858"/>
      <c r="B20" s="50" t="s">
        <v>1839</v>
      </c>
      <c r="C20" s="3045" t="s">
        <v>3085</v>
      </c>
      <c r="D20" s="48">
        <f t="shared" ref="D20:D26" si="6">ROUND($D$3*E20/$E$3,2)</f>
        <v>0</v>
      </c>
      <c r="E20" s="56">
        <f t="shared" si="1"/>
        <v>555.30999999999995</v>
      </c>
      <c r="F20" s="3025">
        <v>555.30999999999995</v>
      </c>
      <c r="G20" s="3026"/>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555.30999999999995</v>
      </c>
    </row>
    <row r="21" spans="1:19" ht="14.4">
      <c r="A21" s="1858"/>
      <c r="B21" s="50" t="s">
        <v>1839</v>
      </c>
      <c r="C21" s="1855"/>
      <c r="D21" s="48">
        <f t="shared" si="6"/>
        <v>0</v>
      </c>
      <c r="E21" s="56">
        <f t="shared" si="1"/>
        <v>0</v>
      </c>
      <c r="F21" s="3025"/>
      <c r="G21" s="3026"/>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ht="14.4">
      <c r="A22" s="1858"/>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ht="14.4">
      <c r="A23" s="1858"/>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ht="14.4">
      <c r="A24" s="1858"/>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ht="14.4">
      <c r="A25" s="1858"/>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ht="14.4">
      <c r="A26" s="1858"/>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 thickBot="1">
      <c r="A27" s="1858"/>
      <c r="B27" s="48"/>
      <c r="C27" s="1861" t="s">
        <v>1840</v>
      </c>
      <c r="D27" s="1302">
        <f>SUM(D19:D26)</f>
        <v>0</v>
      </c>
      <c r="E27" s="1303">
        <f>IF(SUM(E19:E26)='数据-基础表'!BA5,SUM(E19:E26),IF(F27="地上面积有误","面积有误","地下面积有误"))</f>
        <v>671.51</v>
      </c>
      <c r="F27" s="1302">
        <f>IF(SUM(F19:F26)=E8,SUM(F19:F26),"地上面积有误")</f>
        <v>671.51</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671.51</v>
      </c>
    </row>
    <row r="28" spans="1:19" ht="14.4">
      <c r="A28" s="1858"/>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ht="14.4">
      <c r="A29" s="1858"/>
      <c r="B29" s="50" t="s">
        <v>1841</v>
      </c>
      <c r="C29" s="1862"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4.4">
      <c r="A30" s="1858"/>
      <c r="B30" s="50"/>
      <c r="C30" s="1863" t="s">
        <v>1840</v>
      </c>
      <c r="D30" s="1302">
        <f>SUM(D28:D29)</f>
        <v>0</v>
      </c>
      <c r="E30" s="1302">
        <f>SUM(E28:E29)</f>
        <v>0</v>
      </c>
      <c r="F30" s="1302">
        <f>SUM(F28:F29)</f>
        <v>0</v>
      </c>
      <c r="G30" s="1304">
        <f>SUM(G28:G29)</f>
        <v>0</v>
      </c>
      <c r="H30" s="2885"/>
      <c r="I30" s="2885"/>
      <c r="J30" s="2885"/>
      <c r="K30" s="2885"/>
      <c r="L30" s="2885"/>
      <c r="M30" s="2885"/>
      <c r="N30" s="2885"/>
      <c r="O30" s="2885"/>
      <c r="P30" s="2885"/>
    </row>
    <row r="31" spans="1:19" ht="15" thickBot="1">
      <c r="A31" s="1864"/>
      <c r="B31" s="1865"/>
      <c r="C31" s="944" t="s">
        <v>1844</v>
      </c>
      <c r="D31" s="685">
        <f>D27+D30</f>
        <v>0</v>
      </c>
      <c r="E31" s="685">
        <f>E27+E30</f>
        <v>671.51</v>
      </c>
      <c r="F31" s="686">
        <f>F27+F30</f>
        <v>671.51</v>
      </c>
      <c r="G31" s="687">
        <f>G27+G30</f>
        <v>0</v>
      </c>
      <c r="H31" s="2885"/>
      <c r="I31" s="2885"/>
      <c r="J31" s="2885"/>
      <c r="K31" s="2885"/>
      <c r="L31" s="2885"/>
      <c r="M31" s="2885"/>
      <c r="N31" s="2885"/>
      <c r="O31" s="2885"/>
      <c r="P31" s="2885"/>
    </row>
    <row r="32" spans="1:19" ht="14.4">
      <c r="A32" s="1830"/>
      <c r="B32" s="1830" t="s">
        <v>1845</v>
      </c>
      <c r="C32" s="1830"/>
      <c r="D32" s="1830"/>
      <c r="E32" s="1184">
        <f>SUMIF(C19:C26,"*住宅*",E19:E26)</f>
        <v>0</v>
      </c>
      <c r="F32" s="1830"/>
      <c r="G32" s="1830"/>
      <c r="H32" s="2885"/>
      <c r="I32" s="2885"/>
      <c r="J32" s="2885"/>
      <c r="K32" s="2885"/>
      <c r="L32" s="2885"/>
      <c r="M32" s="2885"/>
      <c r="N32" s="2885"/>
      <c r="O32" s="2885"/>
      <c r="P32" s="2885"/>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6" sqref="L26"/>
    </sheetView>
  </sheetViews>
  <sheetFormatPr defaultColWidth="13.77734375" defaultRowHeight="13.2"/>
  <cols>
    <col min="1" max="1" width="20.88671875" style="1933" customWidth="1"/>
    <col min="2" max="2" width="12" style="1870" customWidth="1"/>
    <col min="3" max="3" width="12.77734375" style="1870" customWidth="1"/>
    <col min="4" max="4" width="9.109375" style="1934" customWidth="1"/>
    <col min="5" max="5" width="15" style="1870" bestFit="1" customWidth="1"/>
    <col min="6" max="10" width="8.88671875" style="1870" customWidth="1"/>
    <col min="11" max="12" width="12.33203125" style="1788" customWidth="1"/>
    <col min="13" max="13" width="8.6640625" style="1870" customWidth="1"/>
    <col min="14" max="14" width="11.88671875" style="1870" customWidth="1"/>
    <col min="15" max="15" width="8.44140625" style="1870" customWidth="1"/>
    <col min="16" max="17" width="10.88671875" style="1870" customWidth="1"/>
    <col min="18" max="19" width="12.44140625" style="1870" customWidth="1"/>
    <col min="20" max="20" width="12.109375" style="1870" customWidth="1"/>
    <col min="21" max="21" width="7.44140625" style="1870" customWidth="1"/>
    <col min="22" max="22" width="6.33203125" style="1870" customWidth="1"/>
    <col min="23" max="30" width="6.77734375" style="1870" customWidth="1"/>
    <col min="31" max="31" width="8" style="1870" customWidth="1"/>
    <col min="32" max="34" width="7.21875" style="1870" customWidth="1"/>
    <col min="35" max="39" width="8" style="1870" customWidth="1"/>
    <col min="40" max="40" width="13.77734375" style="1869"/>
    <col min="41" max="41" width="11.6640625" style="1869" customWidth="1"/>
    <col min="42" max="42" width="9.77734375" style="1869" customWidth="1"/>
    <col min="43" max="67" width="13.77734375" style="1869"/>
    <col min="68" max="16384" width="13.77734375" style="1870"/>
  </cols>
  <sheetData>
    <row r="1" spans="1:67" ht="18"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6" customFormat="1" ht="15" thickBot="1">
      <c r="A2" s="1871" t="s">
        <v>1847</v>
      </c>
      <c r="B2" s="1176">
        <f>项目基本情况!D3</f>
        <v>44209</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1"/>
      <c r="AO2" s="2901"/>
      <c r="AP2" s="2901"/>
      <c r="AQ2" s="2901"/>
      <c r="AR2" s="2901"/>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4.4"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1"/>
      <c r="AO3" s="2901"/>
      <c r="AP3" s="2901"/>
      <c r="AQ3" s="2901"/>
      <c r="AR3" s="2901"/>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4"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1"/>
      <c r="AO4" s="2901"/>
      <c r="AP4" s="2901"/>
      <c r="AQ4" s="2901"/>
      <c r="AR4" s="2901"/>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57.6">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3086</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3.8">
      <c r="A6" s="1900" t="str">
        <f>'数据-汇总表'!C19</f>
        <v>典型办公</v>
      </c>
      <c r="B6" s="1901" t="str">
        <f>IF(A6=0,"","经营性")</f>
        <v>经营性</v>
      </c>
      <c r="C6" s="1902" t="s">
        <v>27</v>
      </c>
      <c r="D6" s="967">
        <f>SUMIF(项目基本情况!D$12:I$12,C6,项目基本情况!D$14:I$14)</f>
        <v>50</v>
      </c>
      <c r="E6" s="966">
        <f>IF(B6="","",SUMIF(项目基本情况!D$12:I$12,C6,项目基本情况!D$13:I$13))</f>
        <v>56621</v>
      </c>
      <c r="F6" s="68">
        <f>SUMIF(项目基本情况!D$12:I$12,C6,项目基本情况!D$15:I$15)</f>
        <v>34</v>
      </c>
      <c r="G6" s="69">
        <f>IF(ISERROR(ROUND(POWER(1+H6,D6-F6)*(POWER(1+H6,F6)-1)/(POWER(1+H6,D6)-1),3)),0,ROUND(POWER(1+H6,D6-F6)*(POWER(1+H6,F6)-1)/(POWER(1+H6,D6)-1),3))</f>
        <v>0.88700000000000001</v>
      </c>
      <c r="H6" s="741">
        <v>0.05</v>
      </c>
      <c r="I6" s="741">
        <v>5.5E-2</v>
      </c>
      <c r="J6" s="70">
        <v>8.5000000000000006E-2</v>
      </c>
      <c r="K6" s="1161">
        <f>SUMIF('数据-汇总表'!C$19:C$33,A6,'数据-汇总表'!E$19:E$33)</f>
        <v>116.2</v>
      </c>
      <c r="L6" s="742">
        <v>2800</v>
      </c>
      <c r="M6" s="71">
        <f t="shared" ref="M6:M14" si="0">ROUND(K6*L6/10000,0)</f>
        <v>33</v>
      </c>
      <c r="N6" s="740">
        <f>ROUND(1-(2021-2007)/60,2)</f>
        <v>0.77</v>
      </c>
      <c r="O6" s="71" t="str">
        <f>IF($N$5="成新度","——",ROUND(M6*N6,0))</f>
        <v>——</v>
      </c>
      <c r="P6" s="72" t="str">
        <f>IF($N$5="成新度","——",M6-O6)</f>
        <v>——</v>
      </c>
      <c r="Q6" s="743">
        <v>0.25</v>
      </c>
      <c r="R6" s="73">
        <f ca="1">SUMIF('数据-汇总表'!C$19:C$33,A6,'数据-汇总表'!R$19:R$27)</f>
        <v>0</v>
      </c>
      <c r="S6" s="54">
        <f>IF('数据-汇总表'!$I$17="按面积比例",SUMIF('数据-汇总表'!C$19:C$33,A6,'数据-汇总表'!K$19:K$33),SUMIF('数据-汇总表'!C$19:C$33,A6,'数据-汇总表'!N$19:N$33))</f>
        <v>0</v>
      </c>
      <c r="T6" s="1334">
        <f>ROUND($L$14*S6/10000,0)</f>
        <v>0</v>
      </c>
      <c r="U6" s="74">
        <f>'比较法-租金'!C49</f>
        <v>5.8</v>
      </c>
      <c r="V6" s="75">
        <v>0.03</v>
      </c>
      <c r="W6" s="75">
        <v>0.1</v>
      </c>
      <c r="X6" s="1171"/>
      <c r="Y6" s="76">
        <f>N6</f>
        <v>0.77</v>
      </c>
      <c r="Z6" s="77"/>
      <c r="AA6" s="70"/>
      <c r="AB6" s="70"/>
      <c r="AC6" s="1171"/>
      <c r="AD6" s="78"/>
      <c r="AE6" s="1172">
        <f ca="1">IF(AN6="",0,SUMIF(INDIRECT("'"&amp;AN6&amp;"'"&amp;"!E:E"),$AE$5,INDIRECT("'"&amp;AN6&amp;"'"&amp;"!F:F")))</f>
        <v>34</v>
      </c>
      <c r="AF6" s="1534"/>
      <c r="AG6" s="143">
        <f>IF(AF6="",0,AE6-AF6)</f>
        <v>0</v>
      </c>
      <c r="AH6" s="79"/>
      <c r="AI6" s="81">
        <v>365</v>
      </c>
      <c r="AJ6" s="82"/>
      <c r="AK6" s="83">
        <v>0.02</v>
      </c>
      <c r="AL6" s="84">
        <v>2E-3</v>
      </c>
      <c r="AM6" s="85">
        <v>0.02</v>
      </c>
      <c r="AN6" s="1903" t="s">
        <v>3126</v>
      </c>
      <c r="AO6" s="55">
        <f ca="1">SUMIF(INDIRECT("'"&amp;AN6&amp;"'"&amp;"!A:A"),"总价",INDIRECT("'"&amp;AN6&amp;"'"&amp;"!B:B"))</f>
        <v>428</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3.8">
      <c r="A7" s="1900" t="str">
        <f>'数据-汇总表'!C20</f>
        <v>其他用房</v>
      </c>
      <c r="B7" s="1901" t="str">
        <f t="shared" ref="B7:B13" si="1">IF(A7=0,"","经营性")</f>
        <v>经营性</v>
      </c>
      <c r="C7" s="1902" t="s">
        <v>27</v>
      </c>
      <c r="D7" s="967">
        <f>SUMIF(项目基本情况!D$12:I$12,C7,项目基本情况!D$14:I$14)</f>
        <v>50</v>
      </c>
      <c r="E7" s="966">
        <f>IF(B7="","",SUMIF(项目基本情况!D$12:I$12,C7,项目基本情况!D$13:I$13))</f>
        <v>56621</v>
      </c>
      <c r="F7" s="68">
        <f>SUMIF(项目基本情况!D$12:I$12,C7,项目基本情况!D$15:I$15)</f>
        <v>34</v>
      </c>
      <c r="G7" s="69">
        <f t="shared" ref="G7:G11" si="2">IF(ISERROR(ROUND(POWER(1+H7,D7-F7)*(POWER(1+H7,F7)-1)/(POWER(1+H7,D7)-1),3)),0,ROUND(POWER(1+H7,D7-F7)*(POWER(1+H7,F7)-1)/(POWER(1+H7,D7)-1),3))</f>
        <v>0.88700000000000001</v>
      </c>
      <c r="H7" s="741">
        <v>0.05</v>
      </c>
      <c r="I7" s="741">
        <v>5.5E-2</v>
      </c>
      <c r="J7" s="70">
        <v>8.5000000000000006E-2</v>
      </c>
      <c r="K7" s="1161">
        <f>SUMIF('数据-汇总表'!C$19:C$33,A7,'数据-汇总表'!E$19:E$33)</f>
        <v>555.30999999999995</v>
      </c>
      <c r="L7" s="742">
        <v>2800</v>
      </c>
      <c r="M7" s="71">
        <f t="shared" si="0"/>
        <v>155</v>
      </c>
      <c r="N7" s="740">
        <f>N6</f>
        <v>0.77</v>
      </c>
      <c r="O7" s="71" t="str">
        <f t="shared" ref="O7:O14" si="3">IF($N$5="成新度","——",ROUND(M7*N7,0))</f>
        <v>——</v>
      </c>
      <c r="P7" s="72" t="str">
        <f t="shared" ref="P7:P14" si="4">IF($N$5="成新度","——",M7-O7)</f>
        <v>——</v>
      </c>
      <c r="Q7" s="743">
        <v>0.25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v>5.8</v>
      </c>
      <c r="V7" s="75">
        <v>0.03</v>
      </c>
      <c r="W7" s="75">
        <v>0.1</v>
      </c>
      <c r="X7" s="1171"/>
      <c r="Y7" s="76">
        <f>N6</f>
        <v>0.77</v>
      </c>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3.8">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3.8">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3.8">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3.8">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3.8">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3.8">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4">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9"/>
      <c r="AO14" s="2901"/>
      <c r="AP14" s="2901"/>
      <c r="AQ14" s="2901"/>
      <c r="AR14" s="2901"/>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8.8">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9"/>
      <c r="AO15" s="2901"/>
      <c r="AP15" s="2901"/>
      <c r="AQ15" s="2901"/>
      <c r="AR15" s="2901"/>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 thickBot="1">
      <c r="A16" s="1907" t="s">
        <v>1895</v>
      </c>
      <c r="B16" s="93"/>
      <c r="C16" s="942"/>
      <c r="D16" s="1908"/>
      <c r="E16" s="93"/>
      <c r="F16" s="93"/>
      <c r="G16" s="94">
        <f>ROUND(SUMPRODUCT(G6:G13,K6:K13)/SUMPRODUCT((G6:G13&gt;0)*(K6:K13)),3)</f>
        <v>0.88700000000000001</v>
      </c>
      <c r="H16" s="95">
        <f>ROUND(SUMPRODUCT(H6:H13,K6:K13)/SUMPRODUCT((H6:H13&gt;0)*(K6:K13)),3)</f>
        <v>0.05</v>
      </c>
      <c r="I16" s="96"/>
      <c r="J16" s="96"/>
      <c r="K16" s="97">
        <f>SUM(K6:K15)</f>
        <v>671.51</v>
      </c>
      <c r="L16" s="98">
        <f>ROUND(M16*10000/SUM(K6:K14),0)</f>
        <v>2800</v>
      </c>
      <c r="M16" s="98">
        <f>SUM(M6:M14)</f>
        <v>188</v>
      </c>
      <c r="N16" s="99">
        <f>ROUND(SUMPRODUCT(M6:M14,N6:N14)/M16,3)</f>
        <v>0.77</v>
      </c>
      <c r="O16" s="98">
        <f>SUM(O6:O14)</f>
        <v>0</v>
      </c>
      <c r="P16" s="98">
        <f>SUM(P6:P14)</f>
        <v>0</v>
      </c>
      <c r="Q16" s="100">
        <f>ROUND(SUMPRODUCT(Q6:Q13,K6:K13)/SUMPRODUCT((Q6:Q13&gt;0)*(K6:K13)),2)</f>
        <v>0.25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8" thickBot="1">
      <c r="A17" s="1909"/>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4">
      <c r="A19" s="1910" t="s">
        <v>1897</v>
      </c>
      <c r="B19" s="108">
        <v>0.5</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4">
      <c r="A20" s="1911" t="s">
        <v>1898</v>
      </c>
      <c r="B20" s="109">
        <v>1.5</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4">
      <c r="A21" s="1912" t="s">
        <v>1899</v>
      </c>
      <c r="B21" s="109">
        <v>1.5</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4">
      <c r="A22" s="1911"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4">
      <c r="A23" s="1912"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3"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4.4" thickBot="1">
      <c r="A25" s="1744"/>
      <c r="B25" s="1875"/>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71" t="s">
        <v>1903</v>
      </c>
      <c r="B26" s="1914"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6" customFormat="1" ht="28.8">
      <c r="A27" s="1915" t="s">
        <v>1906</v>
      </c>
      <c r="B27" s="112">
        <v>160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8.8">
      <c r="A28" s="1917"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9.4" thickBot="1">
      <c r="A29" s="1918" t="s">
        <v>1908</v>
      </c>
      <c r="B29" s="117">
        <f>ROUND(K6*B28/10000,2)</f>
        <v>2.3199999999999998</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8.8">
      <c r="A30" s="1919"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8.8">
      <c r="A31" s="1917"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9.4" thickBot="1">
      <c r="A32" s="1920"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4">
      <c r="A33" s="1915" t="s">
        <v>1912</v>
      </c>
      <c r="B33" s="682">
        <v>0.03</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4">
      <c r="A34" s="1917" t="s">
        <v>1913</v>
      </c>
      <c r="B34" s="118">
        <v>0</v>
      </c>
      <c r="C34" s="3033" t="s">
        <v>3041</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4">
      <c r="A35" s="1917" t="s">
        <v>1914</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4">
      <c r="A37" s="1919" t="s">
        <v>1916</v>
      </c>
      <c r="B37" s="120">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4">
      <c r="A38" s="1917" t="s">
        <v>1917</v>
      </c>
      <c r="B38" s="118">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4">
      <c r="A39" s="1920"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20" t="s">
        <v>1919</v>
      </c>
      <c r="B40" s="1210">
        <f ca="1">存贷款利率!G1</f>
        <v>4.7500000000000001E-2</v>
      </c>
      <c r="C40" s="3033" t="s">
        <v>3045</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4">
      <c r="A41" s="1915" t="s">
        <v>1920</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4">
      <c r="A42" s="1921" t="s">
        <v>1921</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4">
      <c r="A43" s="1921" t="s">
        <v>1922</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4">
      <c r="A44" s="1922" t="s">
        <v>1923</v>
      </c>
      <c r="B44" s="124">
        <v>0.05</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4">
      <c r="A45" s="1922" t="s">
        <v>1924</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4">
      <c r="A46" s="1922" t="s">
        <v>1925</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3" t="s">
        <v>1926</v>
      </c>
      <c r="B47" s="125"/>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4">
      <c r="A48" s="1924" t="s">
        <v>1927</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20" t="s">
        <v>1928</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4">
      <c r="A50" s="1925" t="s">
        <v>1929</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8" t="s">
        <v>1930</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4">
      <c r="A52" s="1925" t="s">
        <v>1931</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8.8">
      <c r="A53" s="1917" t="s">
        <v>1932</v>
      </c>
      <c r="B53" s="1926" t="s">
        <v>56</v>
      </c>
      <c r="C53" s="2887" t="s">
        <v>1933</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4">
      <c r="A54" s="1927" t="s">
        <v>1934</v>
      </c>
      <c r="B54" s="80">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4">
      <c r="A55" s="1927" t="s">
        <v>1935</v>
      </c>
      <c r="B55" s="80">
        <v>24</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4">
      <c r="A56" s="1927" t="s">
        <v>1936</v>
      </c>
      <c r="B56" s="80">
        <v>18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4">
      <c r="A57" s="1927" t="s">
        <v>1937</v>
      </c>
      <c r="B57" s="80">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4">
      <c r="A58" s="1927" t="s">
        <v>1938</v>
      </c>
      <c r="B58" s="80">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4">
      <c r="A59" s="1927" t="s">
        <v>1939</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4">
      <c r="A60" s="1927"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4">
      <c r="A61" s="1927"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4">
      <c r="A62" s="1927"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8" t="s">
        <v>1943</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3.8"/>
  <cols>
    <col min="1" max="1" width="9.44140625" style="1874" customWidth="1"/>
    <col min="2" max="2" width="24.44140625" style="1759" customWidth="1"/>
    <col min="3" max="3" width="24.44140625" style="2735" customWidth="1"/>
    <col min="4" max="4" width="2.6640625" style="2735" customWidth="1"/>
    <col min="5" max="5" width="5.88671875" style="2735" customWidth="1"/>
    <col min="6" max="6" width="27" style="1759" customWidth="1"/>
    <col min="7" max="7" width="27" style="2736" customWidth="1"/>
    <col min="8" max="8" width="11.88671875" style="2716" customWidth="1"/>
    <col min="9" max="9" width="16.77734375" style="2717" customWidth="1"/>
    <col min="10" max="10" width="2.6640625" style="2716" customWidth="1"/>
    <col min="11" max="11" width="11.88671875" style="2716" customWidth="1"/>
    <col min="12" max="12" width="16.77734375" style="2717" customWidth="1"/>
    <col min="13" max="13" width="2.6640625" style="2716" customWidth="1"/>
    <col min="14" max="14" width="11.88671875" style="2716" customWidth="1"/>
    <col min="15" max="15" width="16.77734375" style="2717" customWidth="1"/>
    <col min="16" max="16" width="2.6640625" style="2716" customWidth="1"/>
    <col min="17" max="17" width="11.88671875" style="2716" customWidth="1"/>
    <col min="18" max="18" width="16.77734375" style="2718" customWidth="1"/>
    <col min="19" max="29" width="9" style="907"/>
    <col min="30" max="16384" width="9" style="1874"/>
  </cols>
  <sheetData>
    <row r="1" spans="1:29" s="2682" customFormat="1" ht="18" thickBot="1">
      <c r="A1" s="3181" t="s">
        <v>3031</v>
      </c>
      <c r="B1" s="3182"/>
      <c r="C1" s="3182"/>
      <c r="D1" s="3182"/>
      <c r="E1" s="3182"/>
      <c r="F1" s="3182"/>
      <c r="G1" s="3182"/>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4.4"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7.200000000000003">
      <c r="A4" s="2667"/>
      <c r="B4" s="329" t="s">
        <v>2999</v>
      </c>
      <c r="C4" s="2693" t="s">
        <v>3000</v>
      </c>
      <c r="D4" s="2690"/>
      <c r="E4" s="2694"/>
      <c r="F4" s="1559" t="s">
        <v>3001</v>
      </c>
      <c r="G4" s="2695" t="s">
        <v>3002</v>
      </c>
      <c r="H4" s="907"/>
      <c r="I4" s="907"/>
      <c r="J4" s="907"/>
      <c r="K4" s="907"/>
      <c r="L4" s="907"/>
      <c r="M4" s="907"/>
      <c r="N4" s="907"/>
      <c r="O4" s="907"/>
      <c r="P4" s="907"/>
      <c r="Q4" s="907"/>
      <c r="R4" s="907"/>
    </row>
    <row r="5" spans="1:29" ht="37.200000000000003">
      <c r="A5" s="2667"/>
      <c r="B5" s="329" t="s">
        <v>3003</v>
      </c>
      <c r="C5" s="2693" t="s">
        <v>3004</v>
      </c>
      <c r="D5" s="2690"/>
      <c r="E5" s="2694"/>
      <c r="F5" s="329" t="s">
        <v>3005</v>
      </c>
      <c r="G5" s="2695" t="s">
        <v>3006</v>
      </c>
      <c r="H5" s="907"/>
      <c r="I5" s="907"/>
      <c r="J5" s="907"/>
      <c r="K5" s="907"/>
      <c r="L5" s="907"/>
      <c r="M5" s="907"/>
      <c r="N5" s="907"/>
      <c r="O5" s="907"/>
      <c r="P5" s="907"/>
      <c r="Q5" s="907"/>
      <c r="R5" s="907"/>
    </row>
    <row r="6" spans="1:29" ht="48">
      <c r="A6" s="2667"/>
      <c r="B6" s="329" t="s">
        <v>3007</v>
      </c>
      <c r="C6" s="2695" t="s">
        <v>3002</v>
      </c>
      <c r="D6" s="2690"/>
      <c r="E6" s="2694"/>
      <c r="F6" s="329" t="s">
        <v>3008</v>
      </c>
      <c r="G6" s="2695" t="s">
        <v>3009</v>
      </c>
      <c r="H6" s="907"/>
      <c r="I6" s="907"/>
      <c r="J6" s="907"/>
      <c r="K6" s="907"/>
      <c r="L6" s="907"/>
      <c r="M6" s="907"/>
      <c r="N6" s="907"/>
      <c r="O6" s="907"/>
      <c r="P6" s="907"/>
      <c r="Q6" s="907"/>
      <c r="R6" s="907"/>
    </row>
    <row r="7" spans="1:29" ht="36.6"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ht="24">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4.4"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7.399999999999999">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 thickBot="1">
      <c r="A13" s="2715" t="s">
        <v>3032</v>
      </c>
      <c r="B13" s="2709"/>
      <c r="C13" s="2709"/>
      <c r="D13" s="2707"/>
      <c r="E13" s="2709"/>
      <c r="F13" s="2709"/>
      <c r="G13" s="2709"/>
    </row>
    <row r="14" spans="1:29" ht="14.4" thickBot="1">
      <c r="A14" s="2719"/>
      <c r="B14" s="2719"/>
      <c r="C14" s="2720" t="s">
        <v>3015</v>
      </c>
      <c r="D14" s="2690"/>
      <c r="E14" s="2721"/>
      <c r="F14" s="2721"/>
      <c r="G14" s="2685" t="s">
        <v>3016</v>
      </c>
    </row>
    <row r="15" spans="1:29" ht="52.8">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9.6">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9.6">
      <c r="A17" s="2671"/>
      <c r="B17" s="2725" t="s">
        <v>3003</v>
      </c>
      <c r="C17" s="2726" t="str">
        <f>C5</f>
        <v>估价对象位于XX商圈，周边办公楼项目较多，入驻率高，办公集聚程度较好</v>
      </c>
      <c r="D17" s="2696"/>
      <c r="E17" s="2672"/>
      <c r="F17" s="2727" t="s">
        <v>3020</v>
      </c>
      <c r="G17" s="2729"/>
    </row>
    <row r="18" spans="1:18" ht="52.8">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6.4">
      <c r="A19" s="2671"/>
      <c r="B19" s="2727" t="s">
        <v>3021</v>
      </c>
      <c r="C19" s="2729"/>
      <c r="D19" s="2690"/>
      <c r="E19" s="2672"/>
      <c r="F19" s="329" t="s">
        <v>3005</v>
      </c>
      <c r="G19" s="2728" t="str">
        <f>G5</f>
        <v>估价对象所在区域公共配套设施齐备情况</v>
      </c>
    </row>
    <row r="20" spans="1:18" ht="26.4">
      <c r="A20" s="2671"/>
      <c r="B20" s="2727" t="s">
        <v>3022</v>
      </c>
      <c r="C20" s="2726" t="str">
        <f>C9</f>
        <v>区域自然环境：；人文环境；综合评价环境状况一般</v>
      </c>
      <c r="D20" s="2696"/>
      <c r="E20" s="2672"/>
      <c r="F20" s="329" t="s">
        <v>3008</v>
      </c>
      <c r="G20" s="2728" t="str">
        <f>G6</f>
        <v>估价对象所在区域基础设施水平</v>
      </c>
    </row>
    <row r="21" spans="1:18" ht="26.4">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4.4" thickBot="1">
      <c r="A23" s="2671"/>
      <c r="B23" s="2727" t="s">
        <v>3023</v>
      </c>
      <c r="C23" s="2730"/>
      <c r="D23" s="1929"/>
      <c r="E23" s="2673"/>
      <c r="F23" s="2731" t="s">
        <v>3024</v>
      </c>
      <c r="G23" s="2732"/>
      <c r="H23" s="2716"/>
      <c r="I23" s="2717"/>
      <c r="J23" s="2716"/>
      <c r="K23" s="2716"/>
      <c r="L23" s="2717"/>
      <c r="M23" s="2716"/>
      <c r="N23" s="2716"/>
      <c r="O23" s="2717"/>
      <c r="P23" s="2716"/>
      <c r="Q23" s="2716"/>
      <c r="R23" s="2718"/>
    </row>
    <row r="24" spans="1:18" s="907" customFormat="1" ht="14.4" thickBot="1">
      <c r="A24" s="2674"/>
      <c r="B24" s="2731" t="s">
        <v>3025</v>
      </c>
      <c r="C24" s="2733">
        <f>C10</f>
        <v>0</v>
      </c>
      <c r="D24" s="1929"/>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6:L18"/>
  <sheetViews>
    <sheetView workbookViewId="0">
      <selection activeCell="H8" sqref="H8:H11"/>
    </sheetView>
  </sheetViews>
  <sheetFormatPr defaultRowHeight="14.4"/>
  <cols>
    <col min="7" max="7" width="10.44140625" customWidth="1"/>
    <col min="8" max="8" width="10.33203125" customWidth="1"/>
    <col min="9" max="9" width="16" customWidth="1"/>
    <col min="11" max="11" width="13.77734375" customWidth="1"/>
    <col min="12" max="12" width="14.44140625" customWidth="1"/>
  </cols>
  <sheetData>
    <row r="6" spans="6:12">
      <c r="F6" s="3060" t="s">
        <v>3140</v>
      </c>
      <c r="G6" s="3060" t="s">
        <v>3138</v>
      </c>
      <c r="H6" s="3060" t="s">
        <v>3137</v>
      </c>
      <c r="I6" s="3060" t="s">
        <v>3139</v>
      </c>
      <c r="K6" s="3060" t="s">
        <v>3141</v>
      </c>
      <c r="L6" s="3060"/>
    </row>
    <row r="7" spans="6:12">
      <c r="F7" s="3061">
        <v>101</v>
      </c>
      <c r="G7" s="3061">
        <f ca="1">典型户型修正!R24</f>
        <v>34646</v>
      </c>
      <c r="H7" s="3061">
        <v>125.74</v>
      </c>
      <c r="I7" s="3061">
        <f ca="1">G7*H7</f>
        <v>4356388.04</v>
      </c>
      <c r="K7" s="3061">
        <f ca="1">SUM(I7:I11)</f>
        <v>20505415.079999998</v>
      </c>
      <c r="L7" s="3061"/>
    </row>
    <row r="8" spans="6:12">
      <c r="F8" s="3061">
        <v>102</v>
      </c>
      <c r="G8" s="3061">
        <f ca="1">典型户型修正!R25</f>
        <v>34646</v>
      </c>
      <c r="H8" s="3061">
        <v>138.44999999999999</v>
      </c>
      <c r="I8" s="3061">
        <f t="shared" ref="I8:I11" ca="1" si="0">G8*H8</f>
        <v>4796738.6999999993</v>
      </c>
    </row>
    <row r="9" spans="6:12">
      <c r="F9" s="3061">
        <v>103</v>
      </c>
      <c r="G9" s="3061">
        <f ca="1">典型户型修正!R26</f>
        <v>34646</v>
      </c>
      <c r="H9" s="3061">
        <v>137.61000000000001</v>
      </c>
      <c r="I9" s="3061">
        <f t="shared" ca="1" si="0"/>
        <v>4767636.0600000005</v>
      </c>
    </row>
    <row r="10" spans="6:12">
      <c r="F10" s="3061">
        <v>104</v>
      </c>
      <c r="G10" s="3061">
        <f ca="1">典型户型修正!R27</f>
        <v>34646</v>
      </c>
      <c r="H10" s="3061">
        <v>121.22</v>
      </c>
      <c r="I10" s="3061">
        <f t="shared" ca="1" si="0"/>
        <v>4199788.12</v>
      </c>
    </row>
    <row r="11" spans="6:12">
      <c r="F11" s="3061">
        <v>105</v>
      </c>
      <c r="G11" s="3061">
        <f ca="1">典型户型修正!R28</f>
        <v>33068</v>
      </c>
      <c r="H11" s="3061">
        <v>72.12</v>
      </c>
      <c r="I11" s="3061">
        <f t="shared" ca="1" si="0"/>
        <v>2384864.16</v>
      </c>
    </row>
    <row r="12" spans="6:12">
      <c r="F12" s="3061"/>
      <c r="G12" s="3061"/>
      <c r="H12" s="3061"/>
      <c r="I12" s="3061"/>
    </row>
    <row r="13" spans="6:12">
      <c r="F13" s="3061"/>
      <c r="G13" s="3061"/>
      <c r="H13" s="3061"/>
      <c r="I13" s="3061"/>
    </row>
    <row r="14" spans="6:12">
      <c r="F14" s="3061"/>
      <c r="G14" s="3061"/>
      <c r="H14" s="3061"/>
      <c r="I14" s="3061"/>
    </row>
    <row r="15" spans="6:12">
      <c r="F15" s="3061"/>
      <c r="G15" s="3061"/>
      <c r="H15" s="3061"/>
      <c r="I15" s="3061"/>
    </row>
    <row r="16" spans="6:12">
      <c r="F16" s="3061"/>
      <c r="G16" s="3061"/>
      <c r="H16" s="3061"/>
      <c r="I16" s="3061"/>
    </row>
    <row r="17" spans="6:9">
      <c r="F17" s="3061"/>
      <c r="G17" s="3061"/>
      <c r="H17" s="3061"/>
      <c r="I17" s="3061"/>
    </row>
    <row r="18" spans="6:9">
      <c r="F18" s="3061"/>
      <c r="G18" s="3061"/>
      <c r="H18" s="3061"/>
      <c r="I18" s="3061"/>
    </row>
  </sheetData>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39:R40"/>
  <sheetViews>
    <sheetView topLeftCell="A154" workbookViewId="0">
      <selection activeCell="Q94" sqref="Q94"/>
    </sheetView>
  </sheetViews>
  <sheetFormatPr defaultRowHeight="14.4"/>
  <sheetData>
    <row r="39" spans="18:18">
      <c r="R39" s="3070" t="s">
        <v>3174</v>
      </c>
    </row>
    <row r="40" spans="18:18">
      <c r="R40" s="3070" t="s">
        <v>3175</v>
      </c>
    </row>
  </sheetData>
  <phoneticPr fontId="14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1" sqref="F31"/>
    </sheetView>
  </sheetViews>
  <sheetFormatPr defaultColWidth="9" defaultRowHeight="14.4"/>
  <cols>
    <col min="1" max="1" width="25" style="2738" customWidth="1"/>
    <col min="2" max="9" width="15.77734375" style="2738" customWidth="1"/>
    <col min="10" max="16384" width="9" style="2738"/>
  </cols>
  <sheetData>
    <row r="1" spans="1:11" ht="16.2">
      <c r="A1" s="2737" t="s">
        <v>1331</v>
      </c>
      <c r="B1" s="2737">
        <f>SUM(B14:B23)</f>
        <v>671.51000000000022</v>
      </c>
      <c r="C1" s="2914"/>
      <c r="D1" s="2914"/>
      <c r="E1" s="2914"/>
      <c r="F1" s="2914"/>
      <c r="G1" s="2915"/>
      <c r="H1" s="2916"/>
      <c r="I1" s="2916"/>
      <c r="J1" s="2916"/>
      <c r="K1" s="2916"/>
    </row>
    <row r="2" spans="1:11" ht="16.2">
      <c r="A2" s="2737" t="s">
        <v>1319</v>
      </c>
      <c r="B2" s="2737">
        <f>SUM(C14:C23)</f>
        <v>0</v>
      </c>
      <c r="C2" s="2914"/>
      <c r="D2" s="2914"/>
      <c r="E2" s="2914"/>
      <c r="F2" s="2914"/>
      <c r="G2" s="2915"/>
      <c r="H2" s="2916"/>
      <c r="I2" s="2916"/>
      <c r="J2" s="2916"/>
      <c r="K2" s="2916"/>
    </row>
    <row r="3" spans="1:11" ht="15.6">
      <c r="A3" s="2737" t="s">
        <v>1328</v>
      </c>
      <c r="B3" s="2739">
        <f>项目基本情况!D3</f>
        <v>44209</v>
      </c>
      <c r="C3" s="2914"/>
      <c r="D3" s="2914"/>
      <c r="E3" s="2914"/>
      <c r="F3" s="2914"/>
      <c r="G3" s="2915"/>
      <c r="H3" s="2916"/>
      <c r="I3" s="2916"/>
      <c r="J3" s="2916"/>
      <c r="K3" s="2916"/>
    </row>
    <row r="4" spans="1:11" ht="31.2">
      <c r="A4" s="2737" t="s">
        <v>1327</v>
      </c>
      <c r="B4" s="2737" t="s">
        <v>1326</v>
      </c>
      <c r="C4" s="2737" t="s">
        <v>1325</v>
      </c>
      <c r="D4" s="2737" t="s">
        <v>1324</v>
      </c>
      <c r="E4" s="2914"/>
      <c r="F4" s="2915"/>
      <c r="G4" s="2915"/>
      <c r="H4" s="2916"/>
      <c r="I4" s="2916"/>
      <c r="J4" s="2916"/>
      <c r="K4" s="2916"/>
    </row>
    <row r="5" spans="1:11" ht="15.6">
      <c r="A5" s="2737" t="s">
        <v>1323</v>
      </c>
      <c r="B5" s="2737">
        <f ca="1">SUM(D14:D23)</f>
        <v>2302</v>
      </c>
      <c r="C5" s="2737">
        <f ca="1">ROUND(B5*10000/$B$1,0)</f>
        <v>34281</v>
      </c>
      <c r="D5" s="2737" t="e">
        <f ca="1">ROUND(B5*10000/$B$2,0)</f>
        <v>#DIV/0!</v>
      </c>
      <c r="E5" s="2914"/>
      <c r="F5" s="2915"/>
      <c r="G5" s="2915"/>
      <c r="H5" s="2916"/>
      <c r="I5" s="2916"/>
      <c r="J5" s="2916"/>
      <c r="K5" s="2916"/>
    </row>
    <row r="6" spans="1:11" ht="15.6">
      <c r="A6" s="2737" t="s">
        <v>1322</v>
      </c>
      <c r="B6" s="2737">
        <f ca="1">SUM(G14:G23)</f>
        <v>2302</v>
      </c>
      <c r="C6" s="2737">
        <f ca="1">ROUND(B6*10000/$B$1,0)</f>
        <v>34281</v>
      </c>
      <c r="D6" s="2737" t="e">
        <f ca="1">ROUND(B6*10000/$B$2,0)</f>
        <v>#DIV/0!</v>
      </c>
      <c r="E6" s="2914"/>
      <c r="F6" s="2915"/>
      <c r="G6" s="2915"/>
      <c r="H6" s="2916"/>
      <c r="I6" s="2916"/>
      <c r="J6" s="2916"/>
      <c r="K6" s="2916"/>
    </row>
    <row r="7" spans="1:11" ht="15.6">
      <c r="A7" s="2737" t="s">
        <v>1330</v>
      </c>
      <c r="B7" s="2737">
        <f ca="1">SUM(H14:H23)</f>
        <v>2302</v>
      </c>
      <c r="C7" s="2737">
        <f ca="1">ROUND(B7*10000/$B$1,0)</f>
        <v>34281</v>
      </c>
      <c r="D7" s="2737" t="e">
        <f ca="1">ROUND(B7*10000/$B$2,0)</f>
        <v>#DIV/0!</v>
      </c>
      <c r="E7" s="2914"/>
      <c r="F7" s="2915"/>
      <c r="G7" s="2915"/>
      <c r="H7" s="2916"/>
      <c r="I7" s="2916"/>
      <c r="J7" s="2916"/>
      <c r="K7" s="2916"/>
    </row>
    <row r="8" spans="1:11" ht="15.6">
      <c r="A8" s="2737" t="s">
        <v>1252</v>
      </c>
      <c r="B8" s="2737">
        <f ca="1">SUM(I14:I23)</f>
        <v>1936</v>
      </c>
      <c r="C8" s="2737">
        <f ca="1">ROUND(B8*10000/$B$1,0)</f>
        <v>28831</v>
      </c>
      <c r="D8" s="2737" t="e">
        <f ca="1">ROUND(B8*10000/$B$2,0)</f>
        <v>#DIV/0!</v>
      </c>
      <c r="E8" s="2914"/>
      <c r="F8" s="2915"/>
      <c r="G8" s="2915"/>
      <c r="H8" s="2916"/>
      <c r="I8" s="2916"/>
      <c r="J8" s="2916"/>
      <c r="K8" s="2916"/>
    </row>
    <row r="9" spans="1:11" ht="15.6">
      <c r="A9" s="2737" t="s">
        <v>1321</v>
      </c>
      <c r="B9" s="2745"/>
      <c r="C9" s="2914"/>
      <c r="D9" s="2914"/>
      <c r="E9" s="2914"/>
      <c r="F9" s="2915"/>
      <c r="G9" s="2915"/>
      <c r="H9" s="2916"/>
      <c r="I9" s="2916"/>
      <c r="J9" s="2916"/>
      <c r="K9" s="2916"/>
    </row>
    <row r="10" spans="1:11" ht="15.6">
      <c r="A10" s="2737" t="s">
        <v>1320</v>
      </c>
      <c r="B10" s="2745"/>
      <c r="C10" s="2914"/>
      <c r="D10" s="2914"/>
      <c r="E10" s="2914"/>
      <c r="F10" s="2915"/>
      <c r="G10" s="2915"/>
      <c r="H10" s="2916"/>
      <c r="I10" s="2916"/>
      <c r="J10" s="2916"/>
      <c r="K10" s="2916"/>
    </row>
    <row r="11" spans="1:11" ht="15.6">
      <c r="A11" s="2737" t="s">
        <v>1336</v>
      </c>
      <c r="B11" s="2745"/>
      <c r="C11" s="2914"/>
      <c r="D11" s="2914"/>
      <c r="E11" s="2914"/>
      <c r="F11" s="2915"/>
      <c r="G11" s="2915"/>
      <c r="H11" s="2916"/>
      <c r="I11" s="2916"/>
      <c r="J11" s="2916"/>
      <c r="K11" s="2916"/>
    </row>
    <row r="12" spans="1:11" ht="15.6">
      <c r="A12" s="2914"/>
      <c r="B12" s="2914"/>
      <c r="C12" s="2914"/>
      <c r="D12" s="2914"/>
      <c r="E12" s="2914"/>
      <c r="F12" s="2915"/>
      <c r="G12" s="2915"/>
      <c r="H12" s="2916"/>
      <c r="I12" s="2916"/>
      <c r="J12" s="2916"/>
      <c r="K12" s="2916"/>
    </row>
    <row r="13" spans="1:11" ht="31.8">
      <c r="A13" s="2740" t="s">
        <v>1335</v>
      </c>
      <c r="B13" s="2741" t="s">
        <v>1332</v>
      </c>
      <c r="C13" s="2741" t="s">
        <v>1334</v>
      </c>
      <c r="D13" s="2741" t="s">
        <v>1333</v>
      </c>
      <c r="E13" s="2737" t="s">
        <v>1325</v>
      </c>
      <c r="F13" s="2737" t="s">
        <v>1324</v>
      </c>
      <c r="G13" s="2741" t="s">
        <v>1318</v>
      </c>
      <c r="H13" s="2741" t="s">
        <v>1329</v>
      </c>
      <c r="I13" s="2741" t="s">
        <v>1317</v>
      </c>
      <c r="J13" s="2915"/>
      <c r="K13" s="2916"/>
    </row>
    <row r="14" spans="1:11" ht="15.6">
      <c r="A14" s="2742" t="s">
        <v>1316</v>
      </c>
      <c r="B14" s="2743">
        <f>结果表!B118</f>
        <v>116.2</v>
      </c>
      <c r="C14" s="2743">
        <f>结果表!C118</f>
        <v>0</v>
      </c>
      <c r="D14" s="2743">
        <f ca="1">结果表!H118</f>
        <v>403</v>
      </c>
      <c r="E14" s="2743">
        <f ca="1">ROUND(D14*10000/B14,0)</f>
        <v>34682</v>
      </c>
      <c r="F14" s="2743" t="e">
        <f ca="1">ROUND(D14*10000/C14,0)</f>
        <v>#DIV/0!</v>
      </c>
      <c r="G14" s="2743">
        <f ca="1">D14</f>
        <v>403</v>
      </c>
      <c r="H14" s="2743">
        <f ca="1">结果表!D124</f>
        <v>403</v>
      </c>
      <c r="I14" s="2743">
        <f ca="1">'结果表 (净值)'!N59</f>
        <v>1936</v>
      </c>
      <c r="J14" s="2915"/>
      <c r="K14" s="2916"/>
    </row>
    <row r="15" spans="1:11" ht="15.6">
      <c r="A15" s="2742" t="s">
        <v>1315</v>
      </c>
      <c r="B15" s="2744">
        <f>典型户型修正!B25</f>
        <v>142.52000000000001</v>
      </c>
      <c r="C15" s="2744"/>
      <c r="D15" s="2744">
        <f ca="1">典型户型修正!S25</f>
        <v>494</v>
      </c>
      <c r="E15" s="2743">
        <f t="shared" ref="E15:E23" ca="1" si="0">ROUND(D15*10000/B15,0)</f>
        <v>34662</v>
      </c>
      <c r="F15" s="2743" t="e">
        <f t="shared" ref="F15:F23" ca="1" si="1">ROUND(D15*10000/C15,0)</f>
        <v>#DIV/0!</v>
      </c>
      <c r="G15" s="1502">
        <f ca="1">D15</f>
        <v>494</v>
      </c>
      <c r="H15" s="1502">
        <f ca="1">G15</f>
        <v>494</v>
      </c>
      <c r="I15" s="2744"/>
      <c r="J15" s="2915"/>
      <c r="K15" s="2916"/>
    </row>
    <row r="16" spans="1:11" ht="15.6">
      <c r="A16" s="2742" t="s">
        <v>1314</v>
      </c>
      <c r="B16" s="2744">
        <f>典型户型修正!B26</f>
        <v>133.59</v>
      </c>
      <c r="C16" s="2744"/>
      <c r="D16" s="2744">
        <f ca="1">典型户型修正!S26</f>
        <v>463</v>
      </c>
      <c r="E16" s="2743">
        <f t="shared" ca="1" si="0"/>
        <v>34658</v>
      </c>
      <c r="F16" s="2743" t="e">
        <f t="shared" ca="1" si="1"/>
        <v>#DIV/0!</v>
      </c>
      <c r="G16" s="1502">
        <f t="shared" ref="G16:G20" ca="1" si="2">D16</f>
        <v>463</v>
      </c>
      <c r="H16" s="1502">
        <f t="shared" ref="H16:H20" ca="1" si="3">G16</f>
        <v>463</v>
      </c>
      <c r="I16" s="2744"/>
      <c r="J16" s="2916"/>
      <c r="K16" s="2916"/>
    </row>
    <row r="17" spans="1:11" ht="15.6">
      <c r="A17" s="2742" t="s">
        <v>1313</v>
      </c>
      <c r="B17" s="2744">
        <f>典型户型修正!B27</f>
        <v>125.85</v>
      </c>
      <c r="C17" s="2744"/>
      <c r="D17" s="2744">
        <f ca="1">典型户型修正!S27</f>
        <v>436</v>
      </c>
      <c r="E17" s="2743">
        <f t="shared" ca="1" si="0"/>
        <v>34644</v>
      </c>
      <c r="F17" s="2743" t="e">
        <f t="shared" ca="1" si="1"/>
        <v>#DIV/0!</v>
      </c>
      <c r="G17" s="1502">
        <f t="shared" ca="1" si="2"/>
        <v>436</v>
      </c>
      <c r="H17" s="1502">
        <f t="shared" ca="1" si="3"/>
        <v>436</v>
      </c>
      <c r="I17" s="2744"/>
      <c r="J17" s="2916"/>
      <c r="K17" s="2916"/>
    </row>
    <row r="18" spans="1:11" ht="15.6">
      <c r="A18" s="2742" t="s">
        <v>1312</v>
      </c>
      <c r="B18" s="2744">
        <f>典型户型修正!B28</f>
        <v>28.82</v>
      </c>
      <c r="C18" s="2744"/>
      <c r="D18" s="2744">
        <f ca="1">典型户型修正!S28</f>
        <v>95</v>
      </c>
      <c r="E18" s="2743">
        <f t="shared" ca="1" si="0"/>
        <v>32963</v>
      </c>
      <c r="F18" s="2743" t="e">
        <f t="shared" ca="1" si="1"/>
        <v>#DIV/0!</v>
      </c>
      <c r="G18" s="1502">
        <f t="shared" ca="1" si="2"/>
        <v>95</v>
      </c>
      <c r="H18" s="1502">
        <f t="shared" ca="1" si="3"/>
        <v>95</v>
      </c>
      <c r="I18" s="2744"/>
      <c r="J18" s="2916"/>
      <c r="K18" s="2916"/>
    </row>
    <row r="19" spans="1:11" ht="15.6">
      <c r="A19" s="2742" t="s">
        <v>1311</v>
      </c>
      <c r="B19" s="2744">
        <f>典型户型修正!B29</f>
        <v>95.71</v>
      </c>
      <c r="C19" s="2744"/>
      <c r="D19" s="2744">
        <f ca="1">典型户型修正!S29</f>
        <v>316</v>
      </c>
      <c r="E19" s="2743">
        <f t="shared" ca="1" si="0"/>
        <v>33016</v>
      </c>
      <c r="F19" s="2743" t="e">
        <f t="shared" ca="1" si="1"/>
        <v>#DIV/0!</v>
      </c>
      <c r="G19" s="1502">
        <f t="shared" ca="1" si="2"/>
        <v>316</v>
      </c>
      <c r="H19" s="1502">
        <f t="shared" ca="1" si="3"/>
        <v>316</v>
      </c>
      <c r="I19" s="2744"/>
      <c r="J19" s="2916"/>
      <c r="K19" s="2916"/>
    </row>
    <row r="20" spans="1:11" ht="15.6">
      <c r="A20" s="2742" t="s">
        <v>1310</v>
      </c>
      <c r="B20" s="2744">
        <f>典型户型修正!B30</f>
        <v>28.82</v>
      </c>
      <c r="C20" s="2744"/>
      <c r="D20" s="2744">
        <f ca="1">典型户型修正!S30</f>
        <v>95</v>
      </c>
      <c r="E20" s="2743">
        <f t="shared" ca="1" si="0"/>
        <v>32963</v>
      </c>
      <c r="F20" s="2743" t="e">
        <f t="shared" ca="1" si="1"/>
        <v>#DIV/0!</v>
      </c>
      <c r="G20" s="1502">
        <f t="shared" ca="1" si="2"/>
        <v>95</v>
      </c>
      <c r="H20" s="1502">
        <f t="shared" ca="1" si="3"/>
        <v>95</v>
      </c>
      <c r="I20" s="2744"/>
      <c r="J20" s="2916"/>
      <c r="K20" s="2916"/>
    </row>
    <row r="21" spans="1:11" ht="15.6">
      <c r="A21" s="2742" t="s">
        <v>1309</v>
      </c>
      <c r="B21" s="2744"/>
      <c r="C21" s="2744"/>
      <c r="D21" s="2744"/>
      <c r="E21" s="2743" t="e">
        <f t="shared" si="0"/>
        <v>#DIV/0!</v>
      </c>
      <c r="F21" s="2743" t="e">
        <f t="shared" si="1"/>
        <v>#DIV/0!</v>
      </c>
      <c r="G21" s="2744"/>
      <c r="H21" s="2744"/>
      <c r="I21" s="2744"/>
      <c r="J21" s="2916"/>
      <c r="K21" s="2916"/>
    </row>
    <row r="22" spans="1:11" ht="15.6">
      <c r="A22" s="2742" t="s">
        <v>1308</v>
      </c>
      <c r="B22" s="2744"/>
      <c r="C22" s="2744"/>
      <c r="D22" s="2744"/>
      <c r="E22" s="2743" t="e">
        <f t="shared" si="0"/>
        <v>#DIV/0!</v>
      </c>
      <c r="F22" s="2743" t="e">
        <f t="shared" si="1"/>
        <v>#DIV/0!</v>
      </c>
      <c r="G22" s="2744"/>
      <c r="H22" s="2744"/>
      <c r="I22" s="2744"/>
      <c r="J22" s="2916"/>
      <c r="K22" s="2916"/>
    </row>
    <row r="23" spans="1:11" ht="15.6">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091" t="str">
        <f>项目基本情况!B1</f>
        <v>北京市房地产市场价值预评估</v>
      </c>
      <c r="C37" s="3091"/>
      <c r="D37" s="3091"/>
      <c r="E37" s="3091"/>
      <c r="F37" s="3091"/>
      <c r="G37" s="3091"/>
      <c r="H37" s="3091"/>
      <c r="I37" s="3091"/>
    </row>
    <row r="38" spans="1:9">
      <c r="A38" s="953"/>
      <c r="B38" s="953"/>
    </row>
    <row r="39" spans="1:9">
      <c r="A39" s="951" t="s">
        <v>818</v>
      </c>
      <c r="B39" s="951" t="s">
        <v>820</v>
      </c>
    </row>
    <row r="40" spans="1:9">
      <c r="A40" s="951"/>
      <c r="B40" s="1661" t="str">
        <f>项目基本情况!B5</f>
        <v>北京睿利众屹软件有限公司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c r="B46" s="1661" t="str">
        <f ca="1">项目基本情况!K4</f>
        <v>王鹏（注册号：1120050019)、郑燚（注册号：1120070131)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3" zoomScale="85" zoomScaleNormal="100" zoomScaleSheetLayoutView="85" zoomScalePageLayoutView="80" workbookViewId="0">
      <selection activeCell="H65" sqref="H65"/>
    </sheetView>
  </sheetViews>
  <sheetFormatPr defaultColWidth="12.6640625" defaultRowHeight="21.75" customHeight="1"/>
  <cols>
    <col min="1" max="2" width="12.6640625" style="1941"/>
    <col min="3" max="4" width="12.6640625" style="1941" customWidth="1"/>
    <col min="5" max="9" width="12.6640625" style="1941"/>
    <col min="10" max="11" width="12.6640625" style="734" customWidth="1"/>
    <col min="12" max="12" width="12.6640625" style="734"/>
    <col min="13" max="13" width="14.109375" style="734" bestFit="1" customWidth="1"/>
    <col min="14" max="26" width="12.6640625" style="734"/>
    <col min="27" max="35" width="12.6640625" style="1940"/>
    <col min="36" max="16384" width="12.6640625" style="1941"/>
  </cols>
  <sheetData>
    <row r="1" spans="1:12" ht="21.75" customHeight="1" thickBot="1">
      <c r="A1" s="1824" t="s">
        <v>1949</v>
      </c>
      <c r="B1" s="1935"/>
      <c r="C1" s="1936"/>
      <c r="D1" s="1935"/>
      <c r="E1" s="1935"/>
      <c r="F1" s="1937" t="s">
        <v>1950</v>
      </c>
      <c r="G1" s="1748" t="s">
        <v>3073</v>
      </c>
      <c r="H1" s="1938" t="str">
        <f>IF(G1="现房","——","估价对象范围")</f>
        <v>——</v>
      </c>
      <c r="I1" s="1939" t="s">
        <v>70</v>
      </c>
    </row>
    <row r="2" spans="1:12" ht="21.75" customHeight="1" thickBot="1">
      <c r="A2" s="3188" t="str">
        <f>项目基本情况!S2</f>
        <v>北京市房地产</v>
      </c>
      <c r="B2" s="3189"/>
      <c r="C2" s="3189"/>
      <c r="D2" s="3189"/>
      <c r="E2" s="3189"/>
      <c r="F2" s="3189"/>
      <c r="G2" s="3189"/>
      <c r="H2" s="3189"/>
      <c r="I2" s="3190"/>
    </row>
    <row r="3" spans="1:12" ht="13.2">
      <c r="A3" s="3191" t="s">
        <v>1951</v>
      </c>
      <c r="B3" s="3192"/>
      <c r="C3" s="3192"/>
      <c r="D3" s="3192"/>
      <c r="E3" s="3192"/>
      <c r="F3" s="3192"/>
      <c r="G3" s="3192"/>
      <c r="H3" s="3192"/>
      <c r="I3" s="3192"/>
    </row>
    <row r="4" spans="1:12" ht="14.4">
      <c r="A4" s="1942" t="s">
        <v>1952</v>
      </c>
      <c r="B4" s="1943" t="s">
        <v>1953</v>
      </c>
      <c r="C4" s="1944" t="s">
        <v>3192</v>
      </c>
      <c r="D4" s="1944" t="s">
        <v>3192</v>
      </c>
      <c r="E4" s="3193" t="s">
        <v>1954</v>
      </c>
      <c r="F4" s="3194"/>
      <c r="G4" s="3194"/>
      <c r="H4" s="3194"/>
      <c r="I4" s="3195"/>
      <c r="K4" s="151" t="str">
        <f>IF(ISNUMBER(FIND("比较法",'结果表 (净值)'!C4)),"比较法",IF(ISNUMBER(FIND("成本法",'结果表 (净值)'!C4)),"成本法",IF(ISNUMBER(FIND("假设开发法",'结果表 (净值)'!C4)),"假设开发法",IF(ISNUMBER(FIND("收益法",'结果表 (净值)'!C4)),"收益法","基准地价系数修正法"))))</f>
        <v>基准地价系数修正法</v>
      </c>
      <c r="L4" s="151" t="str">
        <f>IF(ISNUMBER(FIND("比较法",'结果表 (净值)'!D4)),"比较法",IF(ISNUMBER(FIND("成本法",'结果表 (净值)'!D4)),"成本法",IF(ISNUMBER(FIND("假设开发法",'结果表 (净值)'!D4)),"假设开发法",IF(ISNUMBER(FIND("收益法",'结果表 (净值)'!D4)),"收益法","基准地价系数修正法"))))</f>
        <v>基准地价系数修正法</v>
      </c>
    </row>
    <row r="5" spans="1:12" ht="13.2">
      <c r="A5" s="3183" t="s">
        <v>1955</v>
      </c>
      <c r="B5" s="3184">
        <v>25</v>
      </c>
      <c r="C5" s="3185"/>
      <c r="D5" s="3187"/>
      <c r="E5" s="136" t="s">
        <v>1956</v>
      </c>
      <c r="F5" s="1945"/>
      <c r="G5" s="1945"/>
      <c r="H5" s="1945"/>
      <c r="I5" s="1559"/>
    </row>
    <row r="6" spans="1:12" ht="13.2">
      <c r="A6" s="3183"/>
      <c r="B6" s="3184"/>
      <c r="C6" s="3196"/>
      <c r="D6" s="3187"/>
      <c r="E6" s="136" t="s">
        <v>1957</v>
      </c>
      <c r="F6" s="1945"/>
      <c r="G6" s="1945"/>
      <c r="H6" s="1945"/>
      <c r="I6" s="1559"/>
    </row>
    <row r="7" spans="1:12" ht="13.2">
      <c r="A7" s="3183"/>
      <c r="B7" s="3184"/>
      <c r="C7" s="3186"/>
      <c r="D7" s="3187"/>
      <c r="E7" s="136" t="s">
        <v>1958</v>
      </c>
      <c r="F7" s="1945"/>
      <c r="G7" s="1945"/>
      <c r="H7" s="1945"/>
      <c r="I7" s="1559"/>
    </row>
    <row r="8" spans="1:12" ht="13.2">
      <c r="A8" s="3183" t="s">
        <v>1959</v>
      </c>
      <c r="B8" s="3184">
        <v>15</v>
      </c>
      <c r="C8" s="3185"/>
      <c r="D8" s="3187"/>
      <c r="E8" s="136" t="s">
        <v>1960</v>
      </c>
      <c r="F8" s="1945"/>
      <c r="G8" s="1945"/>
      <c r="H8" s="1945"/>
      <c r="I8" s="1559"/>
    </row>
    <row r="9" spans="1:12" ht="13.2">
      <c r="A9" s="3183"/>
      <c r="B9" s="3184"/>
      <c r="C9" s="3186"/>
      <c r="D9" s="3187"/>
      <c r="E9" s="136" t="s">
        <v>1961</v>
      </c>
      <c r="F9" s="1945"/>
      <c r="G9" s="1945"/>
      <c r="H9" s="1945"/>
      <c r="I9" s="1559"/>
    </row>
    <row r="10" spans="1:12" ht="13.2">
      <c r="A10" s="3183" t="s">
        <v>1962</v>
      </c>
      <c r="B10" s="3184">
        <v>15</v>
      </c>
      <c r="C10" s="3185"/>
      <c r="D10" s="3187"/>
      <c r="E10" s="136" t="s">
        <v>1963</v>
      </c>
      <c r="F10" s="1945"/>
      <c r="G10" s="1945"/>
      <c r="H10" s="1945"/>
      <c r="I10" s="1559"/>
    </row>
    <row r="11" spans="1:12" ht="13.2">
      <c r="A11" s="3183"/>
      <c r="B11" s="3184"/>
      <c r="C11" s="3186"/>
      <c r="D11" s="3187"/>
      <c r="E11" s="136" t="s">
        <v>1964</v>
      </c>
      <c r="F11" s="1945"/>
      <c r="G11" s="1945"/>
      <c r="H11" s="1945"/>
      <c r="I11" s="1559"/>
    </row>
    <row r="12" spans="1:12" ht="13.2">
      <c r="A12" s="3183" t="s">
        <v>1965</v>
      </c>
      <c r="B12" s="3184">
        <v>15</v>
      </c>
      <c r="C12" s="3185"/>
      <c r="D12" s="3187"/>
      <c r="E12" s="136" t="s">
        <v>1966</v>
      </c>
      <c r="F12" s="1945"/>
      <c r="G12" s="1945"/>
      <c r="H12" s="1945"/>
      <c r="I12" s="1559"/>
    </row>
    <row r="13" spans="1:12" ht="13.2">
      <c r="A13" s="3183"/>
      <c r="B13" s="3184"/>
      <c r="C13" s="3186"/>
      <c r="D13" s="3187"/>
      <c r="E13" s="136" t="s">
        <v>1967</v>
      </c>
      <c r="F13" s="1945"/>
      <c r="G13" s="1945"/>
      <c r="H13" s="1945"/>
      <c r="I13" s="1559"/>
    </row>
    <row r="14" spans="1:12" ht="13.2">
      <c r="A14" s="3183" t="s">
        <v>1968</v>
      </c>
      <c r="B14" s="3184">
        <v>30</v>
      </c>
      <c r="C14" s="3185">
        <v>5</v>
      </c>
      <c r="D14" s="3187">
        <v>5</v>
      </c>
      <c r="E14" s="136" t="s">
        <v>1969</v>
      </c>
      <c r="F14" s="1945"/>
      <c r="G14" s="1945"/>
      <c r="H14" s="1945"/>
      <c r="I14" s="1559"/>
    </row>
    <row r="15" spans="1:12" ht="13.2">
      <c r="A15" s="3183"/>
      <c r="B15" s="3184"/>
      <c r="C15" s="3196"/>
      <c r="D15" s="3187"/>
      <c r="E15" s="136" t="s">
        <v>1970</v>
      </c>
      <c r="F15" s="1945"/>
      <c r="G15" s="1945"/>
      <c r="H15" s="1945"/>
      <c r="I15" s="1559"/>
    </row>
    <row r="16" spans="1:12" ht="13.2">
      <c r="A16" s="3183"/>
      <c r="B16" s="3184"/>
      <c r="C16" s="3186"/>
      <c r="D16" s="3187"/>
      <c r="E16" s="136" t="s">
        <v>1971</v>
      </c>
      <c r="F16" s="1945"/>
      <c r="G16" s="1945"/>
      <c r="H16" s="1945"/>
      <c r="I16" s="1559"/>
    </row>
    <row r="17" spans="1:36" ht="14.4">
      <c r="A17" s="1946" t="s">
        <v>1972</v>
      </c>
      <c r="B17" s="60"/>
      <c r="C17" s="137">
        <f>SUM(C5:C16)</f>
        <v>5</v>
      </c>
      <c r="D17" s="137">
        <f>SUM(D5:D16)</f>
        <v>5</v>
      </c>
      <c r="E17" s="134"/>
      <c r="F17" s="134"/>
      <c r="G17" s="134"/>
      <c r="H17" s="134"/>
      <c r="I17" s="134"/>
      <c r="K17" s="308"/>
      <c r="L17" s="308" t="s">
        <v>1973</v>
      </c>
      <c r="M17" s="308" t="s">
        <v>1974</v>
      </c>
    </row>
    <row r="18" spans="1:36" ht="31.95" customHeight="1" thickBot="1">
      <c r="A18" s="1947" t="s">
        <v>1975</v>
      </c>
      <c r="B18" s="1948"/>
      <c r="C18" s="138">
        <f>ROUND(C17/SUM(C17:D17),2)</f>
        <v>0.5</v>
      </c>
      <c r="D18" s="138">
        <f>1-C18</f>
        <v>0.5</v>
      </c>
      <c r="E18" s="3197" t="s">
        <v>2872</v>
      </c>
      <c r="F18" s="3198"/>
      <c r="G18" s="3198"/>
      <c r="H18" s="3198"/>
      <c r="I18" s="3198"/>
      <c r="K18" s="308" t="s">
        <v>1976</v>
      </c>
      <c r="L18" s="308">
        <f>IF(C1="",'数据-汇总表'!E3,SUMIF(项目类型,C1,'数据-汇总表'!E17:E26)+SUMIF(项目类型,C1,'数据-汇总表'!I17:I26))</f>
        <v>671.51000000000022</v>
      </c>
      <c r="M18" s="308">
        <f>IF(C1="",'数据-汇总表'!E3,SUMIF(项目类型,C1,'数据-汇总表'!E17:E26))</f>
        <v>671.51000000000022</v>
      </c>
    </row>
    <row r="19" spans="1:36" ht="14.4">
      <c r="A19" s="1949" t="s">
        <v>1977</v>
      </c>
      <c r="B19" s="1950" t="s">
        <v>1978</v>
      </c>
      <c r="C19" s="139">
        <f ca="1">SUMIF(INDIRECT("'"&amp;C4&amp;"'"&amp;"!A:A"),'结果表 (净值)'!B19,INDIRECT("'"&amp;C4&amp;"'"&amp;"!B:B"))</f>
        <v>2302</v>
      </c>
      <c r="D19" s="140">
        <f ca="1">SUMIF(INDIRECT("'"&amp;D4&amp;"'"&amp;"!A:A"),'结果表 (净值)'!B19,INDIRECT("'"&amp;D4&amp;"'"&amp;"!B:B"))</f>
        <v>2302</v>
      </c>
      <c r="E19" s="1949" t="s">
        <v>1979</v>
      </c>
      <c r="F19" s="1950" t="s">
        <v>1978</v>
      </c>
      <c r="G19" s="141">
        <f ca="1">ROUND(C19*$C$18+D19*$D$18,0)</f>
        <v>2302</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4.4">
      <c r="A20" s="1952"/>
      <c r="B20" s="1157" t="s">
        <v>1982</v>
      </c>
      <c r="C20" s="142">
        <f ca="1">SUMIF(INDIRECT("'"&amp;C4&amp;"'"&amp;"!A:A"),'结果表 (净值)'!B20,INDIRECT("'"&amp;C4&amp;"'"&amp;"!B:B"))</f>
        <v>34281</v>
      </c>
      <c r="D20" s="143">
        <f ca="1">SUMIF(INDIRECT("'"&amp;D4&amp;"'"&amp;"!A:A"),'结果表 (净值)'!B20,INDIRECT("'"&amp;D4&amp;"'"&amp;"!B:B"))</f>
        <v>34281</v>
      </c>
      <c r="E20" s="1952"/>
      <c r="F20" s="1157" t="s">
        <v>1982</v>
      </c>
      <c r="G20" s="144">
        <f ca="1">ROUND(C20*$C$18+D20*$D$18,0)</f>
        <v>34281</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v>
      </c>
      <c r="E22" s="134"/>
      <c r="F22" s="134"/>
      <c r="G22" s="134"/>
      <c r="H22" s="134"/>
      <c r="I22" s="134"/>
    </row>
    <row r="23" spans="1:36" ht="13.8" thickBot="1">
      <c r="A23" s="1935"/>
      <c r="B23" s="1935"/>
      <c r="C23" s="1935"/>
      <c r="D23" s="1935"/>
      <c r="E23" s="134"/>
      <c r="F23" s="134"/>
      <c r="G23" s="134"/>
      <c r="H23" s="134"/>
      <c r="I23" s="134"/>
    </row>
    <row r="24" spans="1:36" ht="14.4">
      <c r="A24" s="3199" t="s">
        <v>1986</v>
      </c>
      <c r="B24" s="1950" t="s">
        <v>1978</v>
      </c>
      <c r="C24" s="141">
        <f>IF(B30=0,0,D30)</f>
        <v>0</v>
      </c>
      <c r="D24" s="1957"/>
      <c r="E24" s="134"/>
      <c r="F24" s="134"/>
      <c r="G24" s="134"/>
      <c r="H24" s="134"/>
      <c r="I24" s="134"/>
    </row>
    <row r="25" spans="1:36" ht="14.4">
      <c r="A25" s="3200"/>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3.8">
      <c r="A27" s="1959"/>
      <c r="B27" s="147">
        <v>0</v>
      </c>
      <c r="C27" s="147">
        <v>0</v>
      </c>
      <c r="D27" s="148">
        <f>ROUND(C27*B27/10000,0)</f>
        <v>0</v>
      </c>
      <c r="E27" s="134"/>
      <c r="F27" s="134"/>
      <c r="G27" s="134"/>
      <c r="H27" s="134"/>
      <c r="I27" s="134"/>
    </row>
    <row r="28" spans="1:36" ht="13.8">
      <c r="A28" s="1959"/>
      <c r="B28" s="147"/>
      <c r="C28" s="147"/>
      <c r="D28" s="148"/>
      <c r="E28" s="134"/>
      <c r="F28" s="134"/>
      <c r="G28" s="134"/>
      <c r="H28" s="134"/>
      <c r="I28" s="134"/>
    </row>
    <row r="29" spans="1:36" ht="13.8">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 customHeight="1" thickTop="1" thickBot="1">
      <c r="A31" s="2523"/>
      <c r="B31" s="2524"/>
      <c r="C31" s="2524"/>
      <c r="D31" s="2524"/>
      <c r="E31" s="2524"/>
      <c r="F31" s="2524"/>
      <c r="G31" s="2524"/>
      <c r="H31" s="2524"/>
      <c r="I31" s="2525" t="s">
        <v>2874</v>
      </c>
      <c r="J31" s="2917"/>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5.6" thickTop="1" thickBot="1">
      <c r="A32" s="1961" t="s">
        <v>1992</v>
      </c>
      <c r="B32" s="1962"/>
      <c r="C32" s="149">
        <f ca="1">IF(D32="总价",G19-C24,G20-C25)</f>
        <v>2302</v>
      </c>
      <c r="D32" s="1963" t="s">
        <v>3200</v>
      </c>
      <c r="E32" s="134"/>
      <c r="F32" s="134"/>
      <c r="G32" s="134"/>
      <c r="H32" s="134"/>
      <c r="I32" s="134"/>
    </row>
    <row r="33" spans="1:15" ht="14.4">
      <c r="A33" s="894" t="s">
        <v>1993</v>
      </c>
      <c r="B33" s="1964"/>
      <c r="C33" s="1965" t="s">
        <v>3198</v>
      </c>
      <c r="D33" s="1966" t="s">
        <v>3199</v>
      </c>
      <c r="E33" s="1967" t="s">
        <v>1994</v>
      </c>
      <c r="F33" s="1968" t="str">
        <f>IF(D32="楼面单价","取值（单价）","取值（总价）")</f>
        <v>取值（总价）</v>
      </c>
      <c r="G33" s="134"/>
      <c r="H33" s="134"/>
      <c r="I33" s="134"/>
    </row>
    <row r="34" spans="1:15" ht="14.4">
      <c r="A34" s="1969"/>
      <c r="B34" s="1970" t="s">
        <v>1995</v>
      </c>
      <c r="C34" s="153">
        <f ca="1">IF(C33="自定义",F34,C32-C35)</f>
        <v>203</v>
      </c>
      <c r="D34" s="970">
        <f ca="1">IF(C33="自定义",ROUND(C34/C32,3),IF(C33="收益比率",SUMIF(INDIRECT("'"&amp;D33&amp;"'"&amp;"!b:b"),"土地收益比率",INDIRECT("'"&amp;D33&amp;"'"&amp;"!c:c")),SUMIF(INDIRECT("'"&amp;D33&amp;"'"&amp;"!b:b"),"土地成本比率",INDIRECT("'"&amp;D33&amp;"'"&amp;"!c:c"))))</f>
        <v>8.7999999999999967E-2</v>
      </c>
      <c r="E34" s="1971" t="s">
        <v>1996</v>
      </c>
      <c r="F34" s="1500"/>
      <c r="G34" s="134"/>
      <c r="H34" s="134"/>
      <c r="I34" s="134"/>
    </row>
    <row r="35" spans="1:15" ht="15" thickBot="1">
      <c r="A35" s="1972"/>
      <c r="B35" s="1973" t="s">
        <v>1997</v>
      </c>
      <c r="C35" s="1332">
        <f ca="1">IF(C33="自定义",F35,ROUND(C32*D35,0))</f>
        <v>2099</v>
      </c>
      <c r="D35" s="1333">
        <f ca="1">IF(C33="自定义",ROUND(C35/C32,3),IF(C33="收益比率",SUMIF(INDIRECT("'"&amp;D33&amp;"'"&amp;"!b:b"),"建筑物收益比率",INDIRECT("'"&amp;D33&amp;"'"&amp;"!c:c")),SUMIF(INDIRECT("'"&amp;D33&amp;"'"&amp;"!b:b"),"建筑物成本比率",INDIRECT("'"&amp;D33&amp;"'"&amp;"!c:c"))))</f>
        <v>0.91200000000000003</v>
      </c>
      <c r="E35" s="1974" t="s">
        <v>1998</v>
      </c>
      <c r="F35" s="159"/>
      <c r="G35" s="134"/>
      <c r="H35" s="134"/>
      <c r="I35" s="134"/>
    </row>
    <row r="36" spans="1:15" ht="15" thickBot="1">
      <c r="A36" s="3201" t="s">
        <v>1999</v>
      </c>
      <c r="B36" s="1975" t="s">
        <v>2000</v>
      </c>
      <c r="C36" s="150"/>
      <c r="D36" s="1976"/>
      <c r="E36" s="1977"/>
      <c r="F36" s="1978"/>
      <c r="G36" s="134"/>
      <c r="H36" s="134"/>
      <c r="I36" s="134"/>
    </row>
    <row r="37" spans="1:15" ht="15" thickBot="1">
      <c r="A37" s="3202"/>
      <c r="B37" s="1862" t="s">
        <v>2001</v>
      </c>
      <c r="C37" s="152"/>
      <c r="D37" s="1301"/>
      <c r="E37" s="1301"/>
      <c r="F37" s="1978"/>
      <c r="G37" s="134"/>
      <c r="H37" s="134"/>
      <c r="I37" s="134"/>
    </row>
    <row r="38" spans="1:15" ht="15" thickBot="1">
      <c r="A38" s="3203"/>
      <c r="B38" s="1979" t="s">
        <v>2002</v>
      </c>
      <c r="C38" s="683"/>
      <c r="D38" s="1980" t="s">
        <v>2003</v>
      </c>
      <c r="E38" s="1301"/>
      <c r="F38" s="1978"/>
      <c r="G38" s="134"/>
      <c r="H38" s="134"/>
      <c r="I38" s="134"/>
    </row>
    <row r="39" spans="1:15" ht="14.4">
      <c r="A39" s="1952" t="s">
        <v>2004</v>
      </c>
      <c r="B39" s="1981" t="s">
        <v>1988</v>
      </c>
      <c r="C39" s="1982" t="s">
        <v>1989</v>
      </c>
      <c r="D39" s="1982" t="s">
        <v>2007</v>
      </c>
      <c r="E39" s="1983" t="s">
        <v>1990</v>
      </c>
      <c r="F39" s="1978"/>
      <c r="G39" s="134"/>
      <c r="H39" s="134"/>
      <c r="I39" s="134"/>
    </row>
    <row r="40" spans="1:15" ht="13.8">
      <c r="A40" s="1984" t="s">
        <v>2009</v>
      </c>
      <c r="B40" s="154"/>
      <c r="C40" s="155"/>
      <c r="D40" s="155"/>
      <c r="E40" s="156"/>
      <c r="F40" s="1978"/>
      <c r="G40" s="134"/>
      <c r="H40" s="134"/>
      <c r="I40" s="134"/>
    </row>
    <row r="41" spans="1:15" ht="13.8">
      <c r="A41" s="1984" t="s">
        <v>2010</v>
      </c>
      <c r="B41" s="154"/>
      <c r="C41" s="155"/>
      <c r="D41" s="155"/>
      <c r="E41" s="156"/>
      <c r="F41" s="1978"/>
      <c r="G41" s="134"/>
      <c r="H41" s="134"/>
      <c r="I41" s="134"/>
    </row>
    <row r="42" spans="1:15" ht="14.4" thickBot="1">
      <c r="A42" s="1985"/>
      <c r="B42" s="157"/>
      <c r="C42" s="158"/>
      <c r="D42" s="158"/>
      <c r="E42" s="159"/>
      <c r="F42" s="1978"/>
      <c r="G42" s="134"/>
      <c r="H42" s="134"/>
      <c r="I42" s="134"/>
    </row>
    <row r="43" spans="1:15" ht="13.2">
      <c r="A43" s="1764"/>
      <c r="B43" s="1764"/>
      <c r="C43" s="1764"/>
      <c r="D43" s="1764"/>
      <c r="E43" s="1764"/>
      <c r="F43" s="1986"/>
      <c r="G43" s="1986"/>
      <c r="H43" s="1986"/>
      <c r="I43" s="1987"/>
    </row>
    <row r="44" spans="1:15" ht="17.399999999999999">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04" t="s">
        <v>2013</v>
      </c>
      <c r="B45" s="3205"/>
      <c r="C45" s="3206"/>
      <c r="D45" s="160">
        <f ca="1">ROUND(H101*F45,0)</f>
        <v>1473</v>
      </c>
      <c r="E45" s="161" t="s">
        <v>2014</v>
      </c>
      <c r="F45" s="162">
        <v>0.64</v>
      </c>
      <c r="G45" s="163" t="s">
        <v>2015</v>
      </c>
      <c r="H45" s="134"/>
      <c r="I45" s="134"/>
      <c r="J45" s="3207" t="s">
        <v>2016</v>
      </c>
      <c r="K45" s="3207"/>
      <c r="L45" s="3207"/>
      <c r="M45" s="3207"/>
      <c r="N45" s="3207"/>
      <c r="O45" s="3207"/>
    </row>
    <row r="46" spans="1:15" ht="14.25" customHeight="1">
      <c r="A46" s="3208" t="s">
        <v>2017</v>
      </c>
      <c r="B46" s="3209"/>
      <c r="C46" s="3209"/>
      <c r="D46" s="3209"/>
      <c r="E46" s="3209"/>
      <c r="F46" s="3209"/>
      <c r="G46" s="3210"/>
      <c r="H46" s="1994"/>
      <c r="I46" s="164"/>
      <c r="J46" s="3078">
        <v>1</v>
      </c>
      <c r="K46" s="3211" t="s">
        <v>2018</v>
      </c>
      <c r="L46" s="3211"/>
      <c r="M46" s="3212"/>
      <c r="N46" s="3212"/>
      <c r="O46" s="3212"/>
    </row>
    <row r="47" spans="1:15" ht="12" customHeight="1">
      <c r="A47" s="165" t="s">
        <v>2019</v>
      </c>
      <c r="B47" s="166"/>
      <c r="C47" s="167"/>
      <c r="D47" s="1247" t="s">
        <v>2020</v>
      </c>
      <c r="E47" s="308" t="s">
        <v>2021</v>
      </c>
      <c r="F47" s="168" t="s">
        <v>2022</v>
      </c>
      <c r="G47" s="2771" t="s">
        <v>2023</v>
      </c>
      <c r="H47" s="2772"/>
      <c r="I47" s="164"/>
      <c r="J47" s="3078">
        <v>2</v>
      </c>
      <c r="K47" s="3211" t="s">
        <v>2024</v>
      </c>
      <c r="L47" s="3211"/>
      <c r="M47" s="3217">
        <f>'数据-取费表'!B2</f>
        <v>44209</v>
      </c>
      <c r="N47" s="3217"/>
      <c r="O47" s="3217"/>
    </row>
    <row r="48" spans="1:15" ht="39.6">
      <c r="A48" s="3218" t="s">
        <v>2025</v>
      </c>
      <c r="B48" s="3219"/>
      <c r="C48" s="3219"/>
      <c r="D48" s="3075">
        <f ca="1">IF(H48="情况1",0,IF(H48="情况2",D52,IF(H48="情况3",D53,IF(H48="情况4",D54))))</f>
        <v>44</v>
      </c>
      <c r="E48" s="3088" t="str">
        <f>IF(H48="情况4","(销售额-原购置价)×税（费）率","销售额×税（费）率")</f>
        <v>(销售额-原购置价)×税（费）率</v>
      </c>
      <c r="F48" s="2773">
        <f>IF(H48="情况1","免征",'数据-取费表'!B41)</f>
        <v>5.5000000000000007E-2</v>
      </c>
      <c r="G48" s="2774" t="s">
        <v>2026</v>
      </c>
      <c r="H48" s="2775" t="s">
        <v>3136</v>
      </c>
      <c r="I48" s="1994"/>
      <c r="J48" s="3078">
        <v>3</v>
      </c>
      <c r="K48" s="3211" t="s">
        <v>2027</v>
      </c>
      <c r="L48" s="3211"/>
      <c r="M48" s="3220">
        <f ca="1">H101</f>
        <v>2302</v>
      </c>
      <c r="N48" s="3220"/>
      <c r="O48" s="3220"/>
    </row>
    <row r="49" spans="1:35" ht="25.5" customHeight="1">
      <c r="A49" s="3087" t="s">
        <v>2028</v>
      </c>
      <c r="B49" s="3213" t="s">
        <v>2029</v>
      </c>
      <c r="C49" s="3213"/>
      <c r="D49" s="1777">
        <v>0</v>
      </c>
      <c r="E49" s="330" t="s">
        <v>2030</v>
      </c>
      <c r="F49" s="3073" t="s">
        <v>34</v>
      </c>
      <c r="G49" s="3221"/>
      <c r="H49" s="2529" t="s">
        <v>2875</v>
      </c>
      <c r="I49" s="2530"/>
      <c r="J49" s="3078">
        <v>4</v>
      </c>
      <c r="K49" s="3211" t="str">
        <f>IF(项目基本情况!E8="房地产抵押价值","房地产抵押价值","抵押担保权已注销时的房地产抵押价值")</f>
        <v>抵押担保权已注销时的房地产抵押价值</v>
      </c>
      <c r="L49" s="3211"/>
      <c r="M49" s="3220">
        <f ca="1">IF(项目基本情况!E8="房地产抵押价值",H107,H109)</f>
        <v>2302</v>
      </c>
      <c r="N49" s="3220"/>
      <c r="O49" s="3220"/>
    </row>
    <row r="50" spans="1:35" ht="25.5" customHeight="1">
      <c r="A50" s="2776"/>
      <c r="B50" s="3213" t="s">
        <v>2031</v>
      </c>
      <c r="C50" s="3213"/>
      <c r="D50" s="2777"/>
      <c r="E50" s="338"/>
      <c r="F50" s="3073"/>
      <c r="G50" s="3222"/>
      <c r="H50" s="2531" t="s">
        <v>2876</v>
      </c>
      <c r="I50" s="2530"/>
      <c r="J50" s="3207" t="s">
        <v>2032</v>
      </c>
      <c r="K50" s="3207"/>
      <c r="L50" s="3207"/>
      <c r="M50" s="3207"/>
      <c r="N50" s="3207"/>
      <c r="O50" s="3207"/>
    </row>
    <row r="51" spans="1:35" ht="20.399999999999999" customHeight="1">
      <c r="A51" s="2778"/>
      <c r="B51" s="3213" t="s">
        <v>2033</v>
      </c>
      <c r="C51" s="3213"/>
      <c r="D51" s="1247"/>
      <c r="E51" s="333"/>
      <c r="F51" s="3073"/>
      <c r="G51" s="3223"/>
      <c r="H51" s="2531" t="s">
        <v>2877</v>
      </c>
      <c r="I51" s="2530"/>
      <c r="J51" s="3074" t="s">
        <v>2034</v>
      </c>
      <c r="K51" s="3211" t="s">
        <v>2035</v>
      </c>
      <c r="L51" s="3211"/>
      <c r="M51" s="3074" t="s">
        <v>2036</v>
      </c>
      <c r="N51" s="3074" t="s">
        <v>2037</v>
      </c>
      <c r="O51" s="3074" t="s">
        <v>2038</v>
      </c>
    </row>
    <row r="52" spans="1:35" ht="24" customHeight="1">
      <c r="A52" s="3089" t="s">
        <v>2039</v>
      </c>
      <c r="B52" s="3213" t="s">
        <v>2040</v>
      </c>
      <c r="C52" s="3213"/>
      <c r="D52" s="1247">
        <f ca="1">ROUND(D45*'数据-取费表'!B41/(1+'数据-取费表'!C42),0)</f>
        <v>77</v>
      </c>
      <c r="E52" s="3088" t="s">
        <v>2041</v>
      </c>
      <c r="F52" s="2779">
        <f>'数据-取费表'!B41</f>
        <v>5.5000000000000007E-2</v>
      </c>
      <c r="G52" s="2780"/>
      <c r="H52" s="2769"/>
      <c r="I52" s="1995"/>
      <c r="J52" s="3078">
        <v>1</v>
      </c>
      <c r="K52" s="3214" t="s">
        <v>2042</v>
      </c>
      <c r="L52" s="3214"/>
      <c r="M52" s="2750">
        <f ca="1">D48</f>
        <v>44</v>
      </c>
      <c r="N52" s="3078" t="str">
        <f>E48</f>
        <v>(销售额-原购置价)×税（费）率</v>
      </c>
      <c r="O52" s="2751">
        <f>F48</f>
        <v>5.5000000000000007E-2</v>
      </c>
    </row>
    <row r="53" spans="1:35" ht="12" customHeight="1">
      <c r="A53" s="3089" t="s">
        <v>2043</v>
      </c>
      <c r="B53" s="3215" t="s">
        <v>3036</v>
      </c>
      <c r="C53" s="3216"/>
      <c r="D53" s="1247">
        <f ca="1">ROUND(D45*'数据-取费表'!B41/(1+'数据-取费表'!C42),0)</f>
        <v>77</v>
      </c>
      <c r="E53" s="3088" t="s">
        <v>2041</v>
      </c>
      <c r="F53" s="2779">
        <f>'数据-取费表'!B41</f>
        <v>5.5000000000000007E-2</v>
      </c>
      <c r="G53" s="2780"/>
      <c r="H53" s="2769"/>
      <c r="I53" s="1995"/>
      <c r="J53" s="3078">
        <v>2</v>
      </c>
      <c r="K53" s="3214" t="s">
        <v>2044</v>
      </c>
      <c r="L53" s="3214"/>
      <c r="M53" s="2750">
        <f t="shared" ref="M53:O54" ca="1" si="0">D55</f>
        <v>1</v>
      </c>
      <c r="N53" s="3078" t="str">
        <f t="shared" si="0"/>
        <v>销售额×税（费）率</v>
      </c>
      <c r="O53" s="2751">
        <f t="shared" si="0"/>
        <v>5.0000000000000001E-4</v>
      </c>
    </row>
    <row r="54" spans="1:35" ht="12" customHeight="1">
      <c r="A54" s="3089" t="s">
        <v>2045</v>
      </c>
      <c r="B54" s="3215" t="s">
        <v>3037</v>
      </c>
      <c r="C54" s="3216"/>
      <c r="D54" s="1247">
        <f ca="1">C68</f>
        <v>44</v>
      </c>
      <c r="E54" s="333" t="s">
        <v>2046</v>
      </c>
      <c r="F54" s="2779">
        <f>'数据-取费表'!B41</f>
        <v>5.5000000000000007E-2</v>
      </c>
      <c r="G54" s="2780"/>
      <c r="H54" s="2781"/>
      <c r="I54" s="1995"/>
      <c r="J54" s="3078">
        <v>3</v>
      </c>
      <c r="K54" s="3214" t="s">
        <v>2047</v>
      </c>
      <c r="L54" s="3214"/>
      <c r="M54" s="2750">
        <f t="shared" ca="1" si="0"/>
        <v>306</v>
      </c>
      <c r="N54" s="3078" t="str">
        <f t="shared" si="0"/>
        <v>增值额×税（费）率</v>
      </c>
      <c r="O54" s="2752" t="str">
        <f t="shared" si="0"/>
        <v>——</v>
      </c>
    </row>
    <row r="55" spans="1:35" ht="24" customHeight="1">
      <c r="A55" s="3230" t="s">
        <v>2048</v>
      </c>
      <c r="B55" s="3219"/>
      <c r="C55" s="3219"/>
      <c r="D55" s="3075">
        <f ca="1">IF(H55="个人住宅",0,ROUND(D45*I55,0))</f>
        <v>1</v>
      </c>
      <c r="E55" s="3088" t="s">
        <v>2049</v>
      </c>
      <c r="F55" s="2779">
        <f>IF(H55="正常",I55,"免征")</f>
        <v>5.0000000000000001E-4</v>
      </c>
      <c r="G55" s="2780"/>
      <c r="H55" s="2775" t="s">
        <v>3092</v>
      </c>
      <c r="I55" s="170">
        <f>'数据-取费表'!B49</f>
        <v>5.0000000000000001E-4</v>
      </c>
      <c r="J55" s="3078">
        <f>IF(H59="非个人房产","",4)</f>
        <v>4</v>
      </c>
      <c r="K55" s="3214" t="str">
        <f>IF(H59="非个人房产","——","个人所得税")</f>
        <v>个人所得税</v>
      </c>
      <c r="L55" s="3214"/>
      <c r="M55" s="2753">
        <f ca="1">D59</f>
        <v>15</v>
      </c>
      <c r="N55" s="3079" t="str">
        <f>E59</f>
        <v>销售额×税（费）率</v>
      </c>
      <c r="O55" s="2754">
        <f>F59</f>
        <v>0.01</v>
      </c>
    </row>
    <row r="56" spans="1:35" ht="25.2">
      <c r="A56" s="3230" t="s">
        <v>2050</v>
      </c>
      <c r="B56" s="3219"/>
      <c r="C56" s="3219"/>
      <c r="D56" s="3075">
        <f ca="1">IF(H56="个人住宅",D57,D58)</f>
        <v>306</v>
      </c>
      <c r="E56" s="3088" t="s">
        <v>2051</v>
      </c>
      <c r="F56" s="2779" t="str">
        <f>IF(H56="正常",F58,"免征")</f>
        <v>——</v>
      </c>
      <c r="G56" s="2782" t="s">
        <v>2052</v>
      </c>
      <c r="H56" s="2783" t="s">
        <v>3092</v>
      </c>
      <c r="I56" s="1996"/>
      <c r="J56" s="3078" t="str">
        <f>IF(项目基本情况!K6="上海银行",IF(J55="",4,J55+1),"")</f>
        <v/>
      </c>
      <c r="K56" s="3224" t="str">
        <f>IF(项目基本情况!K6="上海银行","其他处置费用","")</f>
        <v/>
      </c>
      <c r="L56" s="3231"/>
      <c r="M56" s="2750" t="str">
        <f>IF(项目基本情况!K6="上海银行",M69,"")</f>
        <v/>
      </c>
      <c r="N56" s="3224" t="str">
        <f>IF(项目基本情况!K6="上海银行","包含处置中涉及的律师、诉讼、拍卖、评估等费用","")</f>
        <v/>
      </c>
      <c r="O56" s="3225"/>
    </row>
    <row r="57" spans="1:35" ht="13.2">
      <c r="A57" s="3089" t="s">
        <v>2028</v>
      </c>
      <c r="B57" s="3215" t="s">
        <v>2053</v>
      </c>
      <c r="C57" s="3216"/>
      <c r="D57" s="1777">
        <v>0</v>
      </c>
      <c r="E57" s="330" t="s">
        <v>2030</v>
      </c>
      <c r="F57" s="308"/>
      <c r="G57" s="2780"/>
      <c r="H57" s="2784"/>
      <c r="I57" s="1996"/>
      <c r="J57" s="3214">
        <f>IF(AND(J55="",J56=""),4,IF(项目基本情况!K6="上海银行",'结果表 (净值)'!J56+1,'结果表 (净值)'!J55+1))</f>
        <v>5</v>
      </c>
      <c r="K57" s="3214" t="s">
        <v>2054</v>
      </c>
      <c r="L57" s="2755" t="s">
        <v>2055</v>
      </c>
      <c r="M57" s="2756"/>
      <c r="N57" s="2757">
        <f ca="1">SUMIF(M52:M56,"&lt;9e307")</f>
        <v>366</v>
      </c>
      <c r="O57" s="2758"/>
      <c r="P57" s="2918">
        <f ca="1">N57/M49</f>
        <v>0.15899218071242399</v>
      </c>
    </row>
    <row r="58" spans="1:35" ht="25.2">
      <c r="A58" s="3089" t="s">
        <v>2039</v>
      </c>
      <c r="B58" s="3215" t="s">
        <v>2056</v>
      </c>
      <c r="C58" s="3213"/>
      <c r="D58" s="3075">
        <f ca="1">IF(H58="转让取得",C81,C97)</f>
        <v>306</v>
      </c>
      <c r="E58" s="3088" t="s">
        <v>2051</v>
      </c>
      <c r="F58" s="308" t="s">
        <v>34</v>
      </c>
      <c r="G58" s="2780"/>
      <c r="H58" s="2783" t="s">
        <v>3190</v>
      </c>
      <c r="I58" s="1996"/>
      <c r="J58" s="3214"/>
      <c r="K58" s="3214"/>
      <c r="L58" s="2755" t="s">
        <v>2057</v>
      </c>
      <c r="M58" s="2759"/>
      <c r="N58" s="2760" t="str">
        <f ca="1">NUMBERSTRING(INT(N57*10000),2)&amp;"元整"</f>
        <v>叁佰陆拾陆万元整</v>
      </c>
      <c r="O58" s="2761"/>
    </row>
    <row r="59" spans="1:35" ht="27" thickBot="1">
      <c r="A59" s="3226" t="s">
        <v>2058</v>
      </c>
      <c r="B59" s="3227"/>
      <c r="C59" s="3227"/>
      <c r="D59" s="2785">
        <f ca="1">IF(H59="非个人房产","——",IF(H59="个人住宅（满五唯一有凭证）",0,IF(H59="个人其他（无凭证）",ROUND(D45*F59,0),ROUND(C67*F59,0))))</f>
        <v>15</v>
      </c>
      <c r="E59" s="2786" t="str">
        <f>IF(H59="非个人房产","——",IF(H59="个人其他（无凭证）","销售额×税（费）率",IF(H59="个人住宅（满五唯一有凭证）","免征","差额计税")))</f>
        <v>销售额×税（费）率</v>
      </c>
      <c r="F59" s="2787">
        <f>IF(OR(H59="非个人房产",H59="个人住宅（满五唯一有凭证）"),"——",IF(H59="个人其他（有凭证）",20%,1%))</f>
        <v>0.01</v>
      </c>
      <c r="G59" s="2788" t="s">
        <v>2052</v>
      </c>
      <c r="H59" s="2533" t="s">
        <v>3195</v>
      </c>
      <c r="I59" s="2532" t="s">
        <v>2878</v>
      </c>
      <c r="J59" s="3228">
        <f>J57+1</f>
        <v>6</v>
      </c>
      <c r="K59" s="3214" t="s">
        <v>2059</v>
      </c>
      <c r="L59" s="3078" t="s">
        <v>2055</v>
      </c>
      <c r="M59" s="2762"/>
      <c r="N59" s="2763">
        <f ca="1">M49-N57</f>
        <v>1936</v>
      </c>
      <c r="O59" s="2764"/>
    </row>
    <row r="60" spans="1:35" ht="12" customHeight="1">
      <c r="A60" s="1997"/>
      <c r="B60" s="1935"/>
      <c r="C60" s="1935"/>
      <c r="D60" s="1935"/>
      <c r="E60" s="1765"/>
      <c r="F60" s="1996"/>
      <c r="G60" s="1996"/>
      <c r="H60" s="1998"/>
      <c r="I60" s="134"/>
      <c r="J60" s="3229"/>
      <c r="K60" s="3214"/>
      <c r="L60" s="2755" t="s">
        <v>2057</v>
      </c>
      <c r="M60" s="2759"/>
      <c r="N60" s="2760" t="str">
        <f ca="1">NUMBERSTRING(INT(N59*10000),2)&amp;"元整"</f>
        <v>壹仟玖佰叁拾陆万元整</v>
      </c>
      <c r="O60" s="2761"/>
    </row>
    <row r="61" spans="1:35" ht="13.8" thickBot="1">
      <c r="A61" s="3242" t="s">
        <v>2060</v>
      </c>
      <c r="B61" s="3242"/>
      <c r="C61" s="3242"/>
      <c r="D61" s="3242"/>
      <c r="E61" s="3242"/>
      <c r="F61" s="1996"/>
      <c r="G61" s="1996"/>
      <c r="H61" s="1998"/>
      <c r="I61" s="134"/>
      <c r="J61" s="3078">
        <f>J59+1</f>
        <v>7</v>
      </c>
      <c r="K61" s="3214" t="s">
        <v>2061</v>
      </c>
      <c r="L61" s="3214"/>
      <c r="M61" s="2765"/>
      <c r="N61" s="2766">
        <f ca="1">ROUND(N59*10000/'数据-汇总表'!E3,0)</f>
        <v>28831</v>
      </c>
      <c r="O61" s="2767"/>
    </row>
    <row r="62" spans="1:35" ht="13.2">
      <c r="A62" s="3238" t="s">
        <v>2062</v>
      </c>
      <c r="B62" s="3239"/>
      <c r="C62" s="3083"/>
      <c r="D62" s="3083" t="s">
        <v>2063</v>
      </c>
      <c r="E62" s="171" t="s">
        <v>2064</v>
      </c>
      <c r="F62" s="1996"/>
      <c r="G62" s="1996"/>
      <c r="H62" s="1998"/>
      <c r="I62" s="134"/>
    </row>
    <row r="63" spans="1:35" ht="13.2">
      <c r="A63" s="178" t="s">
        <v>775</v>
      </c>
      <c r="B63" s="172" t="s">
        <v>2065</v>
      </c>
      <c r="C63" s="2789">
        <f ca="1">ROUND((C64+C65)/(1+'数据-取费表'!C42),0)</f>
        <v>1403</v>
      </c>
      <c r="D63" s="172"/>
      <c r="E63" s="173"/>
      <c r="F63" s="1996"/>
      <c r="G63" s="1996"/>
      <c r="H63" s="1998"/>
      <c r="I63" s="134"/>
      <c r="J63" s="3243" t="s">
        <v>2066</v>
      </c>
      <c r="K63" s="3076" t="s">
        <v>2067</v>
      </c>
      <c r="L63" s="3076">
        <f ca="1">IF(M49&gt;10000,M49*0.5%,IF(AND(M49&gt;1000,M49&lt;=10000),M49*1%,IF(AND(M49&gt;100,M49&lt;=1000),M49*3%,IF(AND(M49&gt;10,M49&lt;=100),M49*5%,M49*8%))))</f>
        <v>23.02</v>
      </c>
      <c r="M63" s="308">
        <f ca="1">ROUND(L63,1)</f>
        <v>23</v>
      </c>
      <c r="N63" s="2768"/>
      <c r="Z63" s="1940"/>
      <c r="AI63" s="1941"/>
    </row>
    <row r="64" spans="1:35" ht="14.25" customHeight="1">
      <c r="A64" s="174" t="s">
        <v>770</v>
      </c>
      <c r="B64" s="175" t="s">
        <v>2068</v>
      </c>
      <c r="C64" s="2790">
        <f ca="1">D45</f>
        <v>1473</v>
      </c>
      <c r="D64" s="175" t="s">
        <v>32</v>
      </c>
      <c r="E64" s="177"/>
      <c r="F64" s="1996"/>
      <c r="G64" s="1996"/>
      <c r="H64" s="1998"/>
      <c r="I64" s="134"/>
      <c r="J64" s="3243"/>
      <c r="K64" s="3076" t="s">
        <v>2069</v>
      </c>
      <c r="L64" s="3076">
        <f ca="1">IF(M49&gt;2000,M49*0.5%,IF(AND(M49&gt;1000,M49&lt;=2000),M49*0.6%,IF(AND(M49&gt;500,M49&lt;=1000),M49*0.7%,IF(AND(M49&gt;200,M49&lt;=500),M49*0.8%,IF(AND(M49&gt;100,M49&lt;=200),M49*0.9%,IF(AND(M49&gt;50,M49&lt;=100),M49*1%,IF(AND(M49&gt;20,M49&lt;=50),M49*1.5%,IF(AND(M49&gt;10,M49&lt;=20),M49*2%,IF(AND(M49&gt;1,M49&lt;=10),M49*2.5%)))))))))</f>
        <v>11.51</v>
      </c>
      <c r="M64" s="308">
        <f t="shared" ref="M64:M65" ca="1" si="1">ROUND(L64,1)</f>
        <v>11.5</v>
      </c>
      <c r="N64" s="2769" t="s">
        <v>2070</v>
      </c>
      <c r="Z64" s="1940"/>
      <c r="AI64" s="1941"/>
    </row>
    <row r="65" spans="1:35" ht="14.25" customHeight="1">
      <c r="A65" s="174" t="s">
        <v>771</v>
      </c>
      <c r="B65" s="175" t="s">
        <v>2071</v>
      </c>
      <c r="C65" s="2791"/>
      <c r="D65" s="175"/>
      <c r="E65" s="177"/>
      <c r="F65" s="1996"/>
      <c r="G65" s="1996"/>
      <c r="H65" s="1998"/>
      <c r="I65" s="134"/>
      <c r="J65" s="3243"/>
      <c r="K65" s="3076" t="s">
        <v>2072</v>
      </c>
      <c r="L65" s="3076">
        <f ca="1">IF(M49&gt;1000,M49*0.1%,IF(AND(M49&gt;500,M49&lt;=1000),M49*0.5%,IF(AND(M49&gt;50,M49&lt;=500),M49*1%,IF(AND(M49&gt;1,M49&lt;=50),M49*1.5%))))</f>
        <v>2.302</v>
      </c>
      <c r="M65" s="308">
        <f t="shared" ca="1" si="1"/>
        <v>2.2999999999999998</v>
      </c>
      <c r="N65" s="2769" t="s">
        <v>2070</v>
      </c>
      <c r="Z65" s="1940"/>
      <c r="AI65" s="1941"/>
    </row>
    <row r="66" spans="1:35" ht="14.25" customHeight="1">
      <c r="A66" s="178" t="s">
        <v>772</v>
      </c>
      <c r="B66" s="179" t="s">
        <v>2073</v>
      </c>
      <c r="C66" s="2792">
        <v>612</v>
      </c>
      <c r="D66" s="179" t="s">
        <v>32</v>
      </c>
      <c r="E66" s="1511" t="s">
        <v>1337</v>
      </c>
      <c r="F66" s="1996"/>
      <c r="G66" s="1996"/>
      <c r="H66" s="1998"/>
      <c r="I66" s="134"/>
      <c r="J66" s="3243"/>
      <c r="K66" s="3076" t="s">
        <v>2074</v>
      </c>
      <c r="L66" s="3076">
        <f ca="1">M49*0.5%</f>
        <v>11.51</v>
      </c>
      <c r="M66" s="308">
        <f ca="1">IF(L66&gt;0.5,0.5,ROUND(L66,0))</f>
        <v>0.5</v>
      </c>
      <c r="N66" s="2769" t="s">
        <v>2075</v>
      </c>
      <c r="Z66" s="1940"/>
      <c r="AI66" s="1941"/>
    </row>
    <row r="67" spans="1:35" ht="14.25" customHeight="1">
      <c r="A67" s="178" t="s">
        <v>773</v>
      </c>
      <c r="B67" s="179" t="s">
        <v>2076</v>
      </c>
      <c r="C67" s="2793">
        <f ca="1">C63-C66</f>
        <v>791</v>
      </c>
      <c r="D67" s="175" t="s">
        <v>32</v>
      </c>
      <c r="E67" s="177"/>
      <c r="F67" s="1996"/>
      <c r="G67" s="1996"/>
      <c r="H67" s="1998"/>
      <c r="I67" s="134"/>
      <c r="J67" s="3243"/>
      <c r="K67" s="3076" t="s">
        <v>2077</v>
      </c>
      <c r="L67" s="3076">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8"/>
      <c r="Z67" s="1940"/>
      <c r="AI67" s="1941"/>
    </row>
    <row r="68" spans="1:35" ht="14.25" customHeight="1" thickBot="1">
      <c r="A68" s="181" t="s">
        <v>774</v>
      </c>
      <c r="B68" s="182" t="s">
        <v>2078</v>
      </c>
      <c r="C68" s="2794">
        <f ca="1">IF(C67&lt;=0,0,ROUND(C67*D68,0))</f>
        <v>44</v>
      </c>
      <c r="D68" s="2795">
        <f>'数据-取费表'!B41</f>
        <v>5.5000000000000007E-2</v>
      </c>
      <c r="E68" s="184"/>
      <c r="F68" s="1996"/>
      <c r="G68" s="1996"/>
      <c r="H68" s="1998"/>
      <c r="I68" s="134"/>
      <c r="J68" s="3243"/>
      <c r="K68" s="3076" t="s">
        <v>2079</v>
      </c>
      <c r="L68" s="3076">
        <f ca="1">IF(M49&gt;10000,M49*0.5%,IF(AND(M49&gt;5000,M49&lt;=10000),M49*1%,IF(AND(M49&gt;1000,M49&lt;=5000),M49*2%,IF(AND(M49&gt;200,M49&lt;=1000),M49*3%,M49*5%))))</f>
        <v>46.04</v>
      </c>
      <c r="M68" s="308">
        <f ca="1">ROUND(L68,1)</f>
        <v>46</v>
      </c>
      <c r="N68" s="2768"/>
      <c r="Z68" s="1940"/>
      <c r="AI68" s="1941"/>
    </row>
    <row r="69" spans="1:35" s="1960" customFormat="1" ht="16.5" customHeight="1">
      <c r="A69" s="1999"/>
      <c r="B69" s="2000"/>
      <c r="C69" s="2001"/>
      <c r="D69" s="2002"/>
      <c r="E69" s="2003"/>
      <c r="F69" s="1765"/>
      <c r="G69" s="1765"/>
      <c r="H69" s="1764"/>
      <c r="I69" s="1935"/>
      <c r="J69" s="3243"/>
      <c r="K69" s="3076" t="s">
        <v>2080</v>
      </c>
      <c r="L69" s="3076"/>
      <c r="M69" s="308">
        <f ca="1">ROUND(SUM(M63:M68),0)</f>
        <v>86</v>
      </c>
      <c r="N69" s="2770">
        <f ca="1">M69/M49</f>
        <v>3.7358818418766288E-2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4.4" thickBot="1">
      <c r="A70" s="3236" t="s">
        <v>2081</v>
      </c>
      <c r="B70" s="3237"/>
      <c r="C70" s="3237"/>
      <c r="D70" s="3237"/>
      <c r="E70" s="3237"/>
      <c r="F70" s="3237"/>
      <c r="G70" s="3237"/>
      <c r="H70" s="3237"/>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3.8">
      <c r="A71" s="3238" t="s">
        <v>2062</v>
      </c>
      <c r="B71" s="3239"/>
      <c r="C71" s="3083"/>
      <c r="D71" s="3083" t="s">
        <v>2063</v>
      </c>
      <c r="E71" s="185" t="s">
        <v>2064</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3.8">
      <c r="A72" s="178" t="s">
        <v>775</v>
      </c>
      <c r="B72" s="179" t="s">
        <v>2082</v>
      </c>
      <c r="C72" s="2793">
        <f ca="1">ROUND(D45/(1+'数据-取费表'!C42),0)</f>
        <v>1403</v>
      </c>
      <c r="D72" s="175" t="s">
        <v>32</v>
      </c>
      <c r="E72" s="3085"/>
      <c r="F72" s="3084"/>
      <c r="G72" s="3084"/>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3.8">
      <c r="A73" s="178" t="s">
        <v>772</v>
      </c>
      <c r="B73" s="168" t="s">
        <v>2083</v>
      </c>
      <c r="C73" s="2793">
        <f ca="1">C74+C78</f>
        <v>608</v>
      </c>
      <c r="D73" s="175" t="s">
        <v>32</v>
      </c>
      <c r="E73" s="3085"/>
      <c r="F73" s="3084"/>
      <c r="G73" s="308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601</v>
      </c>
      <c r="D74" s="175" t="s">
        <v>32</v>
      </c>
      <c r="E74" s="3085"/>
      <c r="F74" s="3084"/>
      <c r="G74" s="308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28.8">
      <c r="A75" s="174" t="s">
        <v>776</v>
      </c>
      <c r="B75" s="175" t="s">
        <v>2085</v>
      </c>
      <c r="C75" s="2796">
        <v>612</v>
      </c>
      <c r="D75" s="175" t="s">
        <v>32</v>
      </c>
      <c r="E75" s="190" t="s">
        <v>2086</v>
      </c>
      <c r="F75" s="2797" t="s">
        <v>3193</v>
      </c>
      <c r="G75" s="190" t="s">
        <v>2087</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799">
        <v>0.05</v>
      </c>
      <c r="E76" s="3215" t="s">
        <v>2089</v>
      </c>
      <c r="F76" s="3213"/>
      <c r="G76" s="3213"/>
      <c r="H76" s="3232"/>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18</v>
      </c>
      <c r="D77" s="2800">
        <f>'数据-取费表'!B48+'数据-取费表'!B49</f>
        <v>3.0499999999999999E-2</v>
      </c>
      <c r="E77" s="3075" t="s">
        <v>2091</v>
      </c>
      <c r="F77" s="192"/>
      <c r="G77" s="2010" t="s">
        <v>3194</v>
      </c>
      <c r="H77" s="308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1">
        <f ca="1">ROUND(D45*D78/(1+'数据-取费表'!C42),0)</f>
        <v>7</v>
      </c>
      <c r="D78" s="2802">
        <f>'数据-取费表'!B43</f>
        <v>5.000000000000001E-3</v>
      </c>
      <c r="E78" s="3233" t="s">
        <v>2093</v>
      </c>
      <c r="F78" s="3234"/>
      <c r="G78" s="3234"/>
      <c r="H78" s="3235"/>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3.8">
      <c r="A79" s="178" t="s">
        <v>773</v>
      </c>
      <c r="B79" s="179" t="s">
        <v>2094</v>
      </c>
      <c r="C79" s="2793">
        <f ca="1">C72-C73</f>
        <v>795</v>
      </c>
      <c r="D79" s="175" t="s">
        <v>32</v>
      </c>
      <c r="E79" s="3085"/>
      <c r="F79" s="3084"/>
      <c r="G79" s="308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3">
        <f ca="1">IF(C79&lt;=0,0,C79/C73)</f>
        <v>1.3075657894736843</v>
      </c>
      <c r="D80" s="175" t="s">
        <v>32</v>
      </c>
      <c r="E80" s="307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3084"/>
      <c r="G80" s="308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6" thickBot="1">
      <c r="A81" s="181" t="s">
        <v>781</v>
      </c>
      <c r="B81" s="182" t="s">
        <v>2096</v>
      </c>
      <c r="C81" s="2804">
        <f ca="1">ROUND(IF(C79&lt;=0,0,IF(C80&gt;=200%,C79*60%-C73*35%,IF(C80&gt;=100%,C79*50%-C73*15%,IF(C80&gt;=50%,C79*40%-C73*5%,IF(C80&lt;50%,C79*30%,0))))),0)</f>
        <v>306</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4.4" thickBot="1">
      <c r="A83" s="3236" t="s">
        <v>2097</v>
      </c>
      <c r="B83" s="3237"/>
      <c r="C83" s="3237"/>
      <c r="D83" s="3237"/>
      <c r="E83" s="3237"/>
      <c r="F83" s="3237"/>
      <c r="G83" s="3237"/>
      <c r="H83" s="3237"/>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3.8">
      <c r="A84" s="3238" t="s">
        <v>2062</v>
      </c>
      <c r="B84" s="3239"/>
      <c r="C84" s="3083"/>
      <c r="D84" s="3083"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3.8">
      <c r="A85" s="178" t="s">
        <v>775</v>
      </c>
      <c r="B85" s="179" t="s">
        <v>2082</v>
      </c>
      <c r="C85" s="2793">
        <f ca="1">ROUND(D45/(1+'数据-取费表'!C42),0)</f>
        <v>1403</v>
      </c>
      <c r="D85" s="175" t="s">
        <v>32</v>
      </c>
      <c r="E85" s="3085"/>
      <c r="F85" s="3084"/>
      <c r="G85" s="308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3.8">
      <c r="A86" s="178" t="s">
        <v>772</v>
      </c>
      <c r="B86" s="168" t="s">
        <v>2083</v>
      </c>
      <c r="C86" s="2793">
        <f ca="1">IF(H88="仅含出让金",C87+C90+C91+C92+C93+C94,C87+C91+C92+C93+C94)</f>
        <v>7</v>
      </c>
      <c r="D86" s="2806"/>
      <c r="E86" s="3085"/>
      <c r="F86" s="3084"/>
      <c r="G86" s="308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3.8">
      <c r="A87" s="174" t="s">
        <v>770</v>
      </c>
      <c r="B87" s="175" t="s">
        <v>2098</v>
      </c>
      <c r="C87" s="2801">
        <f>C88+C89</f>
        <v>0</v>
      </c>
      <c r="D87" s="2802"/>
      <c r="E87" s="3080"/>
      <c r="F87" s="3081"/>
      <c r="G87" s="3081"/>
      <c r="H87" s="308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4">
      <c r="A88" s="174" t="s">
        <v>776</v>
      </c>
      <c r="B88" s="175" t="s">
        <v>2099</v>
      </c>
      <c r="C88" s="2807"/>
      <c r="D88" s="2802"/>
      <c r="E88" s="199" t="s">
        <v>2100</v>
      </c>
      <c r="F88" s="3081"/>
      <c r="G88" s="200" t="s">
        <v>2101</v>
      </c>
      <c r="H88" s="2012"/>
      <c r="I88" s="2009"/>
      <c r="J88" s="2746"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3.8">
      <c r="A89" s="174" t="s">
        <v>777</v>
      </c>
      <c r="B89" s="175" t="s">
        <v>2090</v>
      </c>
      <c r="C89" s="2801">
        <f>ROUND(C88*D89,0)</f>
        <v>0</v>
      </c>
      <c r="D89" s="2802">
        <f>'数据-取费表'!B48+'数据-取费表'!B49</f>
        <v>3.0499999999999999E-2</v>
      </c>
      <c r="E89" s="199" t="s">
        <v>2102</v>
      </c>
      <c r="F89" s="3081"/>
      <c r="G89" s="3081"/>
      <c r="H89" s="308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4">
      <c r="A90" s="174" t="s">
        <v>771</v>
      </c>
      <c r="B90" s="175" t="s">
        <v>2103</v>
      </c>
      <c r="C90" s="2807"/>
      <c r="D90" s="2802"/>
      <c r="E90" s="199" t="str">
        <f>IF(H88="-","土地取得成本中已包含该笔费用"," ")</f>
        <v xml:space="preserve"> </v>
      </c>
      <c r="F90" s="3081"/>
      <c r="G90" s="3240" t="s">
        <v>2870</v>
      </c>
      <c r="H90" s="3241"/>
      <c r="I90" s="2009"/>
      <c r="J90" s="2746"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1">
        <f>IF(H91="——",成本法!C33,I91)</f>
        <v>0</v>
      </c>
      <c r="D91" s="2802"/>
      <c r="E91" s="3233" t="s">
        <v>2106</v>
      </c>
      <c r="F91" s="3234"/>
      <c r="G91" s="3234"/>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1">
        <f>ROUND((C87+C90+C91)*D92,0)</f>
        <v>0</v>
      </c>
      <c r="D92" s="2808"/>
      <c r="E92" s="3233" t="s">
        <v>2109</v>
      </c>
      <c r="F92" s="3234"/>
      <c r="G92" s="3234"/>
      <c r="H92" s="3235"/>
      <c r="I92" s="2009"/>
      <c r="J92" s="2747"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1">
        <f ca="1">ROUND(D45*D93/(1+'数据-取费表'!C42),0)</f>
        <v>7</v>
      </c>
      <c r="D93" s="2802">
        <f>'数据-取费表'!B43</f>
        <v>5.000000000000001E-3</v>
      </c>
      <c r="E93" s="3233" t="s">
        <v>2093</v>
      </c>
      <c r="F93" s="3234"/>
      <c r="G93" s="3234"/>
      <c r="H93" s="3235"/>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7">
        <f>ROUND((C87+C90+C91)*D94,0)</f>
        <v>0</v>
      </c>
      <c r="D94" s="2802">
        <v>0.2</v>
      </c>
      <c r="E94" s="3244" t="s">
        <v>2113</v>
      </c>
      <c r="F94" s="3245"/>
      <c r="G94" s="3245"/>
      <c r="H94" s="3246"/>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3.8">
      <c r="A95" s="178" t="s">
        <v>773</v>
      </c>
      <c r="B95" s="179" t="s">
        <v>2094</v>
      </c>
      <c r="C95" s="2793">
        <f ca="1">ROUND(C85-C86,0)</f>
        <v>1396</v>
      </c>
      <c r="D95" s="175" t="s">
        <v>32</v>
      </c>
      <c r="E95" s="3085"/>
      <c r="F95" s="3084"/>
      <c r="G95" s="308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3">
        <f ca="1">IF(C95&lt;=0,0,C95/C86)</f>
        <v>199.42857142857142</v>
      </c>
      <c r="D96" s="175" t="s">
        <v>32</v>
      </c>
      <c r="E96" s="3075" t="str">
        <f ca="1">IF(C96&gt;=200%,"增值额超过扣除项目金额200%",IF(C96&gt;=100%,"增值额超过扣除项目金额100%，未超过200%",IF(C96&gt;=50%,"增值额超过扣除项目金额50%，未超过100%",IF(C96&lt;50%,"增值额未超过扣除项目金额50%"))))</f>
        <v>增值额超过扣除项目金额200%</v>
      </c>
      <c r="F96" s="3084"/>
      <c r="G96" s="308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6" thickBot="1">
      <c r="A97" s="181" t="s">
        <v>781</v>
      </c>
      <c r="B97" s="182" t="s">
        <v>2096</v>
      </c>
      <c r="C97" s="2804">
        <f ca="1">ROUND(IF(C95&lt;=0,0,IF(C96&gt;=200%,C95*60%-C86*35%,IF(C96&gt;=100%,C95*50%-C86*15%,IF(C96&gt;=50%,C95*40%-C86*5%,IF(C96&lt;50%,C95*30%,0))))),0)</f>
        <v>835</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77" t="s">
        <v>2115</v>
      </c>
      <c r="B100" s="3178"/>
      <c r="C100" s="3178"/>
      <c r="D100" s="3247"/>
      <c r="E100" s="3178" t="s">
        <v>2116</v>
      </c>
      <c r="F100" s="3178"/>
      <c r="G100" s="3178"/>
      <c r="H100" s="3247"/>
      <c r="I100" s="134"/>
    </row>
    <row r="101" spans="1:35" ht="18.75" customHeight="1">
      <c r="A101" s="3248" t="s">
        <v>2117</v>
      </c>
      <c r="B101" s="3249"/>
      <c r="C101" s="2810" t="str">
        <f>C4</f>
        <v>典型户型修正</v>
      </c>
      <c r="D101" s="2811" t="str">
        <f>D4</f>
        <v>典型户型修正</v>
      </c>
      <c r="E101" s="3250" t="s">
        <v>2118</v>
      </c>
      <c r="F101" s="3251"/>
      <c r="G101" s="2015" t="s">
        <v>2119</v>
      </c>
      <c r="H101" s="2820">
        <f ca="1">H118</f>
        <v>2302</v>
      </c>
      <c r="I101" s="134"/>
    </row>
    <row r="102" spans="1:35" ht="18.75" customHeight="1">
      <c r="A102" s="3252" t="s">
        <v>2120</v>
      </c>
      <c r="B102" s="2809" t="s">
        <v>2119</v>
      </c>
      <c r="C102" s="2810">
        <f ca="1">C19</f>
        <v>2302</v>
      </c>
      <c r="D102" s="2811">
        <f ca="1">D19</f>
        <v>2302</v>
      </c>
      <c r="E102" s="3250"/>
      <c r="F102" s="3251"/>
      <c r="G102" s="2015" t="s">
        <v>2121</v>
      </c>
      <c r="H102" s="2780">
        <f ca="1">I118</f>
        <v>34281</v>
      </c>
      <c r="I102" s="134"/>
    </row>
    <row r="103" spans="1:35" ht="42.75" customHeight="1">
      <c r="A103" s="3252"/>
      <c r="B103" s="2809" t="s">
        <v>2121</v>
      </c>
      <c r="C103" s="2812">
        <f ca="1">C20</f>
        <v>34281</v>
      </c>
      <c r="D103" s="2813">
        <f ca="1">D20</f>
        <v>34281</v>
      </c>
      <c r="E103" s="3253" t="s">
        <v>2122</v>
      </c>
      <c r="F103" s="3254"/>
      <c r="G103" s="2016" t="s">
        <v>2123</v>
      </c>
      <c r="H103" s="2820">
        <f>IF(D36="正常操作",H104+H105+H106,H105+H106)</f>
        <v>0</v>
      </c>
      <c r="I103" s="134"/>
    </row>
    <row r="104" spans="1:35" ht="18.75" customHeight="1">
      <c r="A104" s="3252" t="s">
        <v>2124</v>
      </c>
      <c r="B104" s="2814" t="s">
        <v>2119</v>
      </c>
      <c r="C104" s="2815">
        <f ca="1">H118</f>
        <v>2302</v>
      </c>
      <c r="D104" s="2816"/>
      <c r="E104" s="1862" t="s">
        <v>2125</v>
      </c>
      <c r="F104" s="1853"/>
      <c r="G104" s="2016" t="s">
        <v>2123</v>
      </c>
      <c r="H104" s="2821">
        <f>IF(D36="同一抵押权人同一抵押物续贷",C36&amp;"（续贷，未扣减，详见特别提示）",C36)</f>
        <v>0</v>
      </c>
      <c r="I104" s="134"/>
    </row>
    <row r="105" spans="1:35" ht="18.75" customHeight="1" thickBot="1">
      <c r="A105" s="3260"/>
      <c r="B105" s="2817" t="s">
        <v>2121</v>
      </c>
      <c r="C105" s="2818">
        <f ca="1">I118</f>
        <v>34281</v>
      </c>
      <c r="D105" s="2819"/>
      <c r="E105" s="1862" t="s">
        <v>2126</v>
      </c>
      <c r="F105" s="1853"/>
      <c r="G105" s="2016" t="s">
        <v>2123</v>
      </c>
      <c r="H105" s="2822">
        <f>C37</f>
        <v>0</v>
      </c>
      <c r="I105" s="134"/>
    </row>
    <row r="106" spans="1:35" ht="18.75" customHeight="1">
      <c r="A106" s="1935" t="s">
        <v>2127</v>
      </c>
      <c r="B106" s="1935"/>
      <c r="C106" s="1935"/>
      <c r="D106" s="1935"/>
      <c r="E106" s="2017" t="s">
        <v>2128</v>
      </c>
      <c r="F106" s="1853"/>
      <c r="G106" s="2016" t="s">
        <v>2123</v>
      </c>
      <c r="H106" s="2822">
        <f>C38</f>
        <v>0</v>
      </c>
      <c r="I106" s="134"/>
    </row>
    <row r="107" spans="1:35" ht="18.75" customHeight="1">
      <c r="A107" s="134"/>
      <c r="B107" s="134"/>
      <c r="C107" s="134"/>
      <c r="D107" s="134"/>
      <c r="E107" s="3261" t="str">
        <f>IF(项目基本情况!E8="已注销","——","3.房地产抵押价值")</f>
        <v>3.房地产抵押价值</v>
      </c>
      <c r="F107" s="3251"/>
      <c r="G107" s="2015" t="s">
        <v>2119</v>
      </c>
      <c r="H107" s="2820">
        <f ca="1">IF(E107="——","——",H101-H103)</f>
        <v>2302</v>
      </c>
      <c r="I107" s="134"/>
    </row>
    <row r="108" spans="1:35" ht="18.75" customHeight="1">
      <c r="A108" s="134"/>
      <c r="B108" s="134"/>
      <c r="C108" s="134"/>
      <c r="D108" s="134"/>
      <c r="E108" s="3261"/>
      <c r="F108" s="3251"/>
      <c r="G108" s="2015" t="s">
        <v>2121</v>
      </c>
      <c r="H108" s="2780">
        <f ca="1">ROUND(H107*10000/'数据-汇总表'!E3,0)</f>
        <v>34281</v>
      </c>
      <c r="I108" s="134"/>
    </row>
    <row r="109" spans="1:35" ht="18.75" customHeight="1">
      <c r="A109" s="134"/>
      <c r="B109" s="134"/>
      <c r="C109" s="134"/>
      <c r="D109" s="134"/>
      <c r="E109" s="3261" t="str">
        <f>IF(项目基本情况!E8="已注销及未注销","4.抵押担保权已注销时的房地产抵押价值",IF(项目基本情况!E8="已注销","3.抵押担保权已注销时的房地产抵押价值","——"))</f>
        <v>4.抵押担保权已注销时的房地产抵押价值</v>
      </c>
      <c r="F109" s="3251"/>
      <c r="G109" s="2015" t="s">
        <v>2119</v>
      </c>
      <c r="H109" s="2823">
        <f ca="1">IF(E109="——","——",H101-H105-H106)</f>
        <v>2302</v>
      </c>
      <c r="I109" s="134"/>
    </row>
    <row r="110" spans="1:35" ht="18.75" customHeight="1">
      <c r="A110" s="134"/>
      <c r="B110" s="134"/>
      <c r="C110" s="134"/>
      <c r="D110" s="134"/>
      <c r="E110" s="3261"/>
      <c r="F110" s="3251"/>
      <c r="G110" s="2015" t="s">
        <v>2121</v>
      </c>
      <c r="H110" s="2780">
        <f ca="1">IF(H109="——","——",ROUND(H109*10000/'数据-汇总表'!E3,0))</f>
        <v>34281</v>
      </c>
      <c r="I110" s="134"/>
    </row>
    <row r="111" spans="1:35" ht="18.75" customHeight="1">
      <c r="A111" s="134"/>
      <c r="B111" s="134"/>
      <c r="C111" s="134"/>
      <c r="D111" s="134"/>
      <c r="E111" s="3262" t="str">
        <f>IF(项目基本情况!E9="抵押净值",IF(OR(项目基本情况!E8="已注销",项目基本情况!E8="房地产抵押价值"),"4.抵押净值","5.抵押净值"),"——")</f>
        <v>5.抵押净值</v>
      </c>
      <c r="F111" s="3263"/>
      <c r="G111" s="2015" t="s">
        <v>2119</v>
      </c>
      <c r="H111" s="2820">
        <f ca="1">IF(E111="——","——",N59)</f>
        <v>1936</v>
      </c>
      <c r="I111" s="134"/>
    </row>
    <row r="112" spans="1:35" ht="18.75" customHeight="1" thickBot="1">
      <c r="A112" s="134"/>
      <c r="B112" s="134"/>
      <c r="C112" s="134"/>
      <c r="D112" s="134"/>
      <c r="E112" s="3264"/>
      <c r="F112" s="3265"/>
      <c r="G112" s="2018" t="s">
        <v>2121</v>
      </c>
      <c r="H112" s="2824">
        <f ca="1">IF(E111="——","——",N61)</f>
        <v>28831</v>
      </c>
      <c r="I112" s="134"/>
    </row>
    <row r="113" spans="1:27" ht="18.75" customHeight="1">
      <c r="A113" s="134"/>
      <c r="B113" s="134"/>
      <c r="C113" s="134"/>
      <c r="D113" s="134"/>
      <c r="E113" s="3266" t="s">
        <v>2127</v>
      </c>
      <c r="F113" s="3266"/>
      <c r="G113" s="3266"/>
      <c r="H113" s="3266"/>
      <c r="I113" s="134"/>
    </row>
    <row r="114" spans="1:27" ht="3.75" customHeight="1">
      <c r="A114" s="1935"/>
      <c r="B114" s="1935"/>
      <c r="C114" s="1935"/>
      <c r="D114" s="1935"/>
      <c r="E114" s="1997"/>
      <c r="F114" s="1997"/>
      <c r="G114" s="1997"/>
      <c r="H114" s="1997"/>
      <c r="I114" s="1935"/>
    </row>
    <row r="115" spans="1:27" ht="18.75" customHeight="1">
      <c r="A115" s="3267" t="s">
        <v>2129</v>
      </c>
      <c r="B115" s="3268"/>
      <c r="C115" s="3268"/>
      <c r="D115" s="3268"/>
      <c r="E115" s="3268"/>
      <c r="F115" s="3268"/>
      <c r="G115" s="3268"/>
      <c r="H115" s="3268"/>
      <c r="I115" s="3269"/>
    </row>
    <row r="116" spans="1:27" ht="27" customHeight="1">
      <c r="A116" s="3183" t="s">
        <v>2130</v>
      </c>
      <c r="B116" s="3255" t="s">
        <v>2131</v>
      </c>
      <c r="C116" s="3255" t="s">
        <v>2132</v>
      </c>
      <c r="D116" s="3257" t="s">
        <v>2133</v>
      </c>
      <c r="E116" s="3258"/>
      <c r="F116" s="3259" t="s">
        <v>2134</v>
      </c>
      <c r="G116" s="3259"/>
      <c r="H116" s="3183" t="s">
        <v>2135</v>
      </c>
      <c r="I116" s="3183"/>
    </row>
    <row r="117" spans="1:27" ht="18.75" customHeight="1">
      <c r="A117" s="3183"/>
      <c r="B117" s="3256"/>
      <c r="C117" s="3256"/>
      <c r="D117" s="3077" t="s">
        <v>2136</v>
      </c>
      <c r="E117" s="3077" t="s">
        <v>2137</v>
      </c>
      <c r="F117" s="3077" t="s">
        <v>2136</v>
      </c>
      <c r="G117" s="3077" t="s">
        <v>2138</v>
      </c>
      <c r="H117" s="3077" t="s">
        <v>2136</v>
      </c>
      <c r="I117" s="3077" t="s">
        <v>2138</v>
      </c>
    </row>
    <row r="118" spans="1:27" ht="24.75" customHeight="1">
      <c r="A118" s="2825" t="str">
        <f>项目基本情况!S2</f>
        <v>北京市房地产</v>
      </c>
      <c r="B118" s="3077">
        <f>M18</f>
        <v>671.51000000000022</v>
      </c>
      <c r="C118" s="3077">
        <f>M19</f>
        <v>0</v>
      </c>
      <c r="D118" s="3077">
        <f ca="1">ROUND(IF(D32="总价",C34,E118*B118/10000),0)</f>
        <v>203</v>
      </c>
      <c r="E118" s="3077">
        <f ca="1">ROUND(IF(C33="自定义",IF(D32="楼面单价",C34,D118*10000/B118),I118-G118),0)</f>
        <v>3023</v>
      </c>
      <c r="F118" s="3077">
        <f ca="1">ROUND(IF(D32="总价",C35,G118*B118/10000),0)</f>
        <v>2099</v>
      </c>
      <c r="G118" s="3077">
        <f ca="1">ROUND(IF(D32="楼面单价",C35,F118*10000/B118),0)</f>
        <v>31258</v>
      </c>
      <c r="H118" s="3077">
        <f ca="1">ROUND(IF(D32="总价",C32,I118*B118/10000),0)</f>
        <v>2302</v>
      </c>
      <c r="I118" s="3077">
        <f ca="1">ROUND(IF(D32="楼面单价",C32,H118*10000/B118),0)</f>
        <v>34281</v>
      </c>
    </row>
    <row r="119" spans="1:27" ht="18.75" customHeight="1">
      <c r="A119" s="3183" t="s">
        <v>2139</v>
      </c>
      <c r="B119" s="3183"/>
      <c r="C119" s="3183"/>
      <c r="D119" s="3273" t="str">
        <f ca="1">NUMBERSTRING(INT(D118*10000),2)&amp;"元整"</f>
        <v>贰佰零叁万元整</v>
      </c>
      <c r="E119" s="3275"/>
      <c r="F119" s="3273" t="str">
        <f ca="1">NUMBERSTRING(INT(F118*10000),2)&amp;"元整"</f>
        <v>贰仟零玖拾玖万元整</v>
      </c>
      <c r="G119" s="3275"/>
      <c r="H119" s="3273" t="str">
        <f ca="1">NUMBERSTRING(INT(H118*10000),2)&amp;"元整"</f>
        <v>贰仟叁佰零贰万元整</v>
      </c>
      <c r="I119" s="3275"/>
    </row>
    <row r="120" spans="1:27" ht="18.75" customHeight="1">
      <c r="A120" s="3276" t="str">
        <f>IF(项目基本情况!B9="房地产市场价值","",MID(E103,3,LEN(E103)-2))</f>
        <v/>
      </c>
      <c r="B120" s="3277"/>
      <c r="C120" s="3278"/>
      <c r="D120" s="3276">
        <f>H103</f>
        <v>0</v>
      </c>
      <c r="E120" s="3277"/>
      <c r="F120" s="3277"/>
      <c r="G120" s="3277"/>
      <c r="H120" s="3277"/>
      <c r="I120" s="3278"/>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270" t="s">
        <v>2139</v>
      </c>
      <c r="B121" s="3271"/>
      <c r="C121" s="3272"/>
      <c r="D121" s="3273" t="str">
        <f>IF(D120=0,"零元整",NUMBERSTRING(INT(D120*10000),2)&amp;"元整")</f>
        <v>零元整</v>
      </c>
      <c r="E121" s="3274"/>
      <c r="F121" s="3274"/>
      <c r="G121" s="3274"/>
      <c r="H121" s="3274"/>
      <c r="I121" s="3275"/>
      <c r="AA121" s="734"/>
    </row>
    <row r="122" spans="1:27" ht="18.75" customHeight="1">
      <c r="A122" s="3263" t="str">
        <f>IF(项目基本情况!B9="房地产市场价值","",MID(E107,3,LEN(E107)-2))</f>
        <v/>
      </c>
      <c r="B122" s="3263"/>
      <c r="C122" s="3263"/>
      <c r="D122" s="3276">
        <f ca="1">H107</f>
        <v>2302</v>
      </c>
      <c r="E122" s="3277"/>
      <c r="F122" s="3277"/>
      <c r="G122" s="3277"/>
      <c r="H122" s="3277"/>
      <c r="I122" s="3278"/>
      <c r="AA122" s="734"/>
    </row>
    <row r="123" spans="1:27" ht="18.75" customHeight="1">
      <c r="A123" s="3183" t="s">
        <v>2139</v>
      </c>
      <c r="B123" s="3183"/>
      <c r="C123" s="3183"/>
      <c r="D123" s="3273" t="str">
        <f ca="1">NUMBERSTRING(INT(D122*10000),2)&amp;"元整"</f>
        <v>贰仟叁佰零贰万元整</v>
      </c>
      <c r="E123" s="3274"/>
      <c r="F123" s="3274"/>
      <c r="G123" s="3274"/>
      <c r="H123" s="3274"/>
      <c r="I123" s="3275"/>
      <c r="AA123" s="734"/>
    </row>
    <row r="124" spans="1:27" ht="18.75" customHeight="1">
      <c r="A124" s="3263" t="str">
        <f>IF(项目基本情况!B9="房地产市场价值","",MID(E109,3,LEN(E109)-2))</f>
        <v/>
      </c>
      <c r="B124" s="3263"/>
      <c r="C124" s="3263"/>
      <c r="D124" s="3276">
        <f ca="1">H109</f>
        <v>2302</v>
      </c>
      <c r="E124" s="3277"/>
      <c r="F124" s="3277"/>
      <c r="G124" s="3277"/>
      <c r="H124" s="3277"/>
      <c r="I124" s="3278"/>
      <c r="AA124" s="734"/>
    </row>
    <row r="125" spans="1:27" ht="18.75" customHeight="1">
      <c r="A125" s="3183" t="s">
        <v>2139</v>
      </c>
      <c r="B125" s="3183"/>
      <c r="C125" s="3183"/>
      <c r="D125" s="3273" t="str">
        <f ca="1">NUMBERSTRING(INT(D124*10000),2)&amp;"元整"</f>
        <v>贰仟叁佰零贰万元整</v>
      </c>
      <c r="E125" s="3274"/>
      <c r="F125" s="3274"/>
      <c r="G125" s="3274"/>
      <c r="H125" s="3274"/>
      <c r="I125" s="3275"/>
      <c r="AA125" s="734"/>
    </row>
    <row r="126" spans="1:27" ht="18.75" customHeight="1">
      <c r="A126" s="3263" t="str">
        <f>IF(项目基本情况!B9="房地产市场价值","",MID(E111,3,LEN(E111)-2))</f>
        <v/>
      </c>
      <c r="B126" s="3263"/>
      <c r="C126" s="3263"/>
      <c r="D126" s="3276">
        <f ca="1">H111</f>
        <v>1936</v>
      </c>
      <c r="E126" s="3277"/>
      <c r="F126" s="3277"/>
      <c r="G126" s="3277"/>
      <c r="H126" s="3277"/>
      <c r="I126" s="3278"/>
      <c r="AA126" s="734"/>
    </row>
    <row r="127" spans="1:27" ht="18.75" customHeight="1">
      <c r="A127" s="3183" t="s">
        <v>2139</v>
      </c>
      <c r="B127" s="3183"/>
      <c r="C127" s="3183"/>
      <c r="D127" s="3273" t="str">
        <f ca="1">NUMBERSTRING(INT(D126*10000),2)&amp;"元整"</f>
        <v>壹仟玖佰叁拾陆万元整</v>
      </c>
      <c r="E127" s="3274"/>
      <c r="F127" s="3274"/>
      <c r="G127" s="3274"/>
      <c r="H127" s="3274"/>
      <c r="I127" s="3275"/>
      <c r="AA127" s="734"/>
    </row>
    <row r="128" spans="1:27" ht="21.75" customHeight="1">
      <c r="A128" s="3279" t="s">
        <v>2140</v>
      </c>
      <c r="B128" s="3279"/>
      <c r="C128" s="3279"/>
      <c r="D128" s="3279"/>
      <c r="E128" s="3279"/>
      <c r="F128" s="3279"/>
      <c r="G128" s="3279"/>
      <c r="H128" s="3279"/>
      <c r="I128" s="3279"/>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9" sqref="G29"/>
    </sheetView>
  </sheetViews>
  <sheetFormatPr defaultColWidth="12.6640625" defaultRowHeight="21.75" customHeight="1"/>
  <cols>
    <col min="1" max="2" width="12.6640625" style="1941"/>
    <col min="3" max="4" width="12.6640625" style="1941" customWidth="1"/>
    <col min="5" max="9" width="12.6640625" style="1941"/>
    <col min="10" max="11" width="12.6640625" style="734" customWidth="1"/>
    <col min="12" max="12" width="12.6640625" style="734"/>
    <col min="13" max="13" width="14.109375" style="734" bestFit="1" customWidth="1"/>
    <col min="14" max="26" width="12.6640625" style="734"/>
    <col min="27" max="35" width="12.6640625" style="1940"/>
    <col min="36" max="16384" width="12.6640625" style="1941"/>
  </cols>
  <sheetData>
    <row r="1" spans="1:12" ht="21.75" customHeight="1" thickBot="1">
      <c r="A1" s="1824" t="s">
        <v>1949</v>
      </c>
      <c r="B1" s="1935"/>
      <c r="C1" s="1936" t="s">
        <v>3083</v>
      </c>
      <c r="D1" s="1935"/>
      <c r="E1" s="1935"/>
      <c r="F1" s="1937" t="s">
        <v>1950</v>
      </c>
      <c r="G1" s="1748" t="s">
        <v>3073</v>
      </c>
      <c r="H1" s="1938" t="str">
        <f>IF(G1="现房","——","估价对象范围")</f>
        <v>——</v>
      </c>
      <c r="I1" s="1939" t="s">
        <v>70</v>
      </c>
    </row>
    <row r="2" spans="1:12" ht="21.75" customHeight="1" thickBot="1">
      <c r="A2" s="3188" t="str">
        <f>项目基本情况!S2</f>
        <v>北京市房地产</v>
      </c>
      <c r="B2" s="3189"/>
      <c r="C2" s="3189"/>
      <c r="D2" s="3189"/>
      <c r="E2" s="3189"/>
      <c r="F2" s="3189"/>
      <c r="G2" s="3189"/>
      <c r="H2" s="3189"/>
      <c r="I2" s="3190"/>
    </row>
    <row r="3" spans="1:12" ht="13.2">
      <c r="A3" s="3191" t="s">
        <v>1951</v>
      </c>
      <c r="B3" s="3192"/>
      <c r="C3" s="3192"/>
      <c r="D3" s="3192"/>
      <c r="E3" s="3192"/>
      <c r="F3" s="3192"/>
      <c r="G3" s="3192"/>
      <c r="H3" s="3192"/>
      <c r="I3" s="3192"/>
    </row>
    <row r="4" spans="1:12" ht="14.4">
      <c r="A4" s="1942" t="s">
        <v>1952</v>
      </c>
      <c r="B4" s="1943" t="s">
        <v>1953</v>
      </c>
      <c r="C4" s="1944" t="s">
        <v>3091</v>
      </c>
      <c r="D4" s="1944" t="s">
        <v>3126</v>
      </c>
      <c r="E4" s="3193" t="s">
        <v>1954</v>
      </c>
      <c r="F4" s="3194"/>
      <c r="G4" s="3194"/>
      <c r="H4" s="3194"/>
      <c r="I4" s="319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183" t="s">
        <v>1955</v>
      </c>
      <c r="B5" s="3184">
        <v>25</v>
      </c>
      <c r="C5" s="3185"/>
      <c r="D5" s="3187"/>
      <c r="E5" s="136" t="s">
        <v>1956</v>
      </c>
      <c r="F5" s="1945"/>
      <c r="G5" s="1945"/>
      <c r="H5" s="1945"/>
      <c r="I5" s="1559"/>
    </row>
    <row r="6" spans="1:12" ht="13.2">
      <c r="A6" s="3183"/>
      <c r="B6" s="3184"/>
      <c r="C6" s="3196"/>
      <c r="D6" s="3187"/>
      <c r="E6" s="136" t="s">
        <v>1957</v>
      </c>
      <c r="F6" s="1945"/>
      <c r="G6" s="1945"/>
      <c r="H6" s="1945"/>
      <c r="I6" s="1559"/>
    </row>
    <row r="7" spans="1:12" ht="13.2">
      <c r="A7" s="3183"/>
      <c r="B7" s="3184"/>
      <c r="C7" s="3186"/>
      <c r="D7" s="3187"/>
      <c r="E7" s="136" t="s">
        <v>1958</v>
      </c>
      <c r="F7" s="1945"/>
      <c r="G7" s="1945"/>
      <c r="H7" s="1945"/>
      <c r="I7" s="1559"/>
    </row>
    <row r="8" spans="1:12" ht="13.2">
      <c r="A8" s="3183" t="s">
        <v>1959</v>
      </c>
      <c r="B8" s="3184">
        <v>15</v>
      </c>
      <c r="C8" s="3185"/>
      <c r="D8" s="3187"/>
      <c r="E8" s="136" t="s">
        <v>1960</v>
      </c>
      <c r="F8" s="1945"/>
      <c r="G8" s="1945"/>
      <c r="H8" s="1945"/>
      <c r="I8" s="1559"/>
    </row>
    <row r="9" spans="1:12" ht="13.2">
      <c r="A9" s="3183"/>
      <c r="B9" s="3184"/>
      <c r="C9" s="3186"/>
      <c r="D9" s="3187"/>
      <c r="E9" s="136" t="s">
        <v>1961</v>
      </c>
      <c r="F9" s="1945"/>
      <c r="G9" s="1945"/>
      <c r="H9" s="1945"/>
      <c r="I9" s="1559"/>
    </row>
    <row r="10" spans="1:12" ht="13.2">
      <c r="A10" s="3183" t="s">
        <v>1962</v>
      </c>
      <c r="B10" s="3184">
        <v>15</v>
      </c>
      <c r="C10" s="3185"/>
      <c r="D10" s="3187"/>
      <c r="E10" s="136" t="s">
        <v>1963</v>
      </c>
      <c r="F10" s="1945"/>
      <c r="G10" s="1945"/>
      <c r="H10" s="1945"/>
      <c r="I10" s="1559"/>
    </row>
    <row r="11" spans="1:12" ht="13.2">
      <c r="A11" s="3183"/>
      <c r="B11" s="3184"/>
      <c r="C11" s="3186"/>
      <c r="D11" s="3187"/>
      <c r="E11" s="136" t="s">
        <v>1964</v>
      </c>
      <c r="F11" s="1945"/>
      <c r="G11" s="1945"/>
      <c r="H11" s="1945"/>
      <c r="I11" s="1559"/>
    </row>
    <row r="12" spans="1:12" ht="13.2">
      <c r="A12" s="3183" t="s">
        <v>1965</v>
      </c>
      <c r="B12" s="3184">
        <v>15</v>
      </c>
      <c r="C12" s="3185"/>
      <c r="D12" s="3187"/>
      <c r="E12" s="136" t="s">
        <v>1966</v>
      </c>
      <c r="F12" s="1945"/>
      <c r="G12" s="1945"/>
      <c r="H12" s="1945"/>
      <c r="I12" s="1559"/>
    </row>
    <row r="13" spans="1:12" ht="13.2">
      <c r="A13" s="3183"/>
      <c r="B13" s="3184"/>
      <c r="C13" s="3186"/>
      <c r="D13" s="3187"/>
      <c r="E13" s="136" t="s">
        <v>1967</v>
      </c>
      <c r="F13" s="1945"/>
      <c r="G13" s="1945"/>
      <c r="H13" s="1945"/>
      <c r="I13" s="1559"/>
    </row>
    <row r="14" spans="1:12" ht="13.2">
      <c r="A14" s="3183" t="s">
        <v>1968</v>
      </c>
      <c r="B14" s="3184">
        <v>30</v>
      </c>
      <c r="C14" s="3185">
        <v>5</v>
      </c>
      <c r="D14" s="3187">
        <v>5</v>
      </c>
      <c r="E14" s="136" t="s">
        <v>1969</v>
      </c>
      <c r="F14" s="1945"/>
      <c r="G14" s="1945"/>
      <c r="H14" s="1945"/>
      <c r="I14" s="1559"/>
    </row>
    <row r="15" spans="1:12" ht="13.2">
      <c r="A15" s="3183"/>
      <c r="B15" s="3184"/>
      <c r="C15" s="3196"/>
      <c r="D15" s="3187"/>
      <c r="E15" s="136" t="s">
        <v>1970</v>
      </c>
      <c r="F15" s="1945"/>
      <c r="G15" s="1945"/>
      <c r="H15" s="1945"/>
      <c r="I15" s="1559"/>
    </row>
    <row r="16" spans="1:12" ht="13.2">
      <c r="A16" s="3183"/>
      <c r="B16" s="3184"/>
      <c r="C16" s="3186"/>
      <c r="D16" s="3187"/>
      <c r="E16" s="136" t="s">
        <v>1971</v>
      </c>
      <c r="F16" s="1945"/>
      <c r="G16" s="1945"/>
      <c r="H16" s="1945"/>
      <c r="I16" s="1559"/>
    </row>
    <row r="17" spans="1:36" ht="14.4">
      <c r="A17" s="1946" t="s">
        <v>1972</v>
      </c>
      <c r="B17" s="60"/>
      <c r="C17" s="137">
        <f>SUM(C5:C16)</f>
        <v>5</v>
      </c>
      <c r="D17" s="137">
        <f>SUM(D5:D16)</f>
        <v>5</v>
      </c>
      <c r="E17" s="134"/>
      <c r="F17" s="134"/>
      <c r="G17" s="134"/>
      <c r="H17" s="134"/>
      <c r="I17" s="134"/>
      <c r="K17" s="308"/>
      <c r="L17" s="308" t="s">
        <v>1973</v>
      </c>
      <c r="M17" s="308" t="s">
        <v>1974</v>
      </c>
    </row>
    <row r="18" spans="1:36" ht="31.95" customHeight="1" thickBot="1">
      <c r="A18" s="1947" t="s">
        <v>1975</v>
      </c>
      <c r="B18" s="1948"/>
      <c r="C18" s="138">
        <f>ROUND(C17/SUM(C17:D17),2)</f>
        <v>0.5</v>
      </c>
      <c r="D18" s="138">
        <f>1-C18</f>
        <v>0.5</v>
      </c>
      <c r="E18" s="3197" t="s">
        <v>2872</v>
      </c>
      <c r="F18" s="3198"/>
      <c r="G18" s="3198"/>
      <c r="H18" s="3198"/>
      <c r="I18" s="3198"/>
      <c r="K18" s="308" t="s">
        <v>1976</v>
      </c>
      <c r="L18" s="308">
        <f>IF(C1="",'数据-汇总表'!E3,SUMIF(项目类型,C1,'数据-汇总表'!E17:E26)+SUMIF(项目类型,C1,'数据-汇总表'!I17:I26))</f>
        <v>116.2</v>
      </c>
      <c r="M18" s="308">
        <f>IF(C1="",'数据-汇总表'!E3,SUMIF(项目类型,C1,'数据-汇总表'!E17:E26))</f>
        <v>116.2</v>
      </c>
    </row>
    <row r="19" spans="1:36" ht="14.4">
      <c r="A19" s="1949" t="s">
        <v>1977</v>
      </c>
      <c r="B19" s="1950" t="s">
        <v>1978</v>
      </c>
      <c r="C19" s="139">
        <f ca="1">SUMIF(INDIRECT("'"&amp;C4&amp;"'"&amp;"!A:A"),结果表!B19,INDIRECT("'"&amp;C4&amp;"'"&amp;"!B:B"))</f>
        <v>377</v>
      </c>
      <c r="D19" s="140">
        <f ca="1">SUMIF(INDIRECT("'"&amp;D4&amp;"'"&amp;"!A:A"),结果表!B19,INDIRECT("'"&amp;D4&amp;"'"&amp;"!B:B"))</f>
        <v>428</v>
      </c>
      <c r="E19" s="1949" t="s">
        <v>1979</v>
      </c>
      <c r="F19" s="1950" t="s">
        <v>1978</v>
      </c>
      <c r="G19" s="141">
        <f ca="1">ROUND(C19*$C$18+D19*$D$18,0)</f>
        <v>403</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4.4">
      <c r="A20" s="1952"/>
      <c r="B20" s="1157" t="s">
        <v>1982</v>
      </c>
      <c r="C20" s="142">
        <f ca="1">SUMIF(INDIRECT("'"&amp;C4&amp;"'"&amp;"!A:A"),结果表!B20,INDIRECT("'"&amp;C4&amp;"'"&amp;"!B:B"))</f>
        <v>32473</v>
      </c>
      <c r="D20" s="143">
        <f ca="1">SUMIF(INDIRECT("'"&amp;D4&amp;"'"&amp;"!A:A"),结果表!B20,INDIRECT("'"&amp;D4&amp;"'"&amp;"!B:B"))</f>
        <v>36819</v>
      </c>
      <c r="E20" s="1952"/>
      <c r="F20" s="1157" t="s">
        <v>1982</v>
      </c>
      <c r="G20" s="144">
        <f ca="1">ROUND(C20*$C$18+D20*$D$18,0)</f>
        <v>34646</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0.13527851458885931</v>
      </c>
      <c r="E22" s="134"/>
      <c r="F22" s="134"/>
      <c r="G22" s="134"/>
      <c r="H22" s="134"/>
      <c r="I22" s="134"/>
    </row>
    <row r="23" spans="1:36" ht="13.8" thickBot="1">
      <c r="A23" s="1935"/>
      <c r="B23" s="1935"/>
      <c r="C23" s="1935"/>
      <c r="D23" s="1935"/>
      <c r="E23" s="134"/>
      <c r="F23" s="134"/>
      <c r="G23" s="134"/>
      <c r="H23" s="134"/>
      <c r="I23" s="134"/>
    </row>
    <row r="24" spans="1:36" ht="14.4">
      <c r="A24" s="3199" t="s">
        <v>1986</v>
      </c>
      <c r="B24" s="1950" t="s">
        <v>1978</v>
      </c>
      <c r="C24" s="141">
        <f>IF(B30=0,0,D30)</f>
        <v>0</v>
      </c>
      <c r="D24" s="1957"/>
      <c r="E24" s="134"/>
      <c r="F24" s="134"/>
      <c r="G24" s="134"/>
      <c r="H24" s="134"/>
      <c r="I24" s="134"/>
    </row>
    <row r="25" spans="1:36" ht="14.4">
      <c r="A25" s="3200"/>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3.8">
      <c r="A27" s="1959"/>
      <c r="B27" s="147">
        <v>0</v>
      </c>
      <c r="C27" s="147">
        <v>0</v>
      </c>
      <c r="D27" s="148">
        <f>ROUND(C27*B27/10000,0)</f>
        <v>0</v>
      </c>
      <c r="E27" s="134"/>
      <c r="F27" s="134"/>
      <c r="G27" s="134"/>
      <c r="H27" s="134"/>
      <c r="I27" s="134"/>
    </row>
    <row r="28" spans="1:36" ht="13.8">
      <c r="A28" s="1959"/>
      <c r="B28" s="147"/>
      <c r="C28" s="147"/>
      <c r="D28" s="148"/>
      <c r="E28" s="134"/>
      <c r="F28" s="134"/>
      <c r="G28" s="134"/>
      <c r="H28" s="134"/>
      <c r="I28" s="134"/>
    </row>
    <row r="29" spans="1:36" ht="13.8">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 customHeight="1" thickTop="1" thickBot="1">
      <c r="A31" s="2523"/>
      <c r="B31" s="2524"/>
      <c r="C31" s="2524"/>
      <c r="D31" s="2524"/>
      <c r="E31" s="2524"/>
      <c r="F31" s="2524"/>
      <c r="G31" s="2524"/>
      <c r="H31" s="2524"/>
      <c r="I31" s="2525" t="s">
        <v>2874</v>
      </c>
      <c r="J31" s="2917"/>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5.6" thickTop="1" thickBot="1">
      <c r="A32" s="1961" t="s">
        <v>1992</v>
      </c>
      <c r="B32" s="1962"/>
      <c r="C32" s="149">
        <f ca="1">IF(D32="总价",G19-C24,G20-C25)</f>
        <v>34646</v>
      </c>
      <c r="D32" s="1963" t="s">
        <v>3127</v>
      </c>
      <c r="E32" s="134"/>
      <c r="F32" s="134"/>
      <c r="G32" s="134"/>
      <c r="H32" s="134"/>
      <c r="I32" s="134"/>
    </row>
    <row r="33" spans="1:15" ht="14.4">
      <c r="A33" s="894" t="s">
        <v>1993</v>
      </c>
      <c r="B33" s="1964"/>
      <c r="C33" s="1965"/>
      <c r="D33" s="1966"/>
      <c r="E33" s="1967" t="s">
        <v>1994</v>
      </c>
      <c r="F33" s="1968" t="str">
        <f>IF(D32="楼面单价","取值（单价）","取值（总价）")</f>
        <v>取值（单价）</v>
      </c>
      <c r="G33" s="134"/>
      <c r="H33" s="134"/>
      <c r="I33" s="134"/>
    </row>
    <row r="34" spans="1:15" ht="14.4">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 thickBot="1">
      <c r="A36" s="3201" t="s">
        <v>1999</v>
      </c>
      <c r="B36" s="1975" t="s">
        <v>2000</v>
      </c>
      <c r="C36" s="150"/>
      <c r="D36" s="1976"/>
      <c r="E36" s="1977"/>
      <c r="F36" s="1978"/>
      <c r="G36" s="134"/>
      <c r="H36" s="134"/>
      <c r="I36" s="134"/>
    </row>
    <row r="37" spans="1:15" ht="15" thickBot="1">
      <c r="A37" s="3202"/>
      <c r="B37" s="1862" t="s">
        <v>2001</v>
      </c>
      <c r="C37" s="152"/>
      <c r="D37" s="1301"/>
      <c r="E37" s="1301"/>
      <c r="F37" s="1978"/>
      <c r="G37" s="134"/>
      <c r="H37" s="134"/>
      <c r="I37" s="134"/>
    </row>
    <row r="38" spans="1:15" ht="15" thickBot="1">
      <c r="A38" s="3203"/>
      <c r="B38" s="1979" t="s">
        <v>2002</v>
      </c>
      <c r="C38" s="683"/>
      <c r="D38" s="1980" t="s">
        <v>2003</v>
      </c>
      <c r="E38" s="1301"/>
      <c r="F38" s="1978"/>
      <c r="G38" s="134"/>
      <c r="H38" s="134"/>
      <c r="I38" s="134"/>
    </row>
    <row r="39" spans="1:15" ht="14.4">
      <c r="A39" s="1952" t="s">
        <v>2004</v>
      </c>
      <c r="B39" s="1981" t="s">
        <v>2005</v>
      </c>
      <c r="C39" s="1982" t="s">
        <v>2006</v>
      </c>
      <c r="D39" s="1982" t="s">
        <v>2007</v>
      </c>
      <c r="E39" s="1983" t="s">
        <v>2008</v>
      </c>
      <c r="F39" s="1978"/>
      <c r="G39" s="134"/>
      <c r="H39" s="134"/>
      <c r="I39" s="134"/>
    </row>
    <row r="40" spans="1:15" ht="13.8">
      <c r="A40" s="1984" t="s">
        <v>2009</v>
      </c>
      <c r="B40" s="154"/>
      <c r="C40" s="155"/>
      <c r="D40" s="155"/>
      <c r="E40" s="156"/>
      <c r="F40" s="1978"/>
      <c r="G40" s="134"/>
      <c r="H40" s="134"/>
      <c r="I40" s="134"/>
    </row>
    <row r="41" spans="1:15" ht="13.8">
      <c r="A41" s="1984" t="s">
        <v>2010</v>
      </c>
      <c r="B41" s="154"/>
      <c r="C41" s="155"/>
      <c r="D41" s="155"/>
      <c r="E41" s="156"/>
      <c r="F41" s="1978"/>
      <c r="G41" s="134"/>
      <c r="H41" s="134"/>
      <c r="I41" s="134"/>
    </row>
    <row r="42" spans="1:15" ht="14.4" thickBot="1">
      <c r="A42" s="1985"/>
      <c r="B42" s="157"/>
      <c r="C42" s="158"/>
      <c r="D42" s="158"/>
      <c r="E42" s="159"/>
      <c r="F42" s="1978"/>
      <c r="G42" s="134"/>
      <c r="H42" s="134"/>
      <c r="I42" s="134"/>
    </row>
    <row r="43" spans="1:15" ht="13.2">
      <c r="A43" s="1764"/>
      <c r="B43" s="1764"/>
      <c r="C43" s="1764"/>
      <c r="D43" s="1764"/>
      <c r="E43" s="1764"/>
      <c r="F43" s="1986"/>
      <c r="G43" s="1986"/>
      <c r="H43" s="1986"/>
      <c r="I43" s="1987"/>
    </row>
    <row r="44" spans="1:15" ht="17.399999999999999">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04" t="s">
        <v>2013</v>
      </c>
      <c r="B45" s="3205"/>
      <c r="C45" s="3206"/>
      <c r="D45" s="160">
        <f ca="1">ROUND(H101*F45,0)</f>
        <v>403</v>
      </c>
      <c r="E45" s="161" t="s">
        <v>2014</v>
      </c>
      <c r="F45" s="162">
        <v>1</v>
      </c>
      <c r="G45" s="163" t="s">
        <v>2015</v>
      </c>
      <c r="H45" s="134"/>
      <c r="I45" s="134"/>
      <c r="J45" s="3207" t="s">
        <v>2016</v>
      </c>
      <c r="K45" s="3207"/>
      <c r="L45" s="3207"/>
      <c r="M45" s="3207"/>
      <c r="N45" s="3207"/>
      <c r="O45" s="3207"/>
    </row>
    <row r="46" spans="1:15" ht="14.25" customHeight="1">
      <c r="A46" s="3208" t="s">
        <v>2017</v>
      </c>
      <c r="B46" s="3209"/>
      <c r="C46" s="3209"/>
      <c r="D46" s="3209"/>
      <c r="E46" s="3209"/>
      <c r="F46" s="3209"/>
      <c r="G46" s="3210"/>
      <c r="H46" s="1994"/>
      <c r="I46" s="164"/>
      <c r="J46" s="2748">
        <v>1</v>
      </c>
      <c r="K46" s="3211" t="s">
        <v>2018</v>
      </c>
      <c r="L46" s="3211"/>
      <c r="M46" s="3212"/>
      <c r="N46" s="3212"/>
      <c r="O46" s="3212"/>
    </row>
    <row r="47" spans="1:15" ht="12" customHeight="1">
      <c r="A47" s="165" t="s">
        <v>2019</v>
      </c>
      <c r="B47" s="166"/>
      <c r="C47" s="167"/>
      <c r="D47" s="1247" t="s">
        <v>2020</v>
      </c>
      <c r="E47" s="308" t="s">
        <v>2021</v>
      </c>
      <c r="F47" s="168" t="s">
        <v>2022</v>
      </c>
      <c r="G47" s="2771" t="s">
        <v>2023</v>
      </c>
      <c r="H47" s="2772"/>
      <c r="I47" s="164"/>
      <c r="J47" s="2748">
        <v>2</v>
      </c>
      <c r="K47" s="3211" t="s">
        <v>2024</v>
      </c>
      <c r="L47" s="3211"/>
      <c r="M47" s="3217">
        <f>'数据-取费表'!B2</f>
        <v>44209</v>
      </c>
      <c r="N47" s="3217"/>
      <c r="O47" s="3217"/>
    </row>
    <row r="48" spans="1:15" ht="39.6">
      <c r="A48" s="3218" t="s">
        <v>2025</v>
      </c>
      <c r="B48" s="3219"/>
      <c r="C48" s="3219"/>
      <c r="D48" s="2548">
        <f ca="1">IF(H48="情况1",0,IF(H48="情况2",D52,IF(H48="情况3",D53,IF(H48="情况4",D54))))</f>
        <v>21</v>
      </c>
      <c r="E48" s="2558" t="str">
        <f>IF(H48="情况4","(销售额-原购置价)×税（费）率","销售额×税（费）率")</f>
        <v>(销售额-原购置价)×税（费）率</v>
      </c>
      <c r="F48" s="2773">
        <f>IF(H48="情况1","免征",'数据-取费表'!B41)</f>
        <v>5.5000000000000007E-2</v>
      </c>
      <c r="G48" s="2774" t="s">
        <v>2026</v>
      </c>
      <c r="H48" s="2775" t="s">
        <v>3136</v>
      </c>
      <c r="I48" s="1994"/>
      <c r="J48" s="2748">
        <v>3</v>
      </c>
      <c r="K48" s="3211" t="s">
        <v>2027</v>
      </c>
      <c r="L48" s="3211"/>
      <c r="M48" s="3220">
        <f ca="1">H101</f>
        <v>403</v>
      </c>
      <c r="N48" s="3220"/>
      <c r="O48" s="3220"/>
    </row>
    <row r="49" spans="1:35" ht="25.5" customHeight="1">
      <c r="A49" s="2557" t="s">
        <v>2028</v>
      </c>
      <c r="B49" s="3213" t="s">
        <v>2029</v>
      </c>
      <c r="C49" s="3213"/>
      <c r="D49" s="1777">
        <v>0</v>
      </c>
      <c r="E49" s="330" t="s">
        <v>2030</v>
      </c>
      <c r="F49" s="2649" t="s">
        <v>34</v>
      </c>
      <c r="G49" s="3221"/>
      <c r="H49" s="2529" t="s">
        <v>2875</v>
      </c>
      <c r="I49" s="2530"/>
      <c r="J49" s="2748">
        <v>4</v>
      </c>
      <c r="K49" s="3211" t="str">
        <f>IF(项目基本情况!E8="房地产抵押价值","房地产抵押价值","抵押担保权已注销时的房地产抵押价值")</f>
        <v>抵押担保权已注销时的房地产抵押价值</v>
      </c>
      <c r="L49" s="3211"/>
      <c r="M49" s="3220">
        <f ca="1">IF(项目基本情况!E8="房地产抵押价值",H107,H109)</f>
        <v>403</v>
      </c>
      <c r="N49" s="3220"/>
      <c r="O49" s="3220"/>
    </row>
    <row r="50" spans="1:35" ht="25.5" customHeight="1">
      <c r="A50" s="2776"/>
      <c r="B50" s="3213" t="s">
        <v>2031</v>
      </c>
      <c r="C50" s="3213"/>
      <c r="D50" s="2777"/>
      <c r="E50" s="338"/>
      <c r="F50" s="2649"/>
      <c r="G50" s="3222"/>
      <c r="H50" s="2531" t="s">
        <v>2876</v>
      </c>
      <c r="I50" s="2530"/>
      <c r="J50" s="3207" t="s">
        <v>2032</v>
      </c>
      <c r="K50" s="3207"/>
      <c r="L50" s="3207"/>
      <c r="M50" s="3207"/>
      <c r="N50" s="3207"/>
      <c r="O50" s="3207"/>
    </row>
    <row r="51" spans="1:35" ht="20.399999999999999" customHeight="1">
      <c r="A51" s="2778"/>
      <c r="B51" s="3213" t="s">
        <v>2033</v>
      </c>
      <c r="C51" s="3213"/>
      <c r="D51" s="1247"/>
      <c r="E51" s="333"/>
      <c r="F51" s="2649"/>
      <c r="G51" s="3223"/>
      <c r="H51" s="2531" t="s">
        <v>2877</v>
      </c>
      <c r="I51" s="2530"/>
      <c r="J51" s="2749" t="s">
        <v>2034</v>
      </c>
      <c r="K51" s="3211" t="s">
        <v>2035</v>
      </c>
      <c r="L51" s="3211"/>
      <c r="M51" s="2749" t="s">
        <v>2036</v>
      </c>
      <c r="N51" s="2749" t="s">
        <v>2037</v>
      </c>
      <c r="O51" s="2749" t="s">
        <v>2038</v>
      </c>
    </row>
    <row r="52" spans="1:35" ht="24" customHeight="1">
      <c r="A52" s="2559" t="s">
        <v>2039</v>
      </c>
      <c r="B52" s="3213" t="s">
        <v>2040</v>
      </c>
      <c r="C52" s="3213"/>
      <c r="D52" s="1247">
        <f ca="1">ROUND(D45*'数据-取费表'!B41/(1+'数据-取费表'!C42),0)</f>
        <v>21</v>
      </c>
      <c r="E52" s="2558" t="s">
        <v>2041</v>
      </c>
      <c r="F52" s="2779">
        <f>'数据-取费表'!B41</f>
        <v>5.5000000000000007E-2</v>
      </c>
      <c r="G52" s="2780"/>
      <c r="H52" s="2769"/>
      <c r="I52" s="1995"/>
      <c r="J52" s="2748">
        <v>1</v>
      </c>
      <c r="K52" s="3214" t="s">
        <v>2042</v>
      </c>
      <c r="L52" s="3214"/>
      <c r="M52" s="2750">
        <f ca="1">D48</f>
        <v>21</v>
      </c>
      <c r="N52" s="2748" t="str">
        <f>E48</f>
        <v>(销售额-原购置价)×税（费）率</v>
      </c>
      <c r="O52" s="2751">
        <f>F48</f>
        <v>5.5000000000000007E-2</v>
      </c>
    </row>
    <row r="53" spans="1:35" ht="12" customHeight="1">
      <c r="A53" s="2559" t="s">
        <v>2043</v>
      </c>
      <c r="B53" s="3215" t="s">
        <v>3036</v>
      </c>
      <c r="C53" s="3216"/>
      <c r="D53" s="1247">
        <f ca="1">ROUND(D45*'数据-取费表'!B41/(1+'数据-取费表'!C42),0)</f>
        <v>21</v>
      </c>
      <c r="E53" s="2558" t="s">
        <v>2041</v>
      </c>
      <c r="F53" s="2779">
        <f>'数据-取费表'!B41</f>
        <v>5.5000000000000007E-2</v>
      </c>
      <c r="G53" s="2780"/>
      <c r="H53" s="2769"/>
      <c r="I53" s="1995"/>
      <c r="J53" s="2748">
        <v>2</v>
      </c>
      <c r="K53" s="3214" t="s">
        <v>2044</v>
      </c>
      <c r="L53" s="3214"/>
      <c r="M53" s="2750">
        <f t="shared" ref="M53:O54" ca="1" si="0">D55</f>
        <v>0</v>
      </c>
      <c r="N53" s="2748" t="str">
        <f t="shared" si="0"/>
        <v>销售额×税（费）率</v>
      </c>
      <c r="O53" s="2751">
        <f t="shared" si="0"/>
        <v>5.0000000000000001E-4</v>
      </c>
    </row>
    <row r="54" spans="1:35" ht="12" customHeight="1">
      <c r="A54" s="2559" t="s">
        <v>2045</v>
      </c>
      <c r="B54" s="3215" t="s">
        <v>3037</v>
      </c>
      <c r="C54" s="3216"/>
      <c r="D54" s="1247">
        <f ca="1">C68</f>
        <v>21</v>
      </c>
      <c r="E54" s="333" t="s">
        <v>2046</v>
      </c>
      <c r="F54" s="2779">
        <f>'数据-取费表'!B41</f>
        <v>5.5000000000000007E-2</v>
      </c>
      <c r="G54" s="2780"/>
      <c r="H54" s="2781"/>
      <c r="I54" s="1995"/>
      <c r="J54" s="2748">
        <v>3</v>
      </c>
      <c r="K54" s="3214" t="s">
        <v>2047</v>
      </c>
      <c r="L54" s="3214"/>
      <c r="M54" s="2750">
        <f t="shared" ca="1" si="0"/>
        <v>229</v>
      </c>
      <c r="N54" s="2748" t="str">
        <f t="shared" si="0"/>
        <v>增值额×税（费）率</v>
      </c>
      <c r="O54" s="2752" t="str">
        <f t="shared" si="0"/>
        <v>——</v>
      </c>
    </row>
    <row r="55" spans="1:35" ht="24" customHeight="1">
      <c r="A55" s="3230" t="s">
        <v>2048</v>
      </c>
      <c r="B55" s="3219"/>
      <c r="C55" s="3219"/>
      <c r="D55" s="2548">
        <f ca="1">IF(H55="个人住宅",0,ROUND(D45*I55,0))</f>
        <v>0</v>
      </c>
      <c r="E55" s="2558" t="s">
        <v>2049</v>
      </c>
      <c r="F55" s="2779">
        <f>IF(H55="正常",I55,"免征")</f>
        <v>5.0000000000000001E-4</v>
      </c>
      <c r="G55" s="2780"/>
      <c r="H55" s="2775" t="s">
        <v>3092</v>
      </c>
      <c r="I55" s="170">
        <f>'数据-取费表'!B49</f>
        <v>5.0000000000000001E-4</v>
      </c>
      <c r="J55" s="2748">
        <f>IF(H59="非个人房产","",4)</f>
        <v>4</v>
      </c>
      <c r="K55" s="3214" t="str">
        <f>IF(H59="非个人房产","——","个人所得税")</f>
        <v>个人所得税</v>
      </c>
      <c r="L55" s="3214"/>
      <c r="M55" s="2753">
        <f ca="1">D59</f>
        <v>77</v>
      </c>
      <c r="N55" s="2229" t="str">
        <f>E59</f>
        <v>差额计税</v>
      </c>
      <c r="O55" s="2754">
        <f>F59</f>
        <v>0.2</v>
      </c>
    </row>
    <row r="56" spans="1:35" ht="25.2">
      <c r="A56" s="3230" t="s">
        <v>2050</v>
      </c>
      <c r="B56" s="3219"/>
      <c r="C56" s="3219"/>
      <c r="D56" s="2548">
        <f ca="1">IF(H56="个人住宅",D57,D58)</f>
        <v>229</v>
      </c>
      <c r="E56" s="2558" t="s">
        <v>2051</v>
      </c>
      <c r="F56" s="2779" t="str">
        <f>IF(H56="正常",F58,"免征")</f>
        <v>——</v>
      </c>
      <c r="G56" s="2782" t="s">
        <v>2052</v>
      </c>
      <c r="H56" s="2783" t="s">
        <v>3092</v>
      </c>
      <c r="I56" s="1996"/>
      <c r="J56" s="2748" t="str">
        <f>IF(项目基本情况!K6="上海银行",IF(J55="",4,J55+1),"")</f>
        <v/>
      </c>
      <c r="K56" s="3224" t="str">
        <f>IF(项目基本情况!K6="上海银行","其他处置费用","")</f>
        <v/>
      </c>
      <c r="L56" s="3231"/>
      <c r="M56" s="2750" t="str">
        <f>IF(项目基本情况!K6="上海银行",M69,"")</f>
        <v/>
      </c>
      <c r="N56" s="3224" t="str">
        <f>IF(项目基本情况!K6="上海银行","包含处置中涉及的律师、诉讼、拍卖、评估等费用","")</f>
        <v/>
      </c>
      <c r="O56" s="3225"/>
    </row>
    <row r="57" spans="1:35" ht="13.2">
      <c r="A57" s="2559" t="s">
        <v>2028</v>
      </c>
      <c r="B57" s="3215" t="s">
        <v>2053</v>
      </c>
      <c r="C57" s="3216"/>
      <c r="D57" s="1777">
        <v>0</v>
      </c>
      <c r="E57" s="330" t="s">
        <v>2030</v>
      </c>
      <c r="F57" s="308"/>
      <c r="G57" s="2780"/>
      <c r="H57" s="2784"/>
      <c r="I57" s="1996"/>
      <c r="J57" s="3214">
        <f>IF(AND(J55="",J56=""),4,IF(项目基本情况!K6="上海银行",结果表!J56+1,结果表!J55+1))</f>
        <v>5</v>
      </c>
      <c r="K57" s="3214" t="s">
        <v>2054</v>
      </c>
      <c r="L57" s="2755" t="s">
        <v>2055</v>
      </c>
      <c r="M57" s="2756"/>
      <c r="N57" s="2757">
        <f ca="1">SUMIF(M52:M56,"&lt;9e307")</f>
        <v>327</v>
      </c>
      <c r="O57" s="2758"/>
      <c r="P57" s="2918">
        <f ca="1">N57/M49</f>
        <v>0.81141439205955335</v>
      </c>
    </row>
    <row r="58" spans="1:35" ht="25.2">
      <c r="A58" s="2559" t="s">
        <v>2039</v>
      </c>
      <c r="B58" s="3215" t="s">
        <v>2056</v>
      </c>
      <c r="C58" s="3213"/>
      <c r="D58" s="2548">
        <f ca="1">IF(H58="转让取得",C81,C97)</f>
        <v>229</v>
      </c>
      <c r="E58" s="2558" t="s">
        <v>2051</v>
      </c>
      <c r="F58" s="308" t="s">
        <v>34</v>
      </c>
      <c r="G58" s="2780"/>
      <c r="H58" s="2783" t="s">
        <v>3190</v>
      </c>
      <c r="I58" s="1996"/>
      <c r="J58" s="3214"/>
      <c r="K58" s="3214"/>
      <c r="L58" s="2755" t="s">
        <v>2057</v>
      </c>
      <c r="M58" s="2759"/>
      <c r="N58" s="2760" t="str">
        <f ca="1">NUMBERSTRING(INT(N57*10000),2)&amp;"元整"</f>
        <v>叁佰贰拾柒万元整</v>
      </c>
      <c r="O58" s="2761"/>
    </row>
    <row r="59" spans="1:35" ht="24.6" thickBot="1">
      <c r="A59" s="3226" t="s">
        <v>2058</v>
      </c>
      <c r="B59" s="3227"/>
      <c r="C59" s="3227"/>
      <c r="D59" s="2785">
        <f ca="1">IF(H59="非个人房产","——",IF(H59="个人住宅（满五唯一有凭证）",0,IF(H59="个人其他（无凭证）",ROUND(D45*F59,0),ROUND(C67*F59,0))))</f>
        <v>77</v>
      </c>
      <c r="E59" s="2786" t="str">
        <f>IF(H59="非个人房产","——",IF(H59="个人其他（无凭证）","销售额×税（费）率",IF(H59="个人住宅（满五唯一有凭证）","免征","差额计税")))</f>
        <v>差额计税</v>
      </c>
      <c r="F59" s="2787">
        <f>IF(OR(H59="非个人房产",H59="个人住宅（满五唯一有凭证）"),"——",IF(H59="个人其他（有凭证）",20%,1%))</f>
        <v>0.2</v>
      </c>
      <c r="G59" s="2788" t="s">
        <v>2052</v>
      </c>
      <c r="H59" s="2533" t="s">
        <v>3191</v>
      </c>
      <c r="I59" s="2532" t="s">
        <v>2878</v>
      </c>
      <c r="J59" s="3228">
        <f>J57+1</f>
        <v>6</v>
      </c>
      <c r="K59" s="3214" t="s">
        <v>2059</v>
      </c>
      <c r="L59" s="2748" t="s">
        <v>2055</v>
      </c>
      <c r="M59" s="2762"/>
      <c r="N59" s="2763">
        <f ca="1">M49-N57</f>
        <v>76</v>
      </c>
      <c r="O59" s="2764"/>
    </row>
    <row r="60" spans="1:35" ht="12" customHeight="1">
      <c r="A60" s="1997"/>
      <c r="B60" s="1935"/>
      <c r="C60" s="1935"/>
      <c r="D60" s="1935"/>
      <c r="E60" s="1765"/>
      <c r="F60" s="1996"/>
      <c r="G60" s="1996"/>
      <c r="H60" s="1998"/>
      <c r="I60" s="134"/>
      <c r="J60" s="3229"/>
      <c r="K60" s="3214"/>
      <c r="L60" s="2755" t="s">
        <v>2057</v>
      </c>
      <c r="M60" s="2759"/>
      <c r="N60" s="2760" t="str">
        <f ca="1">NUMBERSTRING(INT(N59*10000),2)&amp;"元整"</f>
        <v>柒拾陆万元整</v>
      </c>
      <c r="O60" s="2761"/>
    </row>
    <row r="61" spans="1:35" ht="13.8" thickBot="1">
      <c r="A61" s="3242" t="s">
        <v>2060</v>
      </c>
      <c r="B61" s="3242"/>
      <c r="C61" s="3242"/>
      <c r="D61" s="3242"/>
      <c r="E61" s="3242"/>
      <c r="F61" s="1996"/>
      <c r="G61" s="1996"/>
      <c r="H61" s="1998"/>
      <c r="I61" s="134"/>
      <c r="J61" s="2748">
        <f>J59+1</f>
        <v>7</v>
      </c>
      <c r="K61" s="3214" t="s">
        <v>2061</v>
      </c>
      <c r="L61" s="3214"/>
      <c r="M61" s="2765"/>
      <c r="N61" s="2766">
        <f ca="1">ROUND(N59*10000/'数据-汇总表'!E3,0)</f>
        <v>1132</v>
      </c>
      <c r="O61" s="2767"/>
    </row>
    <row r="62" spans="1:35" ht="13.2">
      <c r="A62" s="3238" t="s">
        <v>2062</v>
      </c>
      <c r="B62" s="3239"/>
      <c r="C62" s="2210"/>
      <c r="D62" s="2210" t="s">
        <v>2063</v>
      </c>
      <c r="E62" s="171" t="s">
        <v>2064</v>
      </c>
      <c r="F62" s="1996"/>
      <c r="G62" s="1996"/>
      <c r="H62" s="1998"/>
      <c r="I62" s="134"/>
    </row>
    <row r="63" spans="1:35" ht="13.2">
      <c r="A63" s="178" t="s">
        <v>775</v>
      </c>
      <c r="B63" s="172" t="s">
        <v>2065</v>
      </c>
      <c r="C63" s="2789">
        <f ca="1">ROUND((C64+C65)/(1+'数据-取费表'!C42),0)</f>
        <v>384</v>
      </c>
      <c r="D63" s="172"/>
      <c r="E63" s="173"/>
      <c r="F63" s="1996"/>
      <c r="G63" s="1996"/>
      <c r="H63" s="1998"/>
      <c r="I63" s="134"/>
      <c r="J63" s="3243" t="s">
        <v>2066</v>
      </c>
      <c r="K63" s="1503" t="s">
        <v>2067</v>
      </c>
      <c r="L63" s="1503">
        <f ca="1">IF(M49&gt;10000,M49*0.5%,IF(AND(M49&gt;1000,M49&lt;=10000),M49*1%,IF(AND(M49&gt;100,M49&lt;=1000),M49*3%,IF(AND(M49&gt;10,M49&lt;=100),M49*5%,M49*8%))))</f>
        <v>12.09</v>
      </c>
      <c r="M63" s="308">
        <f ca="1">ROUND(L63,1)</f>
        <v>12.1</v>
      </c>
      <c r="N63" s="2768"/>
      <c r="Z63" s="1940"/>
      <c r="AI63" s="1941"/>
    </row>
    <row r="64" spans="1:35" ht="14.25" customHeight="1">
      <c r="A64" s="174" t="s">
        <v>770</v>
      </c>
      <c r="B64" s="175" t="s">
        <v>2068</v>
      </c>
      <c r="C64" s="2790">
        <f ca="1">D45</f>
        <v>403</v>
      </c>
      <c r="D64" s="175" t="s">
        <v>32</v>
      </c>
      <c r="E64" s="177"/>
      <c r="F64" s="1996"/>
      <c r="G64" s="1996"/>
      <c r="H64" s="1998"/>
      <c r="I64" s="134"/>
      <c r="J64" s="3243"/>
      <c r="K64" s="1503" t="s">
        <v>2069</v>
      </c>
      <c r="L64" s="1503">
        <f ca="1">IF(M49&gt;2000,M49*0.5%,IF(AND(M49&gt;1000,M49&lt;=2000),M49*0.6%,IF(AND(M49&gt;500,M49&lt;=1000),M49*0.7%,IF(AND(M49&gt;200,M49&lt;=500),M49*0.8%,IF(AND(M49&gt;100,M49&lt;=200),M49*0.9%,IF(AND(M49&gt;50,M49&lt;=100),M49*1%,IF(AND(M49&gt;20,M49&lt;=50),M49*1.5%,IF(AND(M49&gt;10,M49&lt;=20),M49*2%,IF(AND(M49&gt;1,M49&lt;=10),M49*2.5%)))))))))</f>
        <v>3.2240000000000002</v>
      </c>
      <c r="M64" s="308">
        <f t="shared" ref="M64:M65" ca="1" si="1">ROUND(L64,1)</f>
        <v>3.2</v>
      </c>
      <c r="N64" s="2769" t="s">
        <v>2070</v>
      </c>
      <c r="Z64" s="1940"/>
      <c r="AI64" s="1941"/>
    </row>
    <row r="65" spans="1:35" ht="14.25" customHeight="1">
      <c r="A65" s="174" t="s">
        <v>771</v>
      </c>
      <c r="B65" s="175" t="s">
        <v>2071</v>
      </c>
      <c r="C65" s="2791"/>
      <c r="D65" s="175"/>
      <c r="E65" s="177"/>
      <c r="F65" s="1996"/>
      <c r="G65" s="1996"/>
      <c r="H65" s="1998"/>
      <c r="I65" s="134"/>
      <c r="J65" s="3243"/>
      <c r="K65" s="1503" t="s">
        <v>2072</v>
      </c>
      <c r="L65" s="1503">
        <f ca="1">IF(M49&gt;1000,M49*0.1%,IF(AND(M49&gt;500,M49&lt;=1000),M49*0.5%,IF(AND(M49&gt;50,M49&lt;=500),M49*1%,IF(AND(M49&gt;1,M49&lt;=50),M49*1.5%))))</f>
        <v>4.03</v>
      </c>
      <c r="M65" s="308">
        <f t="shared" ca="1" si="1"/>
        <v>4</v>
      </c>
      <c r="N65" s="2769" t="s">
        <v>2070</v>
      </c>
      <c r="Z65" s="1940"/>
      <c r="AI65" s="1941"/>
    </row>
    <row r="66" spans="1:35" ht="14.25" customHeight="1">
      <c r="A66" s="178" t="s">
        <v>772</v>
      </c>
      <c r="B66" s="179" t="s">
        <v>2073</v>
      </c>
      <c r="C66" s="2792"/>
      <c r="D66" s="179" t="s">
        <v>32</v>
      </c>
      <c r="E66" s="1511" t="s">
        <v>1337</v>
      </c>
      <c r="F66" s="1996"/>
      <c r="G66" s="1996"/>
      <c r="H66" s="1998"/>
      <c r="I66" s="134"/>
      <c r="J66" s="3243"/>
      <c r="K66" s="1503" t="s">
        <v>2074</v>
      </c>
      <c r="L66" s="1503">
        <f ca="1">M49*0.5%</f>
        <v>2.0150000000000001</v>
      </c>
      <c r="M66" s="308">
        <f ca="1">IF(L66&gt;0.5,0.5,ROUND(L66,0))</f>
        <v>0.5</v>
      </c>
      <c r="N66" s="2769" t="s">
        <v>2075</v>
      </c>
      <c r="Z66" s="1940"/>
      <c r="AI66" s="1941"/>
    </row>
    <row r="67" spans="1:35" ht="14.25" customHeight="1">
      <c r="A67" s="178" t="s">
        <v>773</v>
      </c>
      <c r="B67" s="179" t="s">
        <v>2076</v>
      </c>
      <c r="C67" s="2793">
        <f ca="1">C63-C66</f>
        <v>384</v>
      </c>
      <c r="D67" s="175" t="s">
        <v>32</v>
      </c>
      <c r="E67" s="177"/>
      <c r="F67" s="1996"/>
      <c r="G67" s="1996"/>
      <c r="H67" s="1998"/>
      <c r="I67" s="134"/>
      <c r="J67" s="3243"/>
      <c r="K67" s="1503" t="s">
        <v>2077</v>
      </c>
      <c r="L67" s="1503">
        <f ca="1">IF(M49&gt;=10000,(8.25+(M49-10000)*0.01%),IF(AND(M49&gt;=8000,M49&lt;10000),(7.85+(M49-8000)*0.02%),IF(AND(M49&gt;=5000,M49&lt;8000),(6.65+(M49-5000)*0.04%),IF(AND(M49&gt;=2000,M49&lt;5000),(4.25+(PM49-2000)*0.08%),IF(AND(M49&gt;=1000,M49&lt;2000),(2.75+(M49-1000)*0.15%),IF(AND(M49&gt;=100,M49&lt;1000),(0.5+(M49-100)*0.25%),IF(AND(M49&gt;0,M49&lt;100),M49*0.5%)))))))</f>
        <v>1.2575000000000001</v>
      </c>
      <c r="M67" s="308">
        <f ca="1">ROUND(L67*0.9,1)</f>
        <v>1.1000000000000001</v>
      </c>
      <c r="N67" s="2768"/>
      <c r="Z67" s="1940"/>
      <c r="AI67" s="1941"/>
    </row>
    <row r="68" spans="1:35" ht="14.25" customHeight="1" thickBot="1">
      <c r="A68" s="181" t="s">
        <v>774</v>
      </c>
      <c r="B68" s="182" t="s">
        <v>2078</v>
      </c>
      <c r="C68" s="2794">
        <f ca="1">IF(C67&lt;=0,0,ROUND(C67*D68,0))</f>
        <v>21</v>
      </c>
      <c r="D68" s="2795">
        <f>'数据-取费表'!B41</f>
        <v>5.5000000000000007E-2</v>
      </c>
      <c r="E68" s="184"/>
      <c r="F68" s="1996"/>
      <c r="G68" s="1996"/>
      <c r="H68" s="1998"/>
      <c r="I68" s="134"/>
      <c r="J68" s="3243"/>
      <c r="K68" s="1503" t="s">
        <v>2079</v>
      </c>
      <c r="L68" s="1503">
        <f ca="1">IF(M49&gt;10000,M49*0.5%,IF(AND(M49&gt;5000,M49&lt;=10000),M49*1%,IF(AND(M49&gt;1000,M49&lt;=5000),M49*2%,IF(AND(M49&gt;200,M49&lt;=1000),M49*3%,M49*5%))))</f>
        <v>12.09</v>
      </c>
      <c r="M68" s="308">
        <f ca="1">ROUND(L68,1)</f>
        <v>12.1</v>
      </c>
      <c r="N68" s="2768"/>
      <c r="Z68" s="1940"/>
      <c r="AI68" s="1941"/>
    </row>
    <row r="69" spans="1:35" s="1960" customFormat="1" ht="16.5" customHeight="1">
      <c r="A69" s="1999"/>
      <c r="B69" s="2000"/>
      <c r="C69" s="2001"/>
      <c r="D69" s="2002"/>
      <c r="E69" s="2003"/>
      <c r="F69" s="1765"/>
      <c r="G69" s="1765"/>
      <c r="H69" s="1764"/>
      <c r="I69" s="1935"/>
      <c r="J69" s="3243"/>
      <c r="K69" s="1503" t="s">
        <v>2080</v>
      </c>
      <c r="L69" s="1503"/>
      <c r="M69" s="308">
        <f ca="1">ROUND(SUM(M63:M68),0)</f>
        <v>33</v>
      </c>
      <c r="N69" s="2770">
        <f ca="1">M69/M49</f>
        <v>8.1885856079404462E-2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4.4" thickBot="1">
      <c r="A70" s="3236" t="s">
        <v>2081</v>
      </c>
      <c r="B70" s="3237"/>
      <c r="C70" s="3237"/>
      <c r="D70" s="3237"/>
      <c r="E70" s="3237"/>
      <c r="F70" s="3237"/>
      <c r="G70" s="3237"/>
      <c r="H70" s="3237"/>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3.8">
      <c r="A71" s="3238" t="s">
        <v>2062</v>
      </c>
      <c r="B71" s="3239"/>
      <c r="C71" s="2210"/>
      <c r="D71" s="2210" t="s">
        <v>2063</v>
      </c>
      <c r="E71" s="185" t="s">
        <v>2064</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3.8">
      <c r="A72" s="178" t="s">
        <v>775</v>
      </c>
      <c r="B72" s="179" t="s">
        <v>2082</v>
      </c>
      <c r="C72" s="2793">
        <f ca="1">ROUND(D45/(1+'数据-取费表'!C42),0)</f>
        <v>384</v>
      </c>
      <c r="D72" s="175" t="s">
        <v>32</v>
      </c>
      <c r="E72" s="2555"/>
      <c r="F72" s="2554"/>
      <c r="G72" s="2554"/>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3.8">
      <c r="A73" s="178" t="s">
        <v>772</v>
      </c>
      <c r="B73" s="168" t="s">
        <v>2083</v>
      </c>
      <c r="C73" s="2793">
        <f ca="1">C74+C78</f>
        <v>2</v>
      </c>
      <c r="D73" s="175" t="s">
        <v>32</v>
      </c>
      <c r="E73" s="2555"/>
      <c r="F73" s="2554"/>
      <c r="G73" s="255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5"/>
      <c r="F74" s="2554"/>
      <c r="G74" s="255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28.8">
      <c r="A75" s="174" t="s">
        <v>776</v>
      </c>
      <c r="B75" s="175" t="s">
        <v>2085</v>
      </c>
      <c r="C75" s="2796"/>
      <c r="D75" s="175" t="s">
        <v>32</v>
      </c>
      <c r="E75" s="190" t="s">
        <v>2086</v>
      </c>
      <c r="F75" s="2797"/>
      <c r="G75" s="190" t="s">
        <v>2087</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799">
        <v>0.05</v>
      </c>
      <c r="E76" s="3215" t="s">
        <v>2089</v>
      </c>
      <c r="F76" s="3213"/>
      <c r="G76" s="3213"/>
      <c r="H76" s="3232"/>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0">
        <f>'数据-取费表'!B48+'数据-取费表'!B49</f>
        <v>3.0499999999999999E-2</v>
      </c>
      <c r="E77" s="2548" t="s">
        <v>2091</v>
      </c>
      <c r="F77" s="192"/>
      <c r="G77" s="2010"/>
      <c r="H77" s="255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1">
        <f ca="1">ROUND(D45*D78/(1+'数据-取费表'!C42),0)</f>
        <v>2</v>
      </c>
      <c r="D78" s="2802">
        <f>'数据-取费表'!B43</f>
        <v>5.000000000000001E-3</v>
      </c>
      <c r="E78" s="3233" t="s">
        <v>2093</v>
      </c>
      <c r="F78" s="3234"/>
      <c r="G78" s="3234"/>
      <c r="H78" s="3235"/>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3.8">
      <c r="A79" s="178" t="s">
        <v>779</v>
      </c>
      <c r="B79" s="179" t="s">
        <v>2094</v>
      </c>
      <c r="C79" s="2793">
        <f ca="1">C72-C73</f>
        <v>382</v>
      </c>
      <c r="D79" s="175" t="s">
        <v>32</v>
      </c>
      <c r="E79" s="2555"/>
      <c r="F79" s="2554"/>
      <c r="G79" s="255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3">
        <f ca="1">IF(C79&lt;=0,0,C79/C73)</f>
        <v>191</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6" thickBot="1">
      <c r="A81" s="181" t="s">
        <v>781</v>
      </c>
      <c r="B81" s="182" t="s">
        <v>2096</v>
      </c>
      <c r="C81" s="2804">
        <f ca="1">ROUND(IF(C79&lt;=0,0,IF(C80&gt;=200%,C79*60%-C73*35%,IF(C80&gt;=100%,C79*50%-C73*15%,IF(C80&gt;=50%,C79*40%-C73*5%,IF(C80&lt;50%,C79*30%,0))))),0)</f>
        <v>229</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4.4" thickBot="1">
      <c r="A83" s="3236" t="s">
        <v>2097</v>
      </c>
      <c r="B83" s="3237"/>
      <c r="C83" s="3237"/>
      <c r="D83" s="3237"/>
      <c r="E83" s="3237"/>
      <c r="F83" s="3237"/>
      <c r="G83" s="3237"/>
      <c r="H83" s="3237"/>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3.8">
      <c r="A84" s="3238" t="s">
        <v>2062</v>
      </c>
      <c r="B84" s="3239"/>
      <c r="C84" s="2210"/>
      <c r="D84" s="2210"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3.8">
      <c r="A85" s="178" t="s">
        <v>775</v>
      </c>
      <c r="B85" s="179" t="s">
        <v>2082</v>
      </c>
      <c r="C85" s="2793">
        <f ca="1">ROUND(D45/(1+'数据-取费表'!C42),0)</f>
        <v>384</v>
      </c>
      <c r="D85" s="175" t="s">
        <v>32</v>
      </c>
      <c r="E85" s="2555"/>
      <c r="F85" s="2554"/>
      <c r="G85" s="255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3.8">
      <c r="A86" s="178" t="s">
        <v>772</v>
      </c>
      <c r="B86" s="168" t="s">
        <v>2083</v>
      </c>
      <c r="C86" s="2793">
        <f ca="1">IF(H88="仅含出让金",C87+C90+C91+C92+C93+C94,C87+C91+C92+C93+C94)</f>
        <v>2</v>
      </c>
      <c r="D86" s="2806"/>
      <c r="E86" s="2555"/>
      <c r="F86" s="2554"/>
      <c r="G86" s="255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3.8">
      <c r="A87" s="174" t="s">
        <v>770</v>
      </c>
      <c r="B87" s="175" t="s">
        <v>2098</v>
      </c>
      <c r="C87" s="2801">
        <f>C88+C89</f>
        <v>0</v>
      </c>
      <c r="D87" s="2802"/>
      <c r="E87" s="2550"/>
      <c r="F87" s="2551"/>
      <c r="G87" s="2551"/>
      <c r="H87" s="255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4">
      <c r="A88" s="174" t="s">
        <v>776</v>
      </c>
      <c r="B88" s="175" t="s">
        <v>2099</v>
      </c>
      <c r="C88" s="2807"/>
      <c r="D88" s="2802"/>
      <c r="E88" s="199" t="s">
        <v>2100</v>
      </c>
      <c r="F88" s="2551"/>
      <c r="G88" s="200" t="s">
        <v>2101</v>
      </c>
      <c r="H88" s="2012"/>
      <c r="I88" s="2009"/>
      <c r="J88" s="2746"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3.8">
      <c r="A89" s="174" t="s">
        <v>777</v>
      </c>
      <c r="B89" s="175" t="s">
        <v>2090</v>
      </c>
      <c r="C89" s="2801">
        <f>ROUND(C88*D89,0)</f>
        <v>0</v>
      </c>
      <c r="D89" s="2802">
        <f>'数据-取费表'!B48+'数据-取费表'!B49</f>
        <v>3.0499999999999999E-2</v>
      </c>
      <c r="E89" s="199" t="s">
        <v>2102</v>
      </c>
      <c r="F89" s="2551"/>
      <c r="G89" s="2551"/>
      <c r="H89" s="255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4">
      <c r="A90" s="174" t="s">
        <v>771</v>
      </c>
      <c r="B90" s="175" t="s">
        <v>2103</v>
      </c>
      <c r="C90" s="2807"/>
      <c r="D90" s="2802"/>
      <c r="E90" s="199" t="str">
        <f>IF(H88="-","土地取得成本中已包含该笔费用"," ")</f>
        <v xml:space="preserve"> </v>
      </c>
      <c r="F90" s="2551"/>
      <c r="G90" s="3240" t="s">
        <v>2870</v>
      </c>
      <c r="H90" s="3241"/>
      <c r="I90" s="2009"/>
      <c r="J90" s="2746"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1">
        <f>IF(H91="——",成本法!C33,I91)</f>
        <v>0</v>
      </c>
      <c r="D91" s="2802"/>
      <c r="E91" s="3233" t="s">
        <v>2106</v>
      </c>
      <c r="F91" s="3234"/>
      <c r="G91" s="3234"/>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1">
        <f>ROUND((C87+C90+C91)*D92,0)</f>
        <v>0</v>
      </c>
      <c r="D92" s="2808"/>
      <c r="E92" s="3233" t="s">
        <v>2109</v>
      </c>
      <c r="F92" s="3234"/>
      <c r="G92" s="3234"/>
      <c r="H92" s="3235"/>
      <c r="I92" s="2009"/>
      <c r="J92" s="2747"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1">
        <f ca="1">ROUND(D45*D93/(1+'数据-取费表'!C42),0)</f>
        <v>2</v>
      </c>
      <c r="D93" s="2802">
        <f>'数据-取费表'!B43</f>
        <v>5.000000000000001E-3</v>
      </c>
      <c r="E93" s="3233" t="s">
        <v>2093</v>
      </c>
      <c r="F93" s="3234"/>
      <c r="G93" s="3234"/>
      <c r="H93" s="3235"/>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7">
        <f>ROUND((C87+C90+C91)*D94,0)</f>
        <v>0</v>
      </c>
      <c r="D94" s="2802">
        <v>0.2</v>
      </c>
      <c r="E94" s="3244" t="s">
        <v>2113</v>
      </c>
      <c r="F94" s="3245"/>
      <c r="G94" s="3245"/>
      <c r="H94" s="3246"/>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3.8">
      <c r="A95" s="178" t="s">
        <v>779</v>
      </c>
      <c r="B95" s="179" t="s">
        <v>2094</v>
      </c>
      <c r="C95" s="2793">
        <f ca="1">ROUND(C85-C86,0)</f>
        <v>382</v>
      </c>
      <c r="D95" s="175" t="s">
        <v>32</v>
      </c>
      <c r="E95" s="2555"/>
      <c r="F95" s="2554"/>
      <c r="G95" s="255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3">
        <f ca="1">IF(C95&lt;=0,0,C95/C86)</f>
        <v>191</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6" thickBot="1">
      <c r="A97" s="181" t="s">
        <v>781</v>
      </c>
      <c r="B97" s="182" t="s">
        <v>2096</v>
      </c>
      <c r="C97" s="2804">
        <f ca="1">ROUND(IF(C95&lt;=0,0,IF(C96&gt;=200%,C95*60%-C86*35%,IF(C96&gt;=100%,C95*50%-C86*15%,IF(C96&gt;=50%,C95*40%-C86*5%,IF(C96&lt;50%,C95*30%,0))))),0)</f>
        <v>229</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77" t="s">
        <v>2115</v>
      </c>
      <c r="B100" s="3178"/>
      <c r="C100" s="3178"/>
      <c r="D100" s="3247"/>
      <c r="E100" s="3178" t="s">
        <v>2116</v>
      </c>
      <c r="F100" s="3178"/>
      <c r="G100" s="3178"/>
      <c r="H100" s="3247"/>
      <c r="I100" s="134"/>
    </row>
    <row r="101" spans="1:35" ht="18.75" customHeight="1">
      <c r="A101" s="3248" t="s">
        <v>2117</v>
      </c>
      <c r="B101" s="3249"/>
      <c r="C101" s="2810" t="str">
        <f>C4</f>
        <v>比较法-商业</v>
      </c>
      <c r="D101" s="2811" t="str">
        <f>D4</f>
        <v>收益法 (元)</v>
      </c>
      <c r="E101" s="3250" t="s">
        <v>2118</v>
      </c>
      <c r="F101" s="3251"/>
      <c r="G101" s="2015" t="s">
        <v>2119</v>
      </c>
      <c r="H101" s="2820">
        <f ca="1">H118</f>
        <v>403</v>
      </c>
      <c r="I101" s="134"/>
    </row>
    <row r="102" spans="1:35" ht="18.75" customHeight="1">
      <c r="A102" s="3252" t="s">
        <v>2120</v>
      </c>
      <c r="B102" s="2809" t="s">
        <v>2119</v>
      </c>
      <c r="C102" s="2810">
        <f ca="1">C19</f>
        <v>377</v>
      </c>
      <c r="D102" s="2811">
        <f ca="1">D19</f>
        <v>428</v>
      </c>
      <c r="E102" s="3250"/>
      <c r="F102" s="3251"/>
      <c r="G102" s="2015" t="s">
        <v>2121</v>
      </c>
      <c r="H102" s="2780">
        <f ca="1">I118</f>
        <v>34646</v>
      </c>
      <c r="I102" s="134"/>
    </row>
    <row r="103" spans="1:35" ht="42.75" customHeight="1">
      <c r="A103" s="3252"/>
      <c r="B103" s="2809" t="s">
        <v>2121</v>
      </c>
      <c r="C103" s="2812">
        <f ca="1">C20</f>
        <v>32473</v>
      </c>
      <c r="D103" s="2813">
        <f ca="1">D20</f>
        <v>36819</v>
      </c>
      <c r="E103" s="3253" t="s">
        <v>2122</v>
      </c>
      <c r="F103" s="3254"/>
      <c r="G103" s="2016" t="s">
        <v>2123</v>
      </c>
      <c r="H103" s="2820">
        <f>IF(D36="正常操作",H104+H105+H106,H105+H106)</f>
        <v>0</v>
      </c>
      <c r="I103" s="134"/>
    </row>
    <row r="104" spans="1:35" ht="18.75" customHeight="1">
      <c r="A104" s="3252" t="s">
        <v>2124</v>
      </c>
      <c r="B104" s="2814" t="s">
        <v>2119</v>
      </c>
      <c r="C104" s="2815">
        <f ca="1">H118</f>
        <v>403</v>
      </c>
      <c r="D104" s="2816"/>
      <c r="E104" s="1862" t="s">
        <v>2125</v>
      </c>
      <c r="F104" s="1853"/>
      <c r="G104" s="2016" t="s">
        <v>2123</v>
      </c>
      <c r="H104" s="2821">
        <f>IF(D36="同一抵押权人同一抵押物续贷",C36&amp;"（续贷，未扣减，详见特别提示）",C36)</f>
        <v>0</v>
      </c>
      <c r="I104" s="134"/>
    </row>
    <row r="105" spans="1:35" ht="18.75" customHeight="1" thickBot="1">
      <c r="A105" s="3260"/>
      <c r="B105" s="2817" t="s">
        <v>2121</v>
      </c>
      <c r="C105" s="2818">
        <f ca="1">I118</f>
        <v>34646</v>
      </c>
      <c r="D105" s="2819"/>
      <c r="E105" s="1862" t="s">
        <v>2126</v>
      </c>
      <c r="F105" s="1853"/>
      <c r="G105" s="2016" t="s">
        <v>2123</v>
      </c>
      <c r="H105" s="2822">
        <f>C37</f>
        <v>0</v>
      </c>
      <c r="I105" s="134"/>
    </row>
    <row r="106" spans="1:35" ht="18.75" customHeight="1">
      <c r="A106" s="1935" t="s">
        <v>2127</v>
      </c>
      <c r="B106" s="1935"/>
      <c r="C106" s="1935"/>
      <c r="D106" s="1935"/>
      <c r="E106" s="2017" t="s">
        <v>2128</v>
      </c>
      <c r="F106" s="1853"/>
      <c r="G106" s="2016" t="s">
        <v>2123</v>
      </c>
      <c r="H106" s="2822">
        <f>C38</f>
        <v>0</v>
      </c>
      <c r="I106" s="134"/>
    </row>
    <row r="107" spans="1:35" ht="18.75" customHeight="1">
      <c r="A107" s="134"/>
      <c r="B107" s="134"/>
      <c r="C107" s="134"/>
      <c r="D107" s="134"/>
      <c r="E107" s="3261" t="str">
        <f>IF(项目基本情况!E8="已注销","——","3.房地产抵押价值")</f>
        <v>3.房地产抵押价值</v>
      </c>
      <c r="F107" s="3251"/>
      <c r="G107" s="2015" t="s">
        <v>2119</v>
      </c>
      <c r="H107" s="2820">
        <f ca="1">IF(E107="——","——",H101-H103)</f>
        <v>403</v>
      </c>
      <c r="I107" s="134"/>
    </row>
    <row r="108" spans="1:35" ht="18.75" customHeight="1">
      <c r="A108" s="134"/>
      <c r="B108" s="134"/>
      <c r="C108" s="134"/>
      <c r="D108" s="134"/>
      <c r="E108" s="3261"/>
      <c r="F108" s="3251"/>
      <c r="G108" s="2015" t="s">
        <v>2121</v>
      </c>
      <c r="H108" s="2780">
        <f ca="1">ROUND(H107*10000/'数据-汇总表'!E3,0)</f>
        <v>6001</v>
      </c>
      <c r="I108" s="134"/>
    </row>
    <row r="109" spans="1:35" ht="18.75" customHeight="1">
      <c r="A109" s="134"/>
      <c r="B109" s="134"/>
      <c r="C109" s="134"/>
      <c r="D109" s="134"/>
      <c r="E109" s="3261" t="str">
        <f>IF(项目基本情况!E8="已注销及未注销","4.抵押担保权已注销时的房地产抵押价值",IF(项目基本情况!E8="已注销","3.抵押担保权已注销时的房地产抵押价值","——"))</f>
        <v>4.抵押担保权已注销时的房地产抵押价值</v>
      </c>
      <c r="F109" s="3251"/>
      <c r="G109" s="2015" t="s">
        <v>2119</v>
      </c>
      <c r="H109" s="2823">
        <f ca="1">IF(E109="——","——",H101-H105-H106)</f>
        <v>403</v>
      </c>
      <c r="I109" s="134"/>
    </row>
    <row r="110" spans="1:35" ht="18.75" customHeight="1">
      <c r="A110" s="134"/>
      <c r="B110" s="134"/>
      <c r="C110" s="134"/>
      <c r="D110" s="134"/>
      <c r="E110" s="3261"/>
      <c r="F110" s="3251"/>
      <c r="G110" s="2015" t="s">
        <v>2121</v>
      </c>
      <c r="H110" s="2780">
        <f ca="1">IF(H109="——","——",ROUND(H109*10000/'数据-汇总表'!E3,0))</f>
        <v>6001</v>
      </c>
      <c r="I110" s="134"/>
    </row>
    <row r="111" spans="1:35" ht="18.75" customHeight="1">
      <c r="A111" s="134"/>
      <c r="B111" s="134"/>
      <c r="C111" s="134"/>
      <c r="D111" s="134"/>
      <c r="E111" s="3262" t="str">
        <f>IF(项目基本情况!E9="抵押净值",IF(OR(项目基本情况!E8="已注销",项目基本情况!E8="房地产抵押价值"),"4.抵押净值","5.抵押净值"),"——")</f>
        <v>5.抵押净值</v>
      </c>
      <c r="F111" s="3263"/>
      <c r="G111" s="2015" t="s">
        <v>2119</v>
      </c>
      <c r="H111" s="2820">
        <f ca="1">IF(E111="——","——",N59)</f>
        <v>76</v>
      </c>
      <c r="I111" s="134"/>
    </row>
    <row r="112" spans="1:35" ht="18.75" customHeight="1" thickBot="1">
      <c r="A112" s="134"/>
      <c r="B112" s="134"/>
      <c r="C112" s="134"/>
      <c r="D112" s="134"/>
      <c r="E112" s="3264"/>
      <c r="F112" s="3265"/>
      <c r="G112" s="2018" t="s">
        <v>2121</v>
      </c>
      <c r="H112" s="2824">
        <f ca="1">IF(E111="——","——",N61)</f>
        <v>1132</v>
      </c>
      <c r="I112" s="134"/>
    </row>
    <row r="113" spans="1:27" ht="18.75" customHeight="1">
      <c r="A113" s="134"/>
      <c r="B113" s="134"/>
      <c r="C113" s="134"/>
      <c r="D113" s="134"/>
      <c r="E113" s="3266" t="s">
        <v>2127</v>
      </c>
      <c r="F113" s="3266"/>
      <c r="G113" s="3266"/>
      <c r="H113" s="3266"/>
      <c r="I113" s="134"/>
    </row>
    <row r="114" spans="1:27" ht="3.75" customHeight="1">
      <c r="A114" s="1935"/>
      <c r="B114" s="1935"/>
      <c r="C114" s="1935"/>
      <c r="D114" s="1935"/>
      <c r="E114" s="1997"/>
      <c r="F114" s="1997"/>
      <c r="G114" s="1997"/>
      <c r="H114" s="1997"/>
      <c r="I114" s="1935"/>
    </row>
    <row r="115" spans="1:27" ht="18.75" customHeight="1">
      <c r="A115" s="3267" t="s">
        <v>2129</v>
      </c>
      <c r="B115" s="3268"/>
      <c r="C115" s="3268"/>
      <c r="D115" s="3268"/>
      <c r="E115" s="3268"/>
      <c r="F115" s="3268"/>
      <c r="G115" s="3268"/>
      <c r="H115" s="3268"/>
      <c r="I115" s="3269"/>
    </row>
    <row r="116" spans="1:27" ht="27" customHeight="1">
      <c r="A116" s="3183" t="s">
        <v>2130</v>
      </c>
      <c r="B116" s="3255" t="s">
        <v>2131</v>
      </c>
      <c r="C116" s="3255" t="s">
        <v>2132</v>
      </c>
      <c r="D116" s="3257" t="s">
        <v>2133</v>
      </c>
      <c r="E116" s="3258"/>
      <c r="F116" s="3259" t="s">
        <v>2134</v>
      </c>
      <c r="G116" s="3259"/>
      <c r="H116" s="3183" t="s">
        <v>2135</v>
      </c>
      <c r="I116" s="3183"/>
    </row>
    <row r="117" spans="1:27" ht="18.75" customHeight="1">
      <c r="A117" s="3183"/>
      <c r="B117" s="3256"/>
      <c r="C117" s="3256"/>
      <c r="D117" s="2553" t="s">
        <v>2136</v>
      </c>
      <c r="E117" s="2553" t="s">
        <v>2137</v>
      </c>
      <c r="F117" s="2553" t="s">
        <v>2136</v>
      </c>
      <c r="G117" s="2553" t="s">
        <v>2138</v>
      </c>
      <c r="H117" s="2553" t="s">
        <v>2136</v>
      </c>
      <c r="I117" s="2553" t="s">
        <v>2138</v>
      </c>
    </row>
    <row r="118" spans="1:27" ht="24.75" customHeight="1">
      <c r="A118" s="2825" t="str">
        <f>项目基本情况!S2</f>
        <v>北京市房地产</v>
      </c>
      <c r="B118" s="2553">
        <f>M18</f>
        <v>116.2</v>
      </c>
      <c r="C118" s="2553">
        <f>M19</f>
        <v>0</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f ca="1">ROUND(IF(D32="总价",C32,I118*B118/10000),0)</f>
        <v>403</v>
      </c>
      <c r="I118" s="2553">
        <f ca="1">ROUND(IF(D32="楼面单价",C32,H118*10000/B118),0)</f>
        <v>34646</v>
      </c>
    </row>
    <row r="119" spans="1:27" ht="18.75" customHeight="1">
      <c r="A119" s="3183" t="s">
        <v>2139</v>
      </c>
      <c r="B119" s="3183"/>
      <c r="C119" s="3183"/>
      <c r="D119" s="3273" t="e">
        <f ca="1">NUMBERSTRING(INT(D118*10000),2)&amp;"元整"</f>
        <v>#REF!</v>
      </c>
      <c r="E119" s="3275"/>
      <c r="F119" s="3273" t="e">
        <f ca="1">NUMBERSTRING(INT(F118*10000),2)&amp;"元整"</f>
        <v>#REF!</v>
      </c>
      <c r="G119" s="3275"/>
      <c r="H119" s="3273" t="str">
        <f ca="1">NUMBERSTRING(INT(H118*10000),2)&amp;"元整"</f>
        <v>肆佰零叁万元整</v>
      </c>
      <c r="I119" s="3275"/>
    </row>
    <row r="120" spans="1:27" ht="18.75" customHeight="1">
      <c r="A120" s="3276" t="str">
        <f>IF(项目基本情况!B9="房地产市场价值","",MID(E103,3,LEN(E103)-2))</f>
        <v/>
      </c>
      <c r="B120" s="3277"/>
      <c r="C120" s="3278"/>
      <c r="D120" s="3276">
        <f>H103</f>
        <v>0</v>
      </c>
      <c r="E120" s="3277"/>
      <c r="F120" s="3277"/>
      <c r="G120" s="3277"/>
      <c r="H120" s="3277"/>
      <c r="I120" s="3278"/>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270" t="s">
        <v>2139</v>
      </c>
      <c r="B121" s="3271"/>
      <c r="C121" s="3272"/>
      <c r="D121" s="3273" t="str">
        <f>IF(D120=0,"零元整",NUMBERSTRING(INT(D120*10000),2)&amp;"元整")</f>
        <v>零元整</v>
      </c>
      <c r="E121" s="3274"/>
      <c r="F121" s="3274"/>
      <c r="G121" s="3274"/>
      <c r="H121" s="3274"/>
      <c r="I121" s="3275"/>
      <c r="AA121" s="734"/>
    </row>
    <row r="122" spans="1:27" ht="18.75" customHeight="1">
      <c r="A122" s="3263" t="str">
        <f>IF(项目基本情况!B9="房地产市场价值","",MID(E107,3,LEN(E107)-2))</f>
        <v/>
      </c>
      <c r="B122" s="3263"/>
      <c r="C122" s="3263"/>
      <c r="D122" s="3276">
        <f ca="1">H107</f>
        <v>403</v>
      </c>
      <c r="E122" s="3277"/>
      <c r="F122" s="3277"/>
      <c r="G122" s="3277"/>
      <c r="H122" s="3277"/>
      <c r="I122" s="3278"/>
      <c r="AA122" s="734"/>
    </row>
    <row r="123" spans="1:27" ht="18.75" customHeight="1">
      <c r="A123" s="3183" t="s">
        <v>2139</v>
      </c>
      <c r="B123" s="3183"/>
      <c r="C123" s="3183"/>
      <c r="D123" s="3273" t="str">
        <f ca="1">NUMBERSTRING(INT(D122*10000),2)&amp;"元整"</f>
        <v>肆佰零叁万元整</v>
      </c>
      <c r="E123" s="3274"/>
      <c r="F123" s="3274"/>
      <c r="G123" s="3274"/>
      <c r="H123" s="3274"/>
      <c r="I123" s="3275"/>
      <c r="AA123" s="734"/>
    </row>
    <row r="124" spans="1:27" ht="18.75" customHeight="1">
      <c r="A124" s="3263" t="str">
        <f>IF(项目基本情况!B9="房地产市场价值","",MID(E109,3,LEN(E109)-2))</f>
        <v/>
      </c>
      <c r="B124" s="3263"/>
      <c r="C124" s="3263"/>
      <c r="D124" s="3276">
        <f ca="1">H109</f>
        <v>403</v>
      </c>
      <c r="E124" s="3277"/>
      <c r="F124" s="3277"/>
      <c r="G124" s="3277"/>
      <c r="H124" s="3277"/>
      <c r="I124" s="3278"/>
      <c r="AA124" s="734"/>
    </row>
    <row r="125" spans="1:27" ht="18.75" customHeight="1">
      <c r="A125" s="3183" t="s">
        <v>2139</v>
      </c>
      <c r="B125" s="3183"/>
      <c r="C125" s="3183"/>
      <c r="D125" s="3273" t="str">
        <f ca="1">NUMBERSTRING(INT(D124*10000),2)&amp;"元整"</f>
        <v>肆佰零叁万元整</v>
      </c>
      <c r="E125" s="3274"/>
      <c r="F125" s="3274"/>
      <c r="G125" s="3274"/>
      <c r="H125" s="3274"/>
      <c r="I125" s="3275"/>
      <c r="AA125" s="734"/>
    </row>
    <row r="126" spans="1:27" ht="18.75" customHeight="1">
      <c r="A126" s="3263" t="str">
        <f>IF(项目基本情况!B9="房地产市场价值","",MID(E111,3,LEN(E111)-2))</f>
        <v/>
      </c>
      <c r="B126" s="3263"/>
      <c r="C126" s="3263"/>
      <c r="D126" s="3276">
        <f ca="1">H111</f>
        <v>76</v>
      </c>
      <c r="E126" s="3277"/>
      <c r="F126" s="3277"/>
      <c r="G126" s="3277"/>
      <c r="H126" s="3277"/>
      <c r="I126" s="3278"/>
      <c r="AA126" s="734"/>
    </row>
    <row r="127" spans="1:27" ht="18.75" customHeight="1">
      <c r="A127" s="3183" t="s">
        <v>2139</v>
      </c>
      <c r="B127" s="3183"/>
      <c r="C127" s="3183"/>
      <c r="D127" s="3273" t="str">
        <f ca="1">NUMBERSTRING(INT(D126*10000),2)&amp;"元整"</f>
        <v>柒拾陆万元整</v>
      </c>
      <c r="E127" s="3274"/>
      <c r="F127" s="3274"/>
      <c r="G127" s="3274"/>
      <c r="H127" s="3274"/>
      <c r="I127" s="3275"/>
      <c r="AA127" s="734"/>
    </row>
    <row r="128" spans="1:27" ht="21.75" customHeight="1">
      <c r="A128" s="3279" t="s">
        <v>2140</v>
      </c>
      <c r="B128" s="3279"/>
      <c r="C128" s="3279"/>
      <c r="D128" s="3279"/>
      <c r="E128" s="3279"/>
      <c r="F128" s="3279"/>
      <c r="G128" s="3279"/>
      <c r="H128" s="3279"/>
      <c r="I128" s="3279"/>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2148</v>
      </c>
      <c r="B1" s="1656"/>
      <c r="C1" s="204"/>
      <c r="D1" s="204"/>
      <c r="E1" s="204"/>
      <c r="F1" s="204"/>
      <c r="G1" s="1288">
        <f>MATCH(B1,'数据-取费表'!A6:A16,0)+5</f>
        <v>8</v>
      </c>
    </row>
    <row r="2" spans="1:9" s="206" customFormat="1" ht="18" customHeight="1">
      <c r="A2" s="207" t="s">
        <v>2149</v>
      </c>
      <c r="B2" s="208">
        <f ca="1">IF(D2="——",C52,C52-E2)</f>
        <v>251</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3738</v>
      </c>
      <c r="C3" s="205" t="s">
        <v>2152</v>
      </c>
      <c r="D3" s="205"/>
      <c r="E3" s="205"/>
      <c r="F3" s="205"/>
      <c r="G3" s="205"/>
    </row>
    <row r="4" spans="1:9" s="214" customFormat="1" ht="16.2">
      <c r="A4" s="211" t="s">
        <v>2153</v>
      </c>
      <c r="B4" s="212"/>
      <c r="C4" s="212"/>
      <c r="D4" s="212"/>
      <c r="E4" s="212"/>
      <c r="F4" s="212"/>
      <c r="G4" s="213"/>
    </row>
    <row r="5" spans="1:9" s="220" customFormat="1" ht="13.5" customHeight="1">
      <c r="A5" s="261" t="s">
        <v>2154</v>
      </c>
      <c r="B5" s="216" t="s">
        <v>2155</v>
      </c>
      <c r="C5" s="217">
        <f>C6+C7+C8</f>
        <v>2.3199999999999998</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2.3199999999999998</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c r="H9" s="1299"/>
      <c r="I9" s="2046" t="s">
        <v>2166</v>
      </c>
    </row>
    <row r="10" spans="1:9" s="220" customFormat="1" ht="13.5" customHeight="1">
      <c r="A10" s="887" t="s">
        <v>801</v>
      </c>
      <c r="B10" s="230" t="s">
        <v>2167</v>
      </c>
      <c r="C10" s="231">
        <f ca="1">ROUND(D10*E10/10000,0)</f>
        <v>13</v>
      </c>
      <c r="D10" s="954">
        <f ca="1">IF(B1="",'数据-汇总表'!E6,IF(INDIRECT("'数据-取费表'!c"&amp;$G$1)="住宅",INDIRECT("'数据-取费表'!s"&amp;$G$1),INDIRECT("'数据-取费表'!k"&amp;$G$1)+INDIRECT("'数据-取费表'!s"&amp;$G$1)))</f>
        <v>671.51000000000022</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13</v>
      </c>
      <c r="D19" s="958">
        <f ca="1">D9+D10</f>
        <v>671.51000000000022</v>
      </c>
      <c r="E19" s="217">
        <f>'数据-取费表'!B31</f>
        <v>200</v>
      </c>
      <c r="F19" s="237"/>
      <c r="G19" s="2044"/>
    </row>
    <row r="20" spans="1:7" s="220" customFormat="1" ht="13.5" customHeight="1">
      <c r="A20" s="261" t="s">
        <v>2180</v>
      </c>
      <c r="B20" s="216" t="s">
        <v>2181</v>
      </c>
      <c r="C20" s="238">
        <f ca="1">ROUND((C5+C19)*F20,0)</f>
        <v>0</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1</v>
      </c>
      <c r="D22" s="241">
        <f ca="1">C26</f>
        <v>1E-3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1</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1E-3</v>
      </c>
      <c r="D26" s="244"/>
      <c r="E26" s="247"/>
      <c r="F26" s="245"/>
      <c r="G26" s="249"/>
    </row>
    <row r="27" spans="1:7" s="220" customFormat="1" ht="26.4">
      <c r="A27" s="261" t="s">
        <v>2199</v>
      </c>
      <c r="B27" s="250" t="s">
        <v>2200</v>
      </c>
      <c r="C27" s="251">
        <f ca="1">C28</f>
        <v>4</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ROUND((C5+C19+C20)*F27*'数据-取费表'!B21/'数据-取费表'!B20,0)</f>
        <v>4</v>
      </c>
      <c r="D28" s="241"/>
      <c r="E28" s="242"/>
      <c r="F28" s="252"/>
      <c r="G28" s="253"/>
    </row>
    <row r="29" spans="1:7" s="220" customFormat="1" ht="13.5" customHeight="1">
      <c r="A29" s="888" t="s">
        <v>792</v>
      </c>
      <c r="B29" s="254" t="s">
        <v>2204</v>
      </c>
      <c r="C29" s="244">
        <f ca="1">ROUND(C21*F27*'数据-取费表'!B21/'数据-取费表'!B20,4)</f>
        <v>5.0000000000000001E-3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22</v>
      </c>
      <c r="D31" s="236"/>
      <c r="E31" s="217"/>
      <c r="F31" s="256"/>
      <c r="G31" s="240" t="s">
        <v>2209</v>
      </c>
    </row>
    <row r="32" spans="1:7" s="214" customFormat="1" ht="16.2">
      <c r="A32" s="258" t="s">
        <v>2210</v>
      </c>
      <c r="B32" s="259"/>
      <c r="C32" s="259"/>
      <c r="D32" s="259"/>
      <c r="E32" s="259"/>
      <c r="F32" s="259"/>
      <c r="G32" s="260"/>
    </row>
    <row r="33" spans="1:7" s="220" customFormat="1" ht="13.5" customHeight="1">
      <c r="A33" s="261" t="s">
        <v>782</v>
      </c>
      <c r="B33" s="216" t="s">
        <v>2211</v>
      </c>
      <c r="C33" s="262">
        <f ca="1">SUM(C34:C38)</f>
        <v>210</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188</v>
      </c>
      <c r="D34" s="223"/>
      <c r="E34" s="226"/>
      <c r="F34" s="263">
        <f ca="1">IF('数据-取费表'!B24=0,1,IF(B1="",'数据-取费表'!N16,INDIRECT("'数据-取费表'!n"&amp;$G$1)))</f>
        <v>1</v>
      </c>
      <c r="G34" s="225" t="s">
        <v>2213</v>
      </c>
    </row>
    <row r="35" spans="1:7" ht="13.5" customHeight="1">
      <c r="A35" s="888" t="s">
        <v>796</v>
      </c>
      <c r="B35" s="221" t="s">
        <v>2214</v>
      </c>
      <c r="C35" s="226">
        <f ca="1">ROUND(C34*F35,0)</f>
        <v>6</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13</v>
      </c>
      <c r="D37" s="223">
        <f ca="1">D19</f>
        <v>671.51000000000022</v>
      </c>
      <c r="E37" s="255">
        <f>'数据-取费表'!B35</f>
        <v>200</v>
      </c>
      <c r="F37" s="265"/>
      <c r="G37" s="267" t="s">
        <v>2219</v>
      </c>
    </row>
    <row r="38" spans="1:7" ht="13.5" customHeight="1">
      <c r="A38" s="888" t="s">
        <v>799</v>
      </c>
      <c r="B38" s="221" t="s">
        <v>2220</v>
      </c>
      <c r="C38" s="226">
        <f ca="1">ROUND(C34*F38,0)</f>
        <v>3</v>
      </c>
      <c r="D38" s="226"/>
      <c r="E38" s="226"/>
      <c r="F38" s="265">
        <f>'数据-取费表'!B36</f>
        <v>1.4999999999999999E-2</v>
      </c>
      <c r="G38" s="225" t="s">
        <v>2215</v>
      </c>
    </row>
    <row r="39" spans="1:7" s="220" customFormat="1" ht="13.5" customHeight="1">
      <c r="A39" s="261" t="s">
        <v>2221</v>
      </c>
      <c r="B39" s="216" t="s">
        <v>2222</v>
      </c>
      <c r="C39" s="238">
        <f ca="1">ROUND(C33*F20,0)</f>
        <v>4</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7</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7</v>
      </c>
      <c r="D42" s="244"/>
      <c r="E42" s="244"/>
      <c r="F42" s="245"/>
      <c r="G42" s="3280" t="s">
        <v>2231</v>
      </c>
    </row>
    <row r="43" spans="1:7" ht="13.5" customHeight="1">
      <c r="A43" s="888" t="s">
        <v>792</v>
      </c>
      <c r="B43" s="221" t="s">
        <v>2232</v>
      </c>
      <c r="C43" s="244">
        <f ca="1">ROUND(IF('数据-取费表'!B22&lt;=1,C39*F22*'数据-取费表'!B21/2,C39*(POWER((1+F22),'数据-取费表'!B21/2)-1)),0)</f>
        <v>0</v>
      </c>
      <c r="D43" s="244"/>
      <c r="E43" s="244"/>
      <c r="F43" s="245"/>
      <c r="G43" s="3281"/>
    </row>
    <row r="44" spans="1:7" ht="13.5" customHeight="1">
      <c r="A44" s="888" t="s">
        <v>793</v>
      </c>
      <c r="B44" s="221" t="s">
        <v>2233</v>
      </c>
      <c r="C44" s="244">
        <f ca="1">ROUND(IF('数据-取费表'!B22&lt;=1,C40*F22*'数据-取费表'!B21/2,C40*(POWER((1+F22),'数据-取费表'!B21/2)-1)),4)</f>
        <v>6.9999999999999999E-4</v>
      </c>
      <c r="D44" s="244"/>
      <c r="E44" s="244"/>
      <c r="F44" s="245"/>
      <c r="G44" s="3282"/>
    </row>
    <row r="45" spans="1:7" s="220" customFormat="1" ht="13.5" customHeight="1">
      <c r="A45" s="261" t="s">
        <v>2234</v>
      </c>
      <c r="B45" s="250" t="s">
        <v>2200</v>
      </c>
      <c r="C45" s="251">
        <f ca="1">C46</f>
        <v>54</v>
      </c>
      <c r="D45" s="241">
        <f ca="1">C47</f>
        <v>5.0000000000000001E-3</v>
      </c>
      <c r="E45" s="242" t="s">
        <v>2226</v>
      </c>
      <c r="F45" s="2538">
        <f ca="1">F27</f>
        <v>0.25</v>
      </c>
      <c r="G45" s="253" t="s">
        <v>2235</v>
      </c>
    </row>
    <row r="46" spans="1:7" s="220" customFormat="1" ht="13.5" customHeight="1">
      <c r="A46" s="888" t="s">
        <v>791</v>
      </c>
      <c r="B46" s="254" t="s">
        <v>2236</v>
      </c>
      <c r="C46" s="255">
        <f ca="1">ROUND((C33+C39)*F27,0)</f>
        <v>54</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1497">
        <f>ROUND(F30/(1+'数据-取费表'!C42),4)</f>
        <v>5.2400000000000002E-2</v>
      </c>
      <c r="D48" s="242" t="s">
        <v>2226</v>
      </c>
      <c r="E48" s="238"/>
      <c r="F48" s="2537">
        <f>F30</f>
        <v>5.5000000000000007E-2</v>
      </c>
      <c r="G48" s="240" t="s">
        <v>2239</v>
      </c>
    </row>
    <row r="49" spans="1:7" ht="16.5" customHeight="1">
      <c r="A49" s="261" t="s">
        <v>2205</v>
      </c>
      <c r="B49" s="216" t="s">
        <v>2240</v>
      </c>
      <c r="C49" s="238">
        <f ca="1">ROUND((C33+C39+C41+C45)/(1-C40-D41-D45-C48),0)</f>
        <v>298</v>
      </c>
      <c r="D49" s="238"/>
      <c r="E49" s="238"/>
      <c r="F49" s="270"/>
      <c r="G49" s="240" t="s">
        <v>2241</v>
      </c>
    </row>
    <row r="50" spans="1:7" s="264" customFormat="1" ht="24">
      <c r="A50" s="261" t="s">
        <v>2242</v>
      </c>
      <c r="B50" s="216" t="s">
        <v>2243</v>
      </c>
      <c r="C50" s="238"/>
      <c r="D50" s="238"/>
      <c r="E50" s="238"/>
      <c r="F50" s="270">
        <f>IF('数据-取费表'!B24=0,'数据-取费表'!N16,1)</f>
        <v>0.77</v>
      </c>
      <c r="G50" s="253" t="s">
        <v>2244</v>
      </c>
    </row>
    <row r="51" spans="1:7" ht="16.5" customHeight="1">
      <c r="A51" s="261" t="s">
        <v>2245</v>
      </c>
      <c r="B51" s="216" t="s">
        <v>2246</v>
      </c>
      <c r="C51" s="238">
        <f ca="1">ROUND(C49*F50,0)</f>
        <v>229</v>
      </c>
      <c r="D51" s="238"/>
      <c r="E51" s="238"/>
      <c r="F51" s="270"/>
      <c r="G51" s="240" t="s">
        <v>2247</v>
      </c>
    </row>
    <row r="52" spans="1:7" s="214" customFormat="1" ht="16.8" thickBot="1">
      <c r="A52" s="271" t="s">
        <v>2248</v>
      </c>
      <c r="B52" s="272"/>
      <c r="C52" s="273">
        <f ca="1">C31+C51</f>
        <v>251</v>
      </c>
      <c r="D52" s="272"/>
      <c r="E52" s="272"/>
      <c r="F52" s="272"/>
      <c r="G52" s="274"/>
    </row>
    <row r="55" spans="1:7" ht="15">
      <c r="B55" s="276" t="s">
        <v>2249</v>
      </c>
      <c r="C55" s="277"/>
    </row>
    <row r="56" spans="1:7">
      <c r="B56" s="279" t="s">
        <v>1478</v>
      </c>
      <c r="C56" s="281">
        <f ca="1">1-C57</f>
        <v>8.7999999999999967E-2</v>
      </c>
    </row>
    <row r="57" spans="1:7">
      <c r="B57" s="279" t="s">
        <v>1479</v>
      </c>
      <c r="C57" s="280">
        <f ca="1">ROUND(C51/C52,3)</f>
        <v>0.91200000000000003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2148</v>
      </c>
      <c r="B1" s="1656"/>
      <c r="C1" s="2047"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270</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4021</v>
      </c>
      <c r="C3" s="205" t="s">
        <v>2152</v>
      </c>
      <c r="D3" s="205"/>
      <c r="E3" s="205"/>
      <c r="F3" s="205"/>
      <c r="G3" s="205"/>
    </row>
    <row r="4" spans="1:8" s="214" customFormat="1" ht="16.2">
      <c r="A4" s="211" t="s">
        <v>2153</v>
      </c>
      <c r="B4" s="212"/>
      <c r="C4" s="212"/>
      <c r="D4" s="212"/>
      <c r="E4" s="212"/>
      <c r="F4" s="212"/>
      <c r="G4" s="213"/>
    </row>
    <row r="5" spans="1:8" s="220" customFormat="1" ht="13.5" customHeight="1">
      <c r="A5" s="261" t="s">
        <v>2154</v>
      </c>
      <c r="B5" s="216" t="s">
        <v>2155</v>
      </c>
      <c r="C5" s="217">
        <f ca="1">C6+C7+C8</f>
        <v>134302</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134302</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134302</v>
      </c>
      <c r="D10" s="954">
        <f ca="1">IF(B1="",'数据-汇总表'!E6,IF(INDIRECT("'数据-取费表'!c"&amp;$G$1)="住宅",INDIRECT("'数据-取费表'!s"&amp;$G$1),INDIRECT("'数据-取费表'!k"&amp;$G$1)+INDIRECT("'数据-取费表'!s"&amp;$G$1)))</f>
        <v>671.51000000000022</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134302</v>
      </c>
      <c r="D19" s="958">
        <f ca="1">D9+D10</f>
        <v>671.51000000000022</v>
      </c>
      <c r="E19" s="217">
        <f>'数据-取费表'!B31</f>
        <v>200</v>
      </c>
      <c r="F19" s="237"/>
      <c r="G19" s="2044"/>
    </row>
    <row r="20" spans="1:7" s="220" customFormat="1" ht="13.5" customHeight="1">
      <c r="A20" s="261" t="s">
        <v>2261</v>
      </c>
      <c r="B20" s="216" t="s">
        <v>2262</v>
      </c>
      <c r="C20" s="238">
        <f ca="1">ROUND((C5+C19)*F20,0)</f>
        <v>5372</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24679</v>
      </c>
      <c r="D22" s="241">
        <f ca="1">C26</f>
        <v>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13062</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11362</v>
      </c>
      <c r="D24" s="244"/>
      <c r="E24" s="244"/>
      <c r="F24" s="245"/>
      <c r="G24" s="246" t="s">
        <v>2273</v>
      </c>
    </row>
    <row r="25" spans="1:7" s="220" customFormat="1" ht="24">
      <c r="A25" s="888" t="s">
        <v>2163</v>
      </c>
      <c r="B25" s="221" t="s">
        <v>2274</v>
      </c>
      <c r="C25" s="1290">
        <f ca="1">ROUND(IF('数据-取费表'!B22&lt;=1,C20*F22*'数据-取费表'!B22/2,C20*(POWER((1+F22),'数据-取费表'!B22/2)-1)),0)</f>
        <v>255</v>
      </c>
      <c r="D25" s="244"/>
      <c r="E25" s="247"/>
      <c r="F25" s="245"/>
      <c r="G25" s="248" t="s">
        <v>2275</v>
      </c>
    </row>
    <row r="26" spans="1:7" s="220" customFormat="1">
      <c r="A26" s="888" t="s">
        <v>795</v>
      </c>
      <c r="B26" s="221" t="s">
        <v>2198</v>
      </c>
      <c r="C26" s="244">
        <f ca="1">ROUND(IF('数据-取费表'!B22&lt;=1,F21*F22*'数据-取费表'!B22/2,F21*(POWER((1+F22),'数据-取费表'!B22/2)-1)),4)</f>
        <v>1E-3</v>
      </c>
      <c r="D26" s="244"/>
      <c r="E26" s="247"/>
      <c r="F26" s="245"/>
      <c r="G26" s="249"/>
    </row>
    <row r="27" spans="1:7" s="220" customFormat="1" ht="26.4">
      <c r="A27" s="261" t="s">
        <v>2199</v>
      </c>
      <c r="B27" s="250" t="s">
        <v>2200</v>
      </c>
      <c r="C27" s="251">
        <f ca="1">C28</f>
        <v>68494</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ROUND((C5+C19+C20)*F27,0)</f>
        <v>68494</v>
      </c>
      <c r="D28" s="241"/>
      <c r="E28" s="242"/>
      <c r="F28" s="252"/>
      <c r="G28" s="253"/>
    </row>
    <row r="29" spans="1:7" s="220" customFormat="1" ht="13.5" customHeight="1">
      <c r="A29" s="888" t="s">
        <v>792</v>
      </c>
      <c r="B29" s="254" t="s">
        <v>2204</v>
      </c>
      <c r="C29" s="244">
        <f ca="1">ROUND(C21*F27,4)</f>
        <v>5.0000000000000001E-3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398382</v>
      </c>
      <c r="D31" s="236"/>
      <c r="E31" s="217"/>
      <c r="F31" s="256"/>
      <c r="G31" s="240" t="s">
        <v>2209</v>
      </c>
    </row>
    <row r="32" spans="1:7" s="214" customFormat="1" ht="16.2">
      <c r="A32" s="258" t="s">
        <v>2276</v>
      </c>
      <c r="B32" s="259"/>
      <c r="C32" s="259"/>
      <c r="D32" s="259"/>
      <c r="E32" s="259"/>
      <c r="F32" s="259"/>
      <c r="G32" s="260"/>
    </row>
    <row r="33" spans="1:7" s="220" customFormat="1" ht="13.5" customHeight="1">
      <c r="A33" s="261" t="s">
        <v>782</v>
      </c>
      <c r="B33" s="216" t="s">
        <v>2277</v>
      </c>
      <c r="C33" s="262">
        <f ca="1">SUM(C34:C38)</f>
        <v>2099140</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1880228</v>
      </c>
      <c r="D34" s="223"/>
      <c r="E34" s="226"/>
      <c r="F34" s="263"/>
      <c r="G34" s="225"/>
    </row>
    <row r="35" spans="1:7" ht="13.5" customHeight="1">
      <c r="A35" s="888" t="s">
        <v>796</v>
      </c>
      <c r="B35" s="221" t="s">
        <v>2214</v>
      </c>
      <c r="C35" s="226">
        <f ca="1">ROUND(C34*F35,0)</f>
        <v>56407</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134302</v>
      </c>
      <c r="D37" s="223">
        <f ca="1">D19</f>
        <v>671.51000000000022</v>
      </c>
      <c r="E37" s="255">
        <f>'数据-取费表'!B35</f>
        <v>200</v>
      </c>
      <c r="F37" s="265"/>
      <c r="G37" s="267"/>
    </row>
    <row r="38" spans="1:7" ht="13.5" customHeight="1">
      <c r="A38" s="888" t="s">
        <v>799</v>
      </c>
      <c r="B38" s="221" t="s">
        <v>2220</v>
      </c>
      <c r="C38" s="226">
        <f ca="1">ROUND(C34*F38,0)</f>
        <v>28203</v>
      </c>
      <c r="D38" s="226"/>
      <c r="E38" s="226"/>
      <c r="F38" s="265">
        <f>'数据-取费表'!B36</f>
        <v>1.4999999999999999E-2</v>
      </c>
      <c r="G38" s="225" t="s">
        <v>2215</v>
      </c>
    </row>
    <row r="39" spans="1:7" s="220" customFormat="1" ht="13.5" customHeight="1">
      <c r="A39" s="261" t="s">
        <v>2221</v>
      </c>
      <c r="B39" s="216" t="s">
        <v>2222</v>
      </c>
      <c r="C39" s="238">
        <f ca="1">ROUND(C33*F20,0)</f>
        <v>41983</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75833</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74346</v>
      </c>
      <c r="D42" s="244"/>
      <c r="E42" s="244"/>
      <c r="F42" s="245"/>
      <c r="G42" s="3280" t="s">
        <v>2278</v>
      </c>
    </row>
    <row r="43" spans="1:7" ht="13.5" customHeight="1">
      <c r="A43" s="888" t="s">
        <v>792</v>
      </c>
      <c r="B43" s="221" t="s">
        <v>2232</v>
      </c>
      <c r="C43" s="244">
        <f ca="1">ROUND(IF('数据-取费表'!B22&lt;=1,C39*F22*'数据-取费表'!B20/2,C39*(POWER((1+F22),'数据-取费表'!B20/2)-1)),0)</f>
        <v>1487</v>
      </c>
      <c r="D43" s="244"/>
      <c r="E43" s="244"/>
      <c r="F43" s="245"/>
      <c r="G43" s="3281"/>
    </row>
    <row r="44" spans="1:7" ht="13.5" customHeight="1">
      <c r="A44" s="888" t="s">
        <v>793</v>
      </c>
      <c r="B44" s="221" t="s">
        <v>2233</v>
      </c>
      <c r="C44" s="244">
        <f ca="1">ROUND(IF('数据-取费表'!B22&lt;=1,C40*F22*'数据-取费表'!B20/2,C40*(POWER((1+F22),'数据-取费表'!B20/2)-1)),4)</f>
        <v>6.9999999999999999E-4</v>
      </c>
      <c r="D44" s="244"/>
      <c r="E44" s="244"/>
      <c r="F44" s="245"/>
      <c r="G44" s="3282"/>
    </row>
    <row r="45" spans="1:7" s="220" customFormat="1" ht="13.5" customHeight="1">
      <c r="A45" s="261" t="s">
        <v>2234</v>
      </c>
      <c r="B45" s="250" t="s">
        <v>2200</v>
      </c>
      <c r="C45" s="251">
        <f ca="1">C46</f>
        <v>535281</v>
      </c>
      <c r="D45" s="241">
        <f ca="1">C47</f>
        <v>5.0000000000000001E-3</v>
      </c>
      <c r="E45" s="242" t="s">
        <v>2226</v>
      </c>
      <c r="F45" s="2538">
        <f ca="1">F27</f>
        <v>0.25</v>
      </c>
      <c r="G45" s="253" t="s">
        <v>2235</v>
      </c>
    </row>
    <row r="46" spans="1:7" s="220" customFormat="1" ht="13.5" customHeight="1">
      <c r="A46" s="888" t="s">
        <v>791</v>
      </c>
      <c r="B46" s="254" t="s">
        <v>2236</v>
      </c>
      <c r="C46" s="255">
        <f ca="1">ROUND((C33+C39)*F27,0)</f>
        <v>535281</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268">
        <f>ROUND(F30/(1+'数据-取费表'!C42),4)</f>
        <v>5.2400000000000002E-2</v>
      </c>
      <c r="D48" s="242" t="s">
        <v>2226</v>
      </c>
      <c r="E48" s="238"/>
      <c r="F48" s="2537">
        <f>F30</f>
        <v>5.5000000000000007E-2</v>
      </c>
      <c r="G48" s="240" t="s">
        <v>2239</v>
      </c>
    </row>
    <row r="49" spans="1:7" ht="16.5" customHeight="1">
      <c r="A49" s="261" t="s">
        <v>2205</v>
      </c>
      <c r="B49" s="216" t="s">
        <v>2279</v>
      </c>
      <c r="C49" s="238">
        <f ca="1">ROUND((C33+C39+C41+C45)/(1-C40-D41-D45-C48),0)</f>
        <v>2985396</v>
      </c>
      <c r="D49" s="238"/>
      <c r="E49" s="238"/>
      <c r="F49" s="270"/>
      <c r="G49" s="240" t="s">
        <v>2241</v>
      </c>
    </row>
    <row r="50" spans="1:7" s="264" customFormat="1">
      <c r="A50" s="261" t="s">
        <v>2242</v>
      </c>
      <c r="B50" s="216" t="s">
        <v>2243</v>
      </c>
      <c r="C50" s="238"/>
      <c r="D50" s="238"/>
      <c r="E50" s="238"/>
      <c r="F50" s="270">
        <f>IF('数据-取费表'!B24=0,'数据-取费表'!N16,1)</f>
        <v>0.77</v>
      </c>
      <c r="G50" s="253"/>
    </row>
    <row r="51" spans="1:7" ht="16.5" customHeight="1">
      <c r="A51" s="261" t="s">
        <v>2245</v>
      </c>
      <c r="B51" s="216" t="s">
        <v>2280</v>
      </c>
      <c r="C51" s="238">
        <f ca="1">ROUND(C49*F50,0)</f>
        <v>2298755</v>
      </c>
      <c r="D51" s="238"/>
      <c r="E51" s="238"/>
      <c r="F51" s="270"/>
      <c r="G51" s="240" t="s">
        <v>2247</v>
      </c>
    </row>
    <row r="52" spans="1:7" s="214" customFormat="1" ht="16.8" thickBot="1">
      <c r="A52" s="271" t="s">
        <v>2248</v>
      </c>
      <c r="B52" s="272"/>
      <c r="C52" s="273">
        <f ca="1">C31+C51</f>
        <v>2697137</v>
      </c>
      <c r="D52" s="272"/>
      <c r="E52" s="272"/>
      <c r="F52" s="272"/>
      <c r="G52" s="274"/>
    </row>
    <row r="55" spans="1:7" ht="15">
      <c r="B55" s="276" t="s">
        <v>2249</v>
      </c>
      <c r="C55" s="277"/>
    </row>
    <row r="56" spans="1:7">
      <c r="B56" s="279" t="s">
        <v>1478</v>
      </c>
      <c r="C56" s="281">
        <f ca="1">1-C57</f>
        <v>0.14800000000000002</v>
      </c>
    </row>
    <row r="57" spans="1:7">
      <c r="B57" s="279" t="s">
        <v>1479</v>
      </c>
      <c r="C57" s="280">
        <f ca="1">ROUND(C51/C52,3)</f>
        <v>0.85199999999999998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2281</v>
      </c>
      <c r="B1" s="1353"/>
      <c r="C1" s="1354"/>
      <c r="D1" s="1352"/>
      <c r="E1" s="3036"/>
      <c r="F1" s="3036"/>
      <c r="G1" s="2899"/>
      <c r="H1" s="3036"/>
      <c r="I1" s="3036"/>
      <c r="J1" s="3036"/>
      <c r="K1" s="3037">
        <f>MATCH(C1,'数据-取费表'!A6:A16,0)+5</f>
        <v>8</v>
      </c>
    </row>
    <row r="2" spans="1:33" ht="18" customHeight="1">
      <c r="A2" s="207" t="s">
        <v>2149</v>
      </c>
      <c r="B2" s="210">
        <f ca="1">C32</f>
        <v>-13</v>
      </c>
      <c r="C2" s="282" t="s">
        <v>2282</v>
      </c>
      <c r="D2" s="282"/>
      <c r="E2" s="3036"/>
      <c r="F2" s="3036"/>
      <c r="G2" s="3036"/>
      <c r="H2" s="3036"/>
      <c r="I2" s="3036"/>
      <c r="J2" s="3036"/>
      <c r="K2" s="3036"/>
    </row>
    <row r="3" spans="1:33" ht="18" customHeight="1" thickBot="1">
      <c r="A3" s="209" t="s">
        <v>2151</v>
      </c>
      <c r="B3" s="210">
        <f ca="1">ROUND(B2*10000/IF(C1="",'数据-汇总表'!E3,INDIRECT("'数据-取费表'!K"&amp;$K$1)),0)</f>
        <v>-194</v>
      </c>
      <c r="C3" s="282" t="s">
        <v>2283</v>
      </c>
      <c r="D3" s="282"/>
      <c r="E3" s="3036"/>
      <c r="F3" s="3036"/>
      <c r="G3" s="3036"/>
      <c r="H3" s="3036"/>
      <c r="I3" s="3036"/>
      <c r="J3" s="3036"/>
      <c r="K3" s="3036"/>
    </row>
    <row r="4" spans="1:33" s="893" customFormat="1" ht="16.5" customHeight="1">
      <c r="A4" s="890" t="s">
        <v>2284</v>
      </c>
      <c r="B4" s="891"/>
      <c r="C4" s="933">
        <f>SUM(C8:K8)</f>
        <v>0</v>
      </c>
      <c r="D4" s="891"/>
      <c r="E4" s="891"/>
      <c r="F4" s="891"/>
      <c r="G4" s="891"/>
      <c r="H4" s="891"/>
      <c r="I4" s="891"/>
      <c r="J4" s="891"/>
      <c r="K4" s="892"/>
    </row>
    <row r="5" spans="1:33" s="897" customFormat="1" ht="25.2">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671.51000000000022</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671.51000000000022</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10.68</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13</v>
      </c>
      <c r="D20" s="955">
        <f ca="1">IF(C1="",'数据-汇总表'!E6,IF(INDIRECT("'数据-取费表'!c"&amp;$K$1)="住宅",INDIRECT("'数据-取费表'!s"&amp;$K$1),INDIRECT("'数据-取费表'!k"&amp;$K$1)+INDIRECT("'数据-取费表'!s"&amp;$K$1)))</f>
        <v>671.51000000000022</v>
      </c>
      <c r="E20" s="24">
        <f>'数据-取费表'!B28</f>
        <v>200</v>
      </c>
      <c r="F20" s="913"/>
      <c r="G20" s="15"/>
      <c r="H20" s="918"/>
      <c r="I20" s="918"/>
      <c r="J20" s="918"/>
      <c r="K20" s="919"/>
    </row>
    <row r="21" spans="1:33" s="912" customFormat="1" ht="13.5" customHeight="1">
      <c r="A21" s="898" t="s">
        <v>802</v>
      </c>
      <c r="B21" s="922" t="s">
        <v>2318</v>
      </c>
      <c r="C21" s="923">
        <f ca="1">C16+C17+C18</f>
        <v>10.68</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3</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3</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5.5000000000000007E-2</v>
      </c>
      <c r="G31" s="947" t="s">
        <v>2338</v>
      </c>
      <c r="H31" s="948"/>
      <c r="I31" s="948"/>
      <c r="J31" s="948"/>
      <c r="K31" s="949"/>
    </row>
    <row r="32" spans="1:33" s="907" customFormat="1" ht="13.5" customHeight="1" thickBot="1">
      <c r="A32" s="937" t="s">
        <v>2339</v>
      </c>
      <c r="B32" s="938"/>
      <c r="C32" s="939">
        <f ca="1">ROUND((C4-C21-C22-C23-C25-C28-C31)/(1+C24+D25+D28),0)</f>
        <v>-13</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3" sqref="F1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4" customWidth="1"/>
    <col min="12" max="12" width="16.33203125" style="264" customWidth="1"/>
    <col min="13" max="13" width="13" style="264" customWidth="1"/>
    <col min="14" max="14" width="13.77734375" style="1570" customWidth="1"/>
    <col min="15" max="15" width="5.109375" style="1570" customWidth="1"/>
    <col min="16" max="16" width="25.77734375" style="1570" customWidth="1"/>
    <col min="17" max="17" width="13.77734375" style="1570" customWidth="1"/>
    <col min="18" max="18" width="20.44140625" style="1570" customWidth="1"/>
    <col min="19" max="19" width="13.21875" style="1570" customWidth="1"/>
    <col min="20" max="37" width="9" style="1570"/>
    <col min="38" max="16384" width="9" style="264"/>
  </cols>
  <sheetData>
    <row r="1" spans="1:37" s="299" customFormat="1" ht="21.6">
      <c r="A1" s="1561" t="s">
        <v>1554</v>
      </c>
      <c r="B1" s="722"/>
      <c r="C1" s="1565"/>
      <c r="D1" s="1548"/>
      <c r="E1" s="1549" t="s">
        <v>1352</v>
      </c>
      <c r="F1" s="1193">
        <f ca="1">J53</f>
        <v>0</v>
      </c>
      <c r="G1" s="1564">
        <f>MATCH(C1,'数据-取费表'!A6:A16,0)+5</f>
        <v>8</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4"/>
      <c r="H2" s="2923"/>
      <c r="I2" s="2923"/>
      <c r="J2" s="2923"/>
      <c r="K2" s="2924"/>
      <c r="L2" s="2923"/>
      <c r="M2" s="2923"/>
    </row>
    <row r="3" spans="1:37" ht="18" customHeight="1" thickBot="1">
      <c r="A3" s="1576" t="s">
        <v>1482</v>
      </c>
      <c r="B3" s="1577">
        <f ca="1">IF(ISERROR(B2*10000/F43),0,ROUND(B2*10000/F43,0))</f>
        <v>0</v>
      </c>
      <c r="C3" s="1573" t="s">
        <v>1483</v>
      </c>
      <c r="D3" s="1573"/>
      <c r="E3" s="1574"/>
      <c r="F3" s="1575"/>
      <c r="G3" s="2934"/>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285" t="s">
        <v>1368</v>
      </c>
      <c r="C6" s="1206">
        <f ca="1">ROUND(F6*F8*F7*(1-F9)/10000,0)</f>
        <v>0</v>
      </c>
      <c r="D6" s="160" t="s">
        <v>2849</v>
      </c>
      <c r="E6" s="308" t="s">
        <v>1370</v>
      </c>
      <c r="F6" s="309">
        <f ca="1">INDIRECT("'数据-取费表'!u"&amp;$G$1)</f>
        <v>0</v>
      </c>
      <c r="G6" s="1570"/>
      <c r="H6" s="1201" t="s">
        <v>1003</v>
      </c>
      <c r="I6" s="3285" t="s">
        <v>1368</v>
      </c>
      <c r="J6" s="307">
        <f ca="1">ROUND(M6*M8*M7*(1-M9)/10000,0)</f>
        <v>0</v>
      </c>
      <c r="K6" s="160" t="s">
        <v>2848</v>
      </c>
      <c r="L6" s="308" t="s">
        <v>1370</v>
      </c>
      <c r="M6" s="309">
        <f ca="1">INDIRECT("'数据-取费表'!z"&amp;$G$1)</f>
        <v>0</v>
      </c>
    </row>
    <row r="7" spans="1:37" ht="18" customHeight="1">
      <c r="A7" s="1205"/>
      <c r="B7" s="3286"/>
      <c r="C7" s="1207"/>
      <c r="D7" s="313"/>
      <c r="E7" s="1208" t="s">
        <v>1371</v>
      </c>
      <c r="F7" s="309">
        <f ca="1">IF(INDIRECT("'数据-取费表'!ah"&amp;$G$1)="",INDIRECT("'数据-取费表'!k"&amp;$G$1),INDIRECT("'数据-取费表'!ah"&amp;$G$1))</f>
        <v>0</v>
      </c>
      <c r="G7" s="1570"/>
      <c r="H7" s="310"/>
      <c r="I7" s="3286"/>
      <c r="J7" s="312"/>
      <c r="K7" s="313"/>
      <c r="L7" s="308" t="s">
        <v>1371</v>
      </c>
      <c r="M7" s="309">
        <f ca="1">F7</f>
        <v>0</v>
      </c>
    </row>
    <row r="8" spans="1:37" ht="18" customHeight="1">
      <c r="A8" s="310"/>
      <c r="B8" s="3286"/>
      <c r="C8" s="312"/>
      <c r="D8" s="313"/>
      <c r="E8" s="308" t="s">
        <v>1372</v>
      </c>
      <c r="F8" s="309">
        <f ca="1">INDIRECT("'数据-取费表'!ai"&amp;$G$1)</f>
        <v>0</v>
      </c>
      <c r="G8" s="1570"/>
      <c r="H8" s="310"/>
      <c r="I8" s="3286"/>
      <c r="J8" s="312"/>
      <c r="K8" s="313"/>
      <c r="L8" s="308" t="s">
        <v>1372</v>
      </c>
      <c r="M8" s="309">
        <f ca="1">INDIRECT("'数据-取费表'!ai"&amp;$G$1)</f>
        <v>0</v>
      </c>
    </row>
    <row r="9" spans="1:37" ht="18" customHeight="1">
      <c r="A9" s="310"/>
      <c r="B9" s="3287"/>
      <c r="C9" s="312"/>
      <c r="D9" s="313"/>
      <c r="E9" s="308" t="s">
        <v>1373</v>
      </c>
      <c r="F9" s="318">
        <f ca="1">INDIRECT("'数据-取费表'!w"&amp;$G$1)</f>
        <v>0</v>
      </c>
      <c r="G9" s="1570"/>
      <c r="H9" s="310"/>
      <c r="I9" s="3287"/>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IF(项目基本情况!B11="自然人","——",ROUND(C6*F32/(1+'数据-取费表'!C42),2))</f>
        <v>——</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IF(项目基本情况!B11="自然人","——",IF(D33="按租金收入计税",ROUND(C6*F33/(1+'数据-取费表'!C42),2),IF(D33="按房产原值计税",ROUND(C29*F33*0.7,2),INDIRECT("'数据-取费表'!Aj"&amp;$G$1))))</f>
        <v>——</v>
      </c>
      <c r="D33" s="1556" t="s">
        <v>1403</v>
      </c>
      <c r="E33" s="308" t="s">
        <v>1387</v>
      </c>
      <c r="F33" s="328">
        <f>IF(D33="按票据","——",IF(D33="按租金收入计税",'数据-取费表'!B51,'数据-取费表'!B50))</f>
        <v>1.2E-2</v>
      </c>
      <c r="G33" s="1570"/>
      <c r="H33" s="2928"/>
      <c r="I33" s="1584"/>
      <c r="J33" s="1585"/>
      <c r="K33" s="2929"/>
      <c r="L33" s="2928"/>
      <c r="M33" s="2928"/>
    </row>
    <row r="34" spans="1:18" ht="18" customHeight="1">
      <c r="A34" s="1201" t="s">
        <v>1354</v>
      </c>
      <c r="B34" s="160" t="s">
        <v>1406</v>
      </c>
      <c r="C34" s="25" t="str">
        <f>IF(项目基本情况!B11="自然人","——",ROUND(F34*F35/10000,2))</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ROUND(C29*F36,1)</f>
        <v>0</v>
      </c>
      <c r="D36" s="1530" t="s">
        <v>1447</v>
      </c>
      <c r="E36" s="308" t="s">
        <v>1387</v>
      </c>
      <c r="F36" s="334">
        <f ca="1">INDIRECT("'数据-取费表'!Ak"&amp;$G$1)</f>
        <v>0</v>
      </c>
      <c r="G36" s="1570"/>
      <c r="H36" s="2928"/>
      <c r="I36" s="1584"/>
      <c r="J36" s="1585"/>
      <c r="K36" s="2769"/>
      <c r="L36" s="2928"/>
      <c r="M36" s="2928"/>
    </row>
    <row r="37" spans="1:18" ht="18" customHeight="1">
      <c r="A37" s="1113" t="s">
        <v>1043</v>
      </c>
      <c r="B37" s="308" t="s">
        <v>1418</v>
      </c>
      <c r="C37" s="24">
        <f ca="1">ROUND(C13*F37,1)</f>
        <v>0</v>
      </c>
      <c r="D37" s="1530" t="s">
        <v>1419</v>
      </c>
      <c r="E37" s="308" t="s">
        <v>1420</v>
      </c>
      <c r="F37" s="336">
        <f ca="1">INDIRECT("'数据-取费表'!Al"&amp;$G$1)</f>
        <v>0</v>
      </c>
      <c r="G37" s="1570"/>
      <c r="H37" s="2928"/>
      <c r="I37" s="1584"/>
      <c r="J37" s="1585"/>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70"/>
      <c r="H38" s="2928"/>
      <c r="I38" s="1584"/>
      <c r="J38" s="1585"/>
      <c r="K38" s="2932"/>
      <c r="L38" s="2928"/>
      <c r="M38" s="2928"/>
    </row>
    <row r="39" spans="1:18" ht="24.6" customHeight="1" thickTop="1">
      <c r="A39" s="1239" t="s">
        <v>999</v>
      </c>
      <c r="B39" s="1254" t="s">
        <v>1448</v>
      </c>
      <c r="C39" s="316">
        <f ca="1">C5-C30</f>
        <v>0</v>
      </c>
      <c r="D39" s="1255" t="s">
        <v>1449</v>
      </c>
      <c r="E39" s="1256"/>
      <c r="F39" s="1257"/>
      <c r="G39" s="1570"/>
      <c r="H39" s="2928"/>
      <c r="I39" s="1584"/>
      <c r="J39" s="1585"/>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9"/>
      <c r="L41" s="1353"/>
      <c r="M41" s="1353"/>
    </row>
    <row r="42" spans="1:18" ht="18" customHeight="1">
      <c r="A42" s="314"/>
      <c r="B42" s="315"/>
      <c r="C42" s="316"/>
      <c r="D42" s="333"/>
      <c r="E42" s="308" t="s">
        <v>1442</v>
      </c>
      <c r="F42" s="318">
        <f ca="1">INDIRECT("'数据-取费表'!v"&amp;$G$1)</f>
        <v>0</v>
      </c>
      <c r="G42" s="1570"/>
      <c r="H42" s="1353"/>
      <c r="I42" s="1584"/>
      <c r="J42" s="1585"/>
      <c r="K42" s="2769"/>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3" t="s">
        <v>1484</v>
      </c>
      <c r="P45" s="1647"/>
      <c r="Q45" s="1647"/>
      <c r="R45" s="1647"/>
    </row>
    <row r="46" spans="1:18" s="1570" customFormat="1" ht="13.8"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8"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40.200000000000003"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8" thickBot="1">
      <c r="A49" s="1106" t="s">
        <v>1104</v>
      </c>
      <c r="B49" s="1557" t="s">
        <v>1455</v>
      </c>
      <c r="C49" s="1274">
        <f ca="1">ROUND(F49*F51*F50*(1-F52)/10000,0)</f>
        <v>0</v>
      </c>
      <c r="D49" s="1186" t="s">
        <v>2850</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8"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8"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8"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6.6" thickBot="1">
      <c r="A53" s="1314" t="s">
        <v>1105</v>
      </c>
      <c r="B53" s="1559" t="s">
        <v>1374</v>
      </c>
      <c r="C53" s="322">
        <f ca="1">ROUND(IF(F53="押一",C49/12*F11,IF(F53="押二",C49/12*2*F11,IF(F53="押三",C49/12*3*F11,C54*F11))),0)</f>
        <v>0</v>
      </c>
      <c r="D53" s="1552" t="s">
        <v>2856</v>
      </c>
      <c r="E53" s="319" t="s">
        <v>1375</v>
      </c>
      <c r="F53" s="1276"/>
      <c r="I53" s="1625" t="s">
        <v>1512</v>
      </c>
      <c r="J53" s="2387">
        <f ca="1">IF(M47="住宅",IF(D1="——",MAX(J51,L48),MAX(J51,L48-'数据-取费表'!B24)),IF(D1="——",MIN(J51,L48),MIN(J51,L48-'数据-取费表'!B24)))</f>
        <v>0</v>
      </c>
      <c r="K53" s="3283" t="s">
        <v>1513</v>
      </c>
      <c r="L53" s="3284"/>
      <c r="O53" s="1604" t="s">
        <v>1014</v>
      </c>
      <c r="P53" s="1605" t="s">
        <v>1514</v>
      </c>
      <c r="Q53" s="1606" t="e">
        <f ca="1">Q47+Q48</f>
        <v>#DIV/0!</v>
      </c>
      <c r="R53" s="1606" t="s">
        <v>1015</v>
      </c>
    </row>
    <row r="54" spans="1:18" s="1570" customFormat="1" ht="24.6"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8"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37.200000000000003"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6"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6"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6" thickBot="1">
      <c r="A59" s="1113" t="s">
        <v>1003</v>
      </c>
      <c r="B59" s="1081" t="s">
        <v>1394</v>
      </c>
      <c r="C59" s="2535">
        <f ca="1">ROUND(IF(AND(项目基本情况!B11="自然人",项目基本情况!B10="北京市"),C49*F59/(1+'数据-取费表'!C42),C60+C61+C62),0)</f>
        <v>0</v>
      </c>
      <c r="D59" s="1094" t="s">
        <v>1395</v>
      </c>
      <c r="E59" s="1095" t="s">
        <v>1396</v>
      </c>
      <c r="F59" s="2534">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2" thickBot="1">
      <c r="A60" s="1113" t="s">
        <v>1002</v>
      </c>
      <c r="B60" s="1081" t="s">
        <v>1398</v>
      </c>
      <c r="C60" s="24" t="str">
        <f>IF(项目基本情况!B11="自然人","——",ROUND(C48*F60/(1+'数据-取费表'!C42),2))</f>
        <v>——</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8" thickBot="1">
      <c r="A61" s="1113" t="s">
        <v>1457</v>
      </c>
      <c r="B61" s="1081" t="s">
        <v>1458</v>
      </c>
      <c r="C61" s="24" t="str">
        <f ca="1">IF(项目基本情况!B11="自然人","——",IF(D61="按租金收入计税",ROUND(C48*F61,2),IF(D61="按房产原值计税",ROUND(C57*F61*0.7,2),INDIRECT("'数据-取费表'!Aj"&amp;$G$1))))</f>
        <v>——</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8" thickBot="1">
      <c r="A62" s="1113" t="s">
        <v>1460</v>
      </c>
      <c r="B62" s="1080" t="s">
        <v>1461</v>
      </c>
      <c r="C62" s="25" t="str">
        <f>IF(项目基本情况!B11="自然人","——",ROUND(F62*F63/10000,2))</f>
        <v>——</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8"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8"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8"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2"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24.6"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2"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8" thickBot="1">
      <c r="A69" s="1082"/>
      <c r="B69" s="1083"/>
      <c r="C69" s="312"/>
      <c r="D69" s="1101" t="s">
        <v>1438</v>
      </c>
      <c r="E69" s="1081" t="s">
        <v>1439</v>
      </c>
      <c r="F69" s="339">
        <f ca="1">F41</f>
        <v>0</v>
      </c>
      <c r="O69" s="1614" t="s">
        <v>1016</v>
      </c>
      <c r="P69" s="1653" t="s">
        <v>1549</v>
      </c>
      <c r="Q69" s="1606">
        <f ca="1">C39</f>
        <v>0</v>
      </c>
      <c r="R69" s="1606" t="s">
        <v>1494</v>
      </c>
    </row>
    <row r="70" spans="1:18" s="1570" customFormat="1" ht="13.8" thickBot="1">
      <c r="A70" s="1085"/>
      <c r="B70" s="1086"/>
      <c r="C70" s="316"/>
      <c r="D70" s="1097"/>
      <c r="E70" s="1081" t="s">
        <v>1442</v>
      </c>
      <c r="F70" s="1185"/>
      <c r="O70" s="1614" t="s">
        <v>1017</v>
      </c>
      <c r="P70" s="1653" t="s">
        <v>1550</v>
      </c>
      <c r="Q70" s="1606">
        <f ca="1">C13</f>
        <v>0</v>
      </c>
      <c r="R70" s="1606" t="s">
        <v>1494</v>
      </c>
    </row>
    <row r="71" spans="1:18" s="1570" customFormat="1" ht="13.8"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8" thickBot="1">
      <c r="B72" s="735"/>
      <c r="C72" s="735"/>
      <c r="O72" s="1614" t="s">
        <v>1012</v>
      </c>
      <c r="P72" s="1605" t="s">
        <v>1529</v>
      </c>
      <c r="Q72" s="1617">
        <f>L52</f>
        <v>0</v>
      </c>
      <c r="R72" s="1606"/>
    </row>
    <row r="73" spans="1:18" ht="16.2" thickBot="1">
      <c r="A73" s="1570"/>
      <c r="B73" s="735"/>
      <c r="C73" s="735"/>
      <c r="D73" s="1570"/>
      <c r="E73" s="1570"/>
      <c r="F73" s="1570"/>
      <c r="O73" s="1614" t="s">
        <v>1013</v>
      </c>
      <c r="P73" s="1605" t="s">
        <v>1532</v>
      </c>
      <c r="Q73" s="1606" t="e">
        <f ca="1">L58</f>
        <v>#DIV/0!</v>
      </c>
      <c r="R73" s="1606" t="s">
        <v>1533</v>
      </c>
    </row>
    <row r="74" spans="1:18" ht="13.8"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8"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D25" sqref="D25"/>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4" customWidth="1"/>
    <col min="12" max="12" width="16.33203125" style="264" customWidth="1"/>
    <col min="13" max="13" width="13" style="264" customWidth="1"/>
    <col min="14" max="14" width="13.77734375" style="1570" customWidth="1"/>
    <col min="15" max="15" width="5.109375" style="1570" customWidth="1"/>
    <col min="16" max="16" width="25.77734375" style="1570" customWidth="1"/>
    <col min="17" max="17" width="13.77734375" style="1570" customWidth="1"/>
    <col min="18" max="18" width="20.44140625" style="1570" customWidth="1"/>
    <col min="19" max="19" width="13.21875" style="1570" customWidth="1"/>
    <col min="20" max="37" width="9" style="1570"/>
    <col min="38" max="16384" width="9" style="264"/>
  </cols>
  <sheetData>
    <row r="1" spans="1:37" s="299" customFormat="1" ht="21.6">
      <c r="A1" s="1561" t="s">
        <v>1554</v>
      </c>
      <c r="B1" s="722"/>
      <c r="C1" s="1565" t="s">
        <v>3083</v>
      </c>
      <c r="D1" s="1548" t="s">
        <v>70</v>
      </c>
      <c r="E1" s="1549" t="s">
        <v>1352</v>
      </c>
      <c r="F1" s="1193">
        <f ca="1">J53</f>
        <v>34</v>
      </c>
      <c r="G1" s="1564">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f ca="1">ROUND(D2/10000,0)</f>
        <v>428</v>
      </c>
      <c r="C2" s="1573" t="s">
        <v>1556</v>
      </c>
      <c r="D2" s="1657">
        <f ca="1">C40+J29+L46</f>
        <v>4278405</v>
      </c>
      <c r="E2" s="1574" t="s">
        <v>1557</v>
      </c>
      <c r="F2" s="1575"/>
      <c r="G2" s="2934"/>
      <c r="H2" s="2923"/>
      <c r="I2" s="2923"/>
      <c r="J2" s="2923"/>
      <c r="K2" s="2924"/>
      <c r="L2" s="2923"/>
      <c r="M2" s="2923"/>
    </row>
    <row r="3" spans="1:37" ht="18" customHeight="1" thickBot="1">
      <c r="A3" s="1576" t="s">
        <v>1558</v>
      </c>
      <c r="B3" s="1577">
        <f ca="1">IF(ISERROR(D2/F43),0,ROUND(D2/F43,0))</f>
        <v>36819</v>
      </c>
      <c r="C3" s="1573" t="s">
        <v>1559</v>
      </c>
      <c r="D3" s="1573"/>
      <c r="E3" s="1574"/>
      <c r="F3" s="1575"/>
      <c r="G3" s="2934"/>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221673</v>
      </c>
      <c r="D5" s="1550" t="s">
        <v>1566</v>
      </c>
      <c r="E5" s="1203"/>
      <c r="F5" s="1204"/>
      <c r="G5" s="1570"/>
      <c r="H5" s="305">
        <v>1</v>
      </c>
      <c r="I5" s="306" t="s">
        <v>1565</v>
      </c>
      <c r="J5" s="1202">
        <f ca="1">J6+J10+J12</f>
        <v>0</v>
      </c>
      <c r="K5" s="1550" t="s">
        <v>1566</v>
      </c>
      <c r="L5" s="1203"/>
      <c r="M5" s="1204"/>
    </row>
    <row r="6" spans="1:37" ht="18" customHeight="1">
      <c r="A6" s="1201" t="s">
        <v>1003</v>
      </c>
      <c r="B6" s="3285" t="s">
        <v>1368</v>
      </c>
      <c r="C6" s="1206">
        <f ca="1">ROUND(F6*F8*F7*(1-F9),0)</f>
        <v>221396</v>
      </c>
      <c r="D6" s="160" t="s">
        <v>2846</v>
      </c>
      <c r="E6" s="308" t="s">
        <v>1370</v>
      </c>
      <c r="F6" s="309">
        <f ca="1">INDIRECT("'数据-取费表'!u"&amp;$G$1)</f>
        <v>5.8</v>
      </c>
      <c r="G6" s="1570"/>
      <c r="H6" s="1201" t="s">
        <v>1003</v>
      </c>
      <c r="I6" s="3285" t="s">
        <v>1368</v>
      </c>
      <c r="J6" s="307">
        <f ca="1">ROUND(M6*M8*M7*(1-M9),0)</f>
        <v>0</v>
      </c>
      <c r="K6" s="1562" t="s">
        <v>2847</v>
      </c>
      <c r="L6" s="308" t="s">
        <v>1370</v>
      </c>
      <c r="M6" s="309">
        <f ca="1">INDIRECT("'数据-取费表'!z"&amp;$G$1)</f>
        <v>0</v>
      </c>
    </row>
    <row r="7" spans="1:37" ht="18" customHeight="1">
      <c r="A7" s="1205"/>
      <c r="B7" s="3286"/>
      <c r="C7" s="1207"/>
      <c r="D7" s="313"/>
      <c r="E7" s="1208" t="s">
        <v>1371</v>
      </c>
      <c r="F7" s="309">
        <f ca="1">IF(INDIRECT("'数据-取费表'!ah"&amp;$G$1)="",INDIRECT("'数据-取费表'!k"&amp;$G$1),INDIRECT("'数据-取费表'!ah"&amp;$G$1))</f>
        <v>116.2</v>
      </c>
      <c r="G7" s="1570"/>
      <c r="H7" s="310"/>
      <c r="I7" s="3286"/>
      <c r="J7" s="312"/>
      <c r="K7" s="313"/>
      <c r="L7" s="308" t="s">
        <v>1371</v>
      </c>
      <c r="M7" s="309">
        <f ca="1">F7</f>
        <v>116.2</v>
      </c>
    </row>
    <row r="8" spans="1:37" ht="18" customHeight="1">
      <c r="A8" s="310"/>
      <c r="B8" s="3286"/>
      <c r="C8" s="312"/>
      <c r="D8" s="313"/>
      <c r="E8" s="308" t="s">
        <v>1372</v>
      </c>
      <c r="F8" s="309">
        <f ca="1">INDIRECT("'数据-取费表'!ai"&amp;$G$1)</f>
        <v>365</v>
      </c>
      <c r="G8" s="1570"/>
      <c r="H8" s="310"/>
      <c r="I8" s="3286"/>
      <c r="J8" s="312"/>
      <c r="K8" s="313"/>
      <c r="L8" s="308" t="s">
        <v>1372</v>
      </c>
      <c r="M8" s="309">
        <f ca="1">INDIRECT("'数据-取费表'!ai"&amp;$G$1)</f>
        <v>365</v>
      </c>
    </row>
    <row r="9" spans="1:37" ht="18" customHeight="1">
      <c r="A9" s="310"/>
      <c r="B9" s="3287"/>
      <c r="C9" s="312"/>
      <c r="D9" s="313"/>
      <c r="E9" s="308" t="s">
        <v>1373</v>
      </c>
      <c r="F9" s="318">
        <f ca="1">INDIRECT("'数据-取费表'!w"&amp;$G$1)</f>
        <v>0.1</v>
      </c>
      <c r="G9" s="1570"/>
      <c r="H9" s="310"/>
      <c r="I9" s="3287"/>
      <c r="J9" s="312"/>
      <c r="K9" s="313"/>
      <c r="L9" s="319" t="s">
        <v>1373</v>
      </c>
      <c r="M9" s="320">
        <f ca="1">INDIRECT("'数据-取费表'!ab"&amp;$G$1)</f>
        <v>0</v>
      </c>
    </row>
    <row r="10" spans="1:37" ht="18" customHeight="1">
      <c r="A10" s="1201" t="s">
        <v>1007</v>
      </c>
      <c r="B10" s="1551" t="s">
        <v>1374</v>
      </c>
      <c r="C10" s="322">
        <f ca="1">ROUND(IF(F10="押一",C6/12*F11,IF(F10="押二",C6/12*2*F11,IF(F10="押三",C6/12*3*F11,C11*F11))),0)</f>
        <v>277</v>
      </c>
      <c r="D10" s="1552" t="s">
        <v>2856</v>
      </c>
      <c r="E10" s="319" t="s">
        <v>1375</v>
      </c>
      <c r="F10" s="1276" t="s">
        <v>3087</v>
      </c>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397784</v>
      </c>
      <c r="D13" s="1241" t="s">
        <v>1380</v>
      </c>
      <c r="E13" s="1241" t="s">
        <v>1381</v>
      </c>
      <c r="F13" s="1242">
        <f ca="1">INDIRECT("'数据-取费表'!y"&amp;$G$1)</f>
        <v>0.77</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325360</v>
      </c>
      <c r="D14" s="1531" t="s">
        <v>1383</v>
      </c>
      <c r="E14" s="1528"/>
      <c r="F14" s="325"/>
      <c r="G14" s="1570"/>
      <c r="H14" s="1113" t="s">
        <v>1003</v>
      </c>
      <c r="I14" s="308" t="s">
        <v>1384</v>
      </c>
      <c r="J14" s="24">
        <f ca="1">C29</f>
        <v>516602</v>
      </c>
      <c r="K14" s="15"/>
      <c r="L14" s="916"/>
      <c r="M14" s="917"/>
    </row>
    <row r="15" spans="1:37" s="1583" customFormat="1" ht="18" customHeight="1" thickBot="1">
      <c r="A15" s="1113" t="s">
        <v>1004</v>
      </c>
      <c r="B15" s="308" t="s">
        <v>1385</v>
      </c>
      <c r="C15" s="24">
        <f ca="1">ROUND(C14*F15,0)</f>
        <v>9761</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10332</v>
      </c>
      <c r="K16" s="1247" t="s">
        <v>1390</v>
      </c>
      <c r="L16" s="1248"/>
      <c r="M16" s="1204"/>
    </row>
    <row r="17" spans="1:37" s="1583" customFormat="1" ht="18" customHeight="1">
      <c r="A17" s="1113" t="s">
        <v>1355</v>
      </c>
      <c r="B17" s="308" t="s">
        <v>1391</v>
      </c>
      <c r="C17" s="24">
        <f ca="1">ROUND(F17*(F43+INDIRECT("'数据-取费表'!S"&amp;$G$1)),0)</f>
        <v>23240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4880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363241</v>
      </c>
      <c r="D19" s="136" t="s">
        <v>1401</v>
      </c>
      <c r="E19" s="1546"/>
      <c r="F19" s="26"/>
      <c r="G19" s="1570"/>
      <c r="H19" s="1113" t="s">
        <v>1004</v>
      </c>
      <c r="I19" s="308" t="s">
        <v>1402</v>
      </c>
      <c r="J19" s="24">
        <f ca="1">IF(K19="按租金收入计税",ROUND(J6*M19/(1+'数据-取费表'!C42),0),ROUND(C29*M19*0.7,0))</f>
        <v>4339</v>
      </c>
      <c r="K19" s="1556" t="s">
        <v>1403</v>
      </c>
      <c r="L19" s="308" t="s">
        <v>1387</v>
      </c>
      <c r="M19" s="328">
        <f>IF(K19="按租金收入计税",'数据-取费表'!B51,'数据-取费表'!B50)</f>
        <v>1.2E-2</v>
      </c>
    </row>
    <row r="20" spans="1:37" s="1583" customFormat="1" ht="18" customHeight="1">
      <c r="A20" s="1113" t="s">
        <v>1007</v>
      </c>
      <c r="B20" s="308" t="s">
        <v>1404</v>
      </c>
      <c r="C20" s="24">
        <f ca="1">ROUND(C19*F20,0)</f>
        <v>7265</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10332</v>
      </c>
      <c r="K22" s="1530" t="s">
        <v>1415</v>
      </c>
      <c r="L22" s="308" t="s">
        <v>1387</v>
      </c>
      <c r="M22" s="334">
        <f ca="1">INDIRECT("'数据-取费表'!Ak"&amp;$G$1)</f>
        <v>0.02</v>
      </c>
    </row>
    <row r="23" spans="1:37" s="1583" customFormat="1" ht="18" customHeight="1">
      <c r="A23" s="1113" t="s">
        <v>1002</v>
      </c>
      <c r="B23" s="308" t="s">
        <v>1416</v>
      </c>
      <c r="C23" s="24">
        <f ca="1">IF('数据-取费表'!B22&lt;=1,ROUND(C19*F24*F23/2,0)+ROUND(C20*F24*F23/2,0),ROUND(C19*(POWER((1+F24),F23/2)-1),0)+ROUND(C20*(POWER((1+F24),F23/2)-1),0))</f>
        <v>13122</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ROUND(J13*M23,0)</f>
        <v>0</v>
      </c>
      <c r="K23" s="1530" t="s">
        <v>1419</v>
      </c>
      <c r="L23" s="308" t="s">
        <v>1420</v>
      </c>
      <c r="M23" s="336">
        <f ca="1">INDIRECT("'数据-取费表'!Al"&amp;$G$1)</f>
        <v>2E-3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-10332</v>
      </c>
      <c r="K25" s="1255" t="s">
        <v>1429</v>
      </c>
      <c r="L25" s="1256"/>
      <c r="M25" s="1257"/>
    </row>
    <row r="26" spans="1:37" ht="18" customHeight="1">
      <c r="A26" s="1113" t="s">
        <v>1002</v>
      </c>
      <c r="B26" s="308" t="s">
        <v>1430</v>
      </c>
      <c r="C26" s="24">
        <f ca="1">ROUND((C19+C20)*F26,0)</f>
        <v>92627</v>
      </c>
      <c r="D26" s="329" t="s">
        <v>1431</v>
      </c>
      <c r="E26" s="319" t="s">
        <v>1432</v>
      </c>
      <c r="F26" s="318">
        <f ca="1">INDIRECT("'数据-取费表'!q"&amp;$G$1)</f>
        <v>0.25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516602</v>
      </c>
      <c r="D29" s="1252"/>
      <c r="E29" s="1250"/>
      <c r="F29" s="1253"/>
      <c r="G29" s="1582"/>
      <c r="H29" s="340" t="s">
        <v>1001</v>
      </c>
      <c r="I29" s="341" t="s">
        <v>1444</v>
      </c>
      <c r="J29" s="342">
        <f ca="1">ROUND(J26/(1+F40)^F41,0)</f>
        <v>0</v>
      </c>
      <c r="K29" s="343" t="s">
        <v>1445</v>
      </c>
      <c r="L29" s="344"/>
      <c r="M29" s="345">
        <f ca="1">INDIRECT("'数据-取费表'!k"&amp;$G$1)</f>
        <v>116.2</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30322</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14760</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IF(项目基本情况!B11="自然人","——",ROUND(C6*F32/(1+'数据-取费表'!C42),0))</f>
        <v>——</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IF(项目基本情况!B11="自然人","——",IF(D33="按租金收入计税",ROUND(C6*F33/(1+'数据-取费表'!C42),0),IF(D33="按房产原值计税",ROUND(C29*F33*0.7,0),INDIRECT("'数据-取费表'!Aj"&amp;$G$1))))</f>
        <v>——</v>
      </c>
      <c r="D33" s="3069" t="s">
        <v>3173</v>
      </c>
      <c r="E33" s="308" t="s">
        <v>1387</v>
      </c>
      <c r="F33" s="328">
        <f>IF(D33="按票据","——",IF(D33="按租金收入计税",'数据-取费表'!B51,'数据-取费表'!B50))</f>
        <v>0.12</v>
      </c>
      <c r="G33" s="1570"/>
      <c r="H33" s="2928"/>
      <c r="I33" s="1584"/>
      <c r="J33" s="1585"/>
      <c r="K33" s="2929"/>
      <c r="L33" s="2928"/>
      <c r="M33" s="2928"/>
    </row>
    <row r="34" spans="1:18" ht="18" customHeight="1">
      <c r="A34" s="1201" t="s">
        <v>1354</v>
      </c>
      <c r="B34" s="160" t="s">
        <v>1406</v>
      </c>
      <c r="C34" s="25" t="str">
        <f>IF(项目基本情况!B11="自然人","——",ROUND(F34*F35,))</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ROUND(C29*F36,0)</f>
        <v>10332</v>
      </c>
      <c r="D36" s="1530" t="s">
        <v>1447</v>
      </c>
      <c r="E36" s="308" t="s">
        <v>1387</v>
      </c>
      <c r="F36" s="334">
        <f ca="1">INDIRECT("'数据-取费表'!Ak"&amp;$G$1)</f>
        <v>0.02</v>
      </c>
      <c r="G36" s="1570"/>
      <c r="H36" s="2928"/>
      <c r="I36" s="1584"/>
      <c r="J36" s="1585"/>
      <c r="K36" s="2769"/>
      <c r="L36" s="2928"/>
      <c r="M36" s="2928"/>
    </row>
    <row r="37" spans="1:18" ht="18" customHeight="1">
      <c r="A37" s="1113" t="s">
        <v>1043</v>
      </c>
      <c r="B37" s="308" t="s">
        <v>1418</v>
      </c>
      <c r="C37" s="24">
        <f ca="1">ROUND(C13*F37,0)</f>
        <v>796</v>
      </c>
      <c r="D37" s="1530" t="s">
        <v>1419</v>
      </c>
      <c r="E37" s="308" t="s">
        <v>1420</v>
      </c>
      <c r="F37" s="336">
        <f ca="1">INDIRECT("'数据-取费表'!Al"&amp;$G$1)</f>
        <v>2E-3</v>
      </c>
      <c r="G37" s="1570"/>
      <c r="H37" s="2928"/>
      <c r="I37" s="1584"/>
      <c r="J37" s="1585"/>
      <c r="K37" s="2769"/>
      <c r="L37" s="2928"/>
      <c r="M37" s="2928"/>
    </row>
    <row r="38" spans="1:18" ht="18" customHeight="1" thickBot="1">
      <c r="A38" s="1249" t="s">
        <v>1358</v>
      </c>
      <c r="B38" s="1250" t="s">
        <v>1404</v>
      </c>
      <c r="C38" s="1251">
        <f ca="1">ROUND(C5*F38,1)</f>
        <v>4433.5</v>
      </c>
      <c r="D38" s="1252" t="s">
        <v>1424</v>
      </c>
      <c r="E38" s="1250" t="s">
        <v>1420</v>
      </c>
      <c r="F38" s="1246">
        <f ca="1">INDIRECT("'数据-取费表'!Am"&amp;$G$1)</f>
        <v>0.02</v>
      </c>
      <c r="G38" s="1570"/>
      <c r="H38" s="2928"/>
      <c r="I38" s="1584"/>
      <c r="J38" s="1585"/>
      <c r="K38" s="2932"/>
      <c r="L38" s="2928"/>
      <c r="M38" s="2928"/>
    </row>
    <row r="39" spans="1:18" ht="24.6" customHeight="1" thickTop="1">
      <c r="A39" s="1239" t="s">
        <v>999</v>
      </c>
      <c r="B39" s="1254" t="s">
        <v>1448</v>
      </c>
      <c r="C39" s="316">
        <f ca="1">C5-C30</f>
        <v>191351</v>
      </c>
      <c r="D39" s="1255" t="s">
        <v>1449</v>
      </c>
      <c r="E39" s="1256"/>
      <c r="F39" s="1257"/>
      <c r="G39" s="1570"/>
      <c r="H39" s="2928"/>
      <c r="I39" s="1584"/>
      <c r="J39" s="1585"/>
      <c r="K39" s="2932"/>
      <c r="L39" s="2928"/>
      <c r="M39" s="2928"/>
    </row>
    <row r="40" spans="1:18" ht="18" customHeight="1">
      <c r="A40" s="305" t="s">
        <v>1000</v>
      </c>
      <c r="B40" s="306" t="s">
        <v>1450</v>
      </c>
      <c r="C40" s="307">
        <f ca="1">ROUND(C39*(1-((1+F42)/(1+F40))^F41)/(F40-F42),0)</f>
        <v>4267371</v>
      </c>
      <c r="D40" s="330" t="s">
        <v>1434</v>
      </c>
      <c r="E40" s="308" t="s">
        <v>1435</v>
      </c>
      <c r="F40" s="318">
        <f ca="1">INDIRECT("'数据-取费表'!I"&amp;$G$1)</f>
        <v>5.5E-2</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34</v>
      </c>
      <c r="G41" s="1570"/>
      <c r="H41" s="1353"/>
      <c r="I41" s="1584"/>
      <c r="J41" s="1585"/>
      <c r="K41" s="2769"/>
      <c r="L41" s="1353"/>
      <c r="M41" s="1353"/>
    </row>
    <row r="42" spans="1:18" ht="18" customHeight="1">
      <c r="A42" s="314"/>
      <c r="B42" s="315"/>
      <c r="C42" s="316"/>
      <c r="D42" s="333"/>
      <c r="E42" s="308" t="s">
        <v>1442</v>
      </c>
      <c r="F42" s="318">
        <f ca="1">INDIRECT("'数据-取费表'!v"&amp;$G$1)</f>
        <v>0.03</v>
      </c>
      <c r="G42" s="1570"/>
      <c r="H42" s="1353"/>
      <c r="I42" s="1584"/>
      <c r="J42" s="1585"/>
      <c r="K42" s="2769"/>
      <c r="L42" s="1353"/>
      <c r="M42" s="1353"/>
    </row>
    <row r="43" spans="1:18" ht="18" customHeight="1" thickBot="1">
      <c r="A43" s="340" t="s">
        <v>1001</v>
      </c>
      <c r="B43" s="341" t="s">
        <v>1452</v>
      </c>
      <c r="C43" s="342">
        <f ca="1">ROUND(C40/F43,0)</f>
        <v>36724</v>
      </c>
      <c r="D43" s="343" t="s">
        <v>1453</v>
      </c>
      <c r="E43" s="344" t="s">
        <v>1454</v>
      </c>
      <c r="F43" s="345">
        <f ca="1">INDIRECT("'数据-取费表'!k"&amp;$G$1)</f>
        <v>116.2</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f ca="1">C68-C40</f>
        <v>-2787771</v>
      </c>
      <c r="D45" s="1659" t="s">
        <v>1569</v>
      </c>
      <c r="E45" s="1586"/>
      <c r="F45" s="1586"/>
      <c r="O45" s="1589" t="s">
        <v>1484</v>
      </c>
      <c r="P45" s="1647"/>
      <c r="Q45" s="1647"/>
      <c r="R45" s="1647"/>
    </row>
    <row r="46" spans="1:18" s="1570" customFormat="1" ht="13.8" thickBot="1">
      <c r="A46" s="1590" t="s">
        <v>1485</v>
      </c>
      <c r="C46" s="1591">
        <f ca="1">ROUND(C45/10000,0)</f>
        <v>-279</v>
      </c>
      <c r="D46" s="1592" t="str">
        <f>C2</f>
        <v>万元</v>
      </c>
      <c r="I46" s="1593" t="s">
        <v>1486</v>
      </c>
      <c r="J46" s="1594"/>
      <c r="K46" s="1595"/>
      <c r="L46" s="1596">
        <f ca="1">IF(M47="住宅",0,IF(L48&gt;J51,L60,J60))</f>
        <v>11034</v>
      </c>
      <c r="O46" s="1597" t="s">
        <v>1487</v>
      </c>
      <c r="P46" s="1598" t="s">
        <v>1488</v>
      </c>
      <c r="Q46" s="1599" t="s">
        <v>1489</v>
      </c>
      <c r="R46" s="1599" t="s">
        <v>1490</v>
      </c>
    </row>
    <row r="47" spans="1:18" s="1570" customFormat="1" ht="13.8" thickBot="1">
      <c r="A47" s="1077" t="s">
        <v>1361</v>
      </c>
      <c r="B47" s="1109" t="s">
        <v>1362</v>
      </c>
      <c r="C47" s="1109" t="s">
        <v>1363</v>
      </c>
      <c r="D47" s="1109" t="s">
        <v>1364</v>
      </c>
      <c r="E47" s="1189" t="s">
        <v>1365</v>
      </c>
      <c r="F47" s="1190"/>
      <c r="G47" s="731"/>
      <c r="I47" s="1600" t="s">
        <v>1491</v>
      </c>
      <c r="J47" s="1601" t="s">
        <v>3088</v>
      </c>
      <c r="K47" s="1602" t="s">
        <v>1492</v>
      </c>
      <c r="L47" s="1603">
        <f ca="1">INDIRECT("'数据-取费表'!d"&amp;$G$1)</f>
        <v>50</v>
      </c>
      <c r="M47" s="1566" t="str">
        <f>IF(ISNUMBER(FIND("住宅",C1)),"住宅","非住宅")</f>
        <v>非住宅</v>
      </c>
      <c r="O47" s="1604" t="s">
        <v>1008</v>
      </c>
      <c r="P47" s="1605" t="s">
        <v>1493</v>
      </c>
      <c r="Q47" s="1606">
        <f ca="1">C40+J29</f>
        <v>4267371</v>
      </c>
      <c r="R47" s="1606" t="s">
        <v>1494</v>
      </c>
    </row>
    <row r="48" spans="1:18" s="1570" customFormat="1" ht="40.200000000000003" thickBot="1">
      <c r="A48" s="1270" t="s">
        <v>1103</v>
      </c>
      <c r="B48" s="306" t="s">
        <v>1366</v>
      </c>
      <c r="C48" s="1545">
        <f ca="1">C49+C53+C55</f>
        <v>84826</v>
      </c>
      <c r="D48" s="1272"/>
      <c r="E48" s="1273"/>
      <c r="F48" s="1093"/>
      <c r="G48" s="731"/>
      <c r="H48" s="732"/>
      <c r="I48" s="1607" t="s">
        <v>1495</v>
      </c>
      <c r="J48" s="1608" t="s">
        <v>3089</v>
      </c>
      <c r="K48" s="1609" t="s">
        <v>1496</v>
      </c>
      <c r="L48" s="1610">
        <f ca="1">INDIRECT("'数据-取费表'!f"&amp;$G$1)</f>
        <v>34</v>
      </c>
      <c r="O48" s="1604" t="s">
        <v>1009</v>
      </c>
      <c r="P48" s="1605" t="s">
        <v>1497</v>
      </c>
      <c r="Q48" s="1606">
        <f ca="1">J60</f>
        <v>11034</v>
      </c>
      <c r="R48" s="1606" t="s">
        <v>1498</v>
      </c>
    </row>
    <row r="49" spans="1:18" s="1570" customFormat="1" ht="13.8" thickBot="1">
      <c r="A49" s="1106" t="s">
        <v>1104</v>
      </c>
      <c r="B49" s="1557" t="s">
        <v>1455</v>
      </c>
      <c r="C49" s="1274">
        <f ca="1">ROUND(F49*F51*F50*(1-F52),0)</f>
        <v>84826</v>
      </c>
      <c r="D49" s="1186" t="s">
        <v>1369</v>
      </c>
      <c r="E49" s="1558" t="s">
        <v>1456</v>
      </c>
      <c r="F49" s="1191">
        <v>2</v>
      </c>
      <c r="G49" s="1611"/>
      <c r="H49" s="732"/>
      <c r="I49" s="1607" t="s">
        <v>1499</v>
      </c>
      <c r="J49" s="1612">
        <v>2007</v>
      </c>
      <c r="K49" s="1609" t="s">
        <v>1500</v>
      </c>
      <c r="L49" s="1613"/>
      <c r="O49" s="1614" t="s">
        <v>1010</v>
      </c>
      <c r="P49" s="1605" t="s">
        <v>1501</v>
      </c>
      <c r="Q49" s="1606">
        <f ca="1">C29</f>
        <v>516602</v>
      </c>
      <c r="R49" s="1606" t="s">
        <v>1494</v>
      </c>
    </row>
    <row r="50" spans="1:18" s="1570" customFormat="1" ht="13.8" thickBot="1">
      <c r="A50" s="1107"/>
      <c r="B50" s="1110"/>
      <c r="C50" s="1111"/>
      <c r="D50" s="1084"/>
      <c r="E50" s="1187" t="s">
        <v>1371</v>
      </c>
      <c r="F50" s="1188">
        <f ca="1">F7</f>
        <v>116.2</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8" thickBot="1">
      <c r="A51" s="1108"/>
      <c r="B51" s="1110"/>
      <c r="C51" s="1111"/>
      <c r="D51" s="1084"/>
      <c r="E51" s="1112" t="s">
        <v>1372</v>
      </c>
      <c r="F51" s="309">
        <f ca="1">F8</f>
        <v>365</v>
      </c>
      <c r="I51" s="1618" t="s">
        <v>1505</v>
      </c>
      <c r="J51" s="1619">
        <f>IF(J49="",J50,J49+J50-YEAR('数据-取费表'!B2))</f>
        <v>46</v>
      </c>
      <c r="K51" s="1620" t="s">
        <v>1506</v>
      </c>
      <c r="L51" s="1621">
        <f ca="1">ROUND(-PV(INDIRECT("'数据-取费表'!h"&amp;$G$1),J51,(C39-C13*C76),0),0)</f>
        <v>2816814</v>
      </c>
      <c r="M51" s="1622"/>
      <c r="O51" s="1614" t="s">
        <v>1012</v>
      </c>
      <c r="P51" s="1605" t="s">
        <v>1507</v>
      </c>
      <c r="Q51" s="1617">
        <f>J52</f>
        <v>0.09</v>
      </c>
      <c r="R51" s="1606"/>
    </row>
    <row r="52" spans="1:18" s="1570" customFormat="1" ht="13.8" thickBot="1">
      <c r="A52" s="1108"/>
      <c r="B52" s="1110"/>
      <c r="C52" s="1111"/>
      <c r="D52" s="1084"/>
      <c r="E52" s="1112" t="s">
        <v>1373</v>
      </c>
      <c r="F52" s="1185"/>
      <c r="I52" s="1623" t="s">
        <v>1508</v>
      </c>
      <c r="J52" s="1624">
        <v>0.09</v>
      </c>
      <c r="K52" s="1623" t="s">
        <v>1509</v>
      </c>
      <c r="L52" s="1624"/>
      <c r="O52" s="1614" t="s">
        <v>1013</v>
      </c>
      <c r="P52" s="1605" t="s">
        <v>1510</v>
      </c>
      <c r="Q52" s="1606">
        <f ca="1">J53</f>
        <v>34</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7">
        <f ca="1">IF(M47="住宅",IF(D1="——",MAX(J51,L48),MAX(J51,L48-'数据-取费表'!B24)),IF(D1="——",MIN(J51,L48),MIN(J51,L48-'数据-取费表'!B24)))</f>
        <v>34</v>
      </c>
      <c r="K53" s="3283" t="s">
        <v>1513</v>
      </c>
      <c r="L53" s="3284"/>
      <c r="O53" s="1604" t="s">
        <v>1014</v>
      </c>
      <c r="P53" s="1605" t="s">
        <v>1514</v>
      </c>
      <c r="Q53" s="1606">
        <f ca="1">Q47+Q48</f>
        <v>4278405</v>
      </c>
      <c r="R53" s="1606" t="s">
        <v>1015</v>
      </c>
    </row>
    <row r="54" spans="1:18" s="1570" customFormat="1" ht="13.8"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8" thickBot="1">
      <c r="A55" s="1243" t="s">
        <v>1043</v>
      </c>
      <c r="B55" s="1555" t="s">
        <v>1378</v>
      </c>
      <c r="C55" s="1244"/>
      <c r="D55" s="1552"/>
      <c r="E55" s="1560"/>
      <c r="F55" s="1626"/>
      <c r="I55" s="1629" t="s">
        <v>1516</v>
      </c>
      <c r="J55" s="1630">
        <f ca="1">ROUND(IF(J47="钢混",J57/J50,1-(1-2%)*(J50-J57)/J50),3)</f>
        <v>0.2</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397784</v>
      </c>
      <c r="D56" s="1633"/>
      <c r="E56" s="1634"/>
      <c r="F56" s="1626"/>
      <c r="I56" s="1635" t="s">
        <v>1519</v>
      </c>
      <c r="J56" s="1636"/>
      <c r="K56" s="1607" t="s">
        <v>1520</v>
      </c>
      <c r="L56" s="1610" t="str">
        <f ca="1">IF(L48&lt;J51,"——",L48-J51)</f>
        <v>——</v>
      </c>
      <c r="O56" s="1604" t="s">
        <v>1008</v>
      </c>
      <c r="P56" s="1605" t="s">
        <v>1493</v>
      </c>
      <c r="Q56" s="1606">
        <f ca="1">C40+J29</f>
        <v>4267371</v>
      </c>
      <c r="R56" s="1606" t="s">
        <v>1494</v>
      </c>
    </row>
    <row r="57" spans="1:18" s="1570" customFormat="1" ht="24.6" thickBot="1">
      <c r="A57" s="1637"/>
      <c r="B57" s="1081" t="s">
        <v>1443</v>
      </c>
      <c r="C57" s="244">
        <f ca="1">C29</f>
        <v>516602</v>
      </c>
      <c r="D57" s="1638"/>
      <c r="E57" s="1639"/>
      <c r="F57" s="1640"/>
      <c r="I57" s="1641" t="s">
        <v>1521</v>
      </c>
      <c r="J57" s="1642">
        <f ca="1">IF(OR(M47="住宅",J51&lt;L48,J56="是"),"——",J51-L48)</f>
        <v>12</v>
      </c>
      <c r="K57" s="1607" t="s">
        <v>1570</v>
      </c>
      <c r="L57" s="1610" t="str">
        <f ca="1">IF(L48&lt;J51,"——",IF(L55="比较法",L49,IF(L55="基准地价",L50,L51)))</f>
        <v>——</v>
      </c>
      <c r="O57" s="1604" t="s">
        <v>1009</v>
      </c>
      <c r="P57" s="1605" t="s">
        <v>1571</v>
      </c>
      <c r="Q57" s="1606">
        <f ca="1">L60</f>
        <v>0</v>
      </c>
      <c r="R57" s="1606" t="s">
        <v>1572</v>
      </c>
    </row>
    <row r="58" spans="1:18" s="1570" customFormat="1" ht="24.6" thickBot="1">
      <c r="A58" s="321" t="s">
        <v>998</v>
      </c>
      <c r="B58" s="1089" t="s">
        <v>1389</v>
      </c>
      <c r="C58" s="322">
        <f ca="1">ROUND(C59+C64+C65+C66,0)</f>
        <v>18480</v>
      </c>
      <c r="D58" s="1091" t="s">
        <v>1390</v>
      </c>
      <c r="E58" s="1092"/>
      <c r="F58" s="1093"/>
      <c r="I58" s="1641" t="s">
        <v>1525</v>
      </c>
      <c r="J58" s="1643">
        <f ca="1">IF(J55&lt;0.4,0.4,J55)</f>
        <v>0.4</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6" thickBot="1">
      <c r="A59" s="1113" t="s">
        <v>1003</v>
      </c>
      <c r="B59" s="1081" t="s">
        <v>1394</v>
      </c>
      <c r="C59" s="2535">
        <f ca="1">ROUND(IF(AND(项目基本情况!B11="自然人",项目基本情况!B10="北京市"),C49*F59/(1+'数据-取费表'!C42),C60+C61+C62),0)</f>
        <v>5655</v>
      </c>
      <c r="D59" s="1094" t="s">
        <v>1395</v>
      </c>
      <c r="E59" s="1095" t="s">
        <v>1396</v>
      </c>
      <c r="F59" s="2534">
        <f ca="1">IF(项目基本情况!B11="企业","——",IF('数据-取费表'!B10="住宅",IF(F49*F50*F51/12/(1+'数据-取费表'!F30)&gt;100000,4%,2.5%),IF(F49*F50*F51/12/(1+'数据-取费表'!F30)&gt;100000,12%,7%)))</f>
        <v>7.0000000000000007E-2</v>
      </c>
      <c r="I59" s="1641" t="s">
        <v>1528</v>
      </c>
      <c r="J59" s="1642">
        <f ca="1">IF(OR(M47="住宅",J51&lt;L48,J56="是"),"——",ROUND(C29*J58,0))</f>
        <v>206641</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2" thickBot="1">
      <c r="A60" s="1113" t="s">
        <v>1002</v>
      </c>
      <c r="B60" s="1081" t="s">
        <v>1398</v>
      </c>
      <c r="C60" s="24" t="str">
        <f>IF(项目基本情况!B11="自然人","——",ROUND(C48*F60/(1+'数据-取费表'!C42),0))</f>
        <v>——</v>
      </c>
      <c r="D60" s="1095" t="s">
        <v>1399</v>
      </c>
      <c r="E60" s="1081" t="s">
        <v>1387</v>
      </c>
      <c r="F60" s="337">
        <f t="shared" ref="F60:F66" si="0">F32</f>
        <v>5.5000000000000007E-2</v>
      </c>
      <c r="I60" s="1644" t="s">
        <v>1530</v>
      </c>
      <c r="J60" s="1645">
        <f ca="1">IF(OR(M47="住宅",J51&lt;L48,J56="是"),"0",ROUND(J59/(1+J52)^J53,0))</f>
        <v>11034</v>
      </c>
      <c r="K60" s="1646" t="s">
        <v>1531</v>
      </c>
      <c r="L60" s="1645">
        <f ca="1">IF(OR(M47="住宅",L48&lt;J51),0,ROUND(L57*(L58/L59-1),0))</f>
        <v>0</v>
      </c>
      <c r="O60" s="1614" t="s">
        <v>1012</v>
      </c>
      <c r="P60" s="1605" t="s">
        <v>1532</v>
      </c>
      <c r="Q60" s="1606" t="e">
        <f ca="1">L58</f>
        <v>#DIV/0!</v>
      </c>
      <c r="R60" s="1606" t="s">
        <v>1533</v>
      </c>
    </row>
    <row r="61" spans="1:18" s="1570" customFormat="1" ht="13.8" thickBot="1">
      <c r="A61" s="1113" t="s">
        <v>1457</v>
      </c>
      <c r="B61" s="1081" t="s">
        <v>1458</v>
      </c>
      <c r="C61" s="24" t="str">
        <f ca="1">IF(项目基本情况!B11="自然人","——",IF(D61="按租金收入计税",ROUND(C48*F61,0),IF(D61="按房产原值计税",ROUND(C57*F61*0.7,0),INDIRECT("'数据-取费表'!Aj"&amp;$G$1))))</f>
        <v>——</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8" thickBot="1">
      <c r="A62" s="1113" t="s">
        <v>1460</v>
      </c>
      <c r="B62" s="1080" t="s">
        <v>1461</v>
      </c>
      <c r="C62" s="25" t="str">
        <f>IF(项目基本情况!B11="自然人","——",ROUND(F62*F63,0))</f>
        <v>——</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4267371</v>
      </c>
      <c r="R62" s="1606" t="s">
        <v>1015</v>
      </c>
    </row>
    <row r="63" spans="1:18" s="1570" customFormat="1" ht="13.8"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8" thickBot="1">
      <c r="A64" s="1113" t="s">
        <v>1465</v>
      </c>
      <c r="B64" s="1081" t="s">
        <v>1466</v>
      </c>
      <c r="C64" s="24">
        <f ca="1">ROUND(C57*F64,0)</f>
        <v>10332</v>
      </c>
      <c r="D64" s="1095" t="s">
        <v>1467</v>
      </c>
      <c r="E64" s="1081" t="s">
        <v>1459</v>
      </c>
      <c r="F64" s="334">
        <f t="shared" ca="1" si="0"/>
        <v>0.02</v>
      </c>
      <c r="I64" s="1648" t="s">
        <v>1543</v>
      </c>
      <c r="J64" s="1649">
        <v>50</v>
      </c>
      <c r="K64" s="1649">
        <v>35</v>
      </c>
      <c r="L64" s="1649">
        <v>60</v>
      </c>
      <c r="M64" s="1650">
        <v>0</v>
      </c>
      <c r="O64" s="1597" t="s">
        <v>1487</v>
      </c>
      <c r="P64" s="1598" t="s">
        <v>1488</v>
      </c>
      <c r="Q64" s="1599" t="s">
        <v>1489</v>
      </c>
      <c r="R64" s="1599" t="s">
        <v>1490</v>
      </c>
    </row>
    <row r="65" spans="1:18" s="1570" customFormat="1" ht="13.8" thickBot="1">
      <c r="A65" s="1113" t="s">
        <v>1468</v>
      </c>
      <c r="B65" s="1081" t="s">
        <v>1418</v>
      </c>
      <c r="C65" s="24">
        <f ca="1">ROUND(C56*F65,0)</f>
        <v>796</v>
      </c>
      <c r="D65" s="1095" t="s">
        <v>1419</v>
      </c>
      <c r="E65" s="1081" t="s">
        <v>1420</v>
      </c>
      <c r="F65" s="336">
        <f t="shared" ca="1" si="0"/>
        <v>2E-3</v>
      </c>
      <c r="I65" s="1648" t="s">
        <v>1544</v>
      </c>
      <c r="J65" s="1649">
        <v>40</v>
      </c>
      <c r="K65" s="1649">
        <v>30</v>
      </c>
      <c r="L65" s="1649">
        <v>50</v>
      </c>
      <c r="M65" s="1651">
        <v>0.02</v>
      </c>
      <c r="O65" s="1604" t="s">
        <v>1008</v>
      </c>
      <c r="P65" s="1605" t="s">
        <v>1545</v>
      </c>
      <c r="Q65" s="1606">
        <f ca="1">C40+J29</f>
        <v>4267371</v>
      </c>
      <c r="R65" s="1606" t="s">
        <v>1494</v>
      </c>
    </row>
    <row r="66" spans="1:18" s="1570" customFormat="1" ht="16.2" thickBot="1">
      <c r="A66" s="1113" t="s">
        <v>1469</v>
      </c>
      <c r="B66" s="1081" t="s">
        <v>1404</v>
      </c>
      <c r="C66" s="24">
        <f ca="1">ROUND(C48*F66,0)</f>
        <v>1697</v>
      </c>
      <c r="D66" s="1095" t="s">
        <v>1470</v>
      </c>
      <c r="E66" s="1081" t="s">
        <v>1387</v>
      </c>
      <c r="F66" s="318">
        <f t="shared" ca="1" si="0"/>
        <v>0.02</v>
      </c>
      <c r="O66" s="1604" t="s">
        <v>1009</v>
      </c>
      <c r="P66" s="1605" t="s">
        <v>1523</v>
      </c>
      <c r="Q66" s="1606">
        <f ca="1">L60</f>
        <v>0</v>
      </c>
      <c r="R66" s="1606" t="s">
        <v>1546</v>
      </c>
    </row>
    <row r="67" spans="1:18" s="1570" customFormat="1" ht="24.6" thickBot="1">
      <c r="A67" s="1088" t="s">
        <v>999</v>
      </c>
      <c r="B67" s="1098" t="s">
        <v>1428</v>
      </c>
      <c r="C67" s="322">
        <f ca="1">C48-C58</f>
        <v>66346</v>
      </c>
      <c r="D67" s="1094" t="s">
        <v>1429</v>
      </c>
      <c r="E67" s="1099"/>
      <c r="F67" s="1100"/>
      <c r="O67" s="1614" t="s">
        <v>1010</v>
      </c>
      <c r="P67" s="1605" t="s">
        <v>1527</v>
      </c>
      <c r="Q67" s="1652">
        <f ca="1">L51</f>
        <v>2816814</v>
      </c>
      <c r="R67" s="1606" t="s">
        <v>1547</v>
      </c>
    </row>
    <row r="68" spans="1:18" s="1570" customFormat="1" ht="16.2" thickBot="1">
      <c r="A68" s="1078" t="s">
        <v>1000</v>
      </c>
      <c r="B68" s="1079" t="s">
        <v>1450</v>
      </c>
      <c r="C68" s="307">
        <f ca="1">ROUND(C67*(1-((1+F70)/(1+F68))^F69)/(F68-F70),0)</f>
        <v>1479600</v>
      </c>
      <c r="D68" s="1096" t="s">
        <v>1434</v>
      </c>
      <c r="E68" s="1081" t="s">
        <v>1435</v>
      </c>
      <c r="F68" s="318">
        <f ca="1">F40</f>
        <v>5.5E-2</v>
      </c>
      <c r="O68" s="1614" t="s">
        <v>1011</v>
      </c>
      <c r="P68" s="1653" t="s">
        <v>1548</v>
      </c>
      <c r="Q68" s="1606">
        <f ca="1">ROUND(Q69-Q70*Q71,0)</f>
        <v>157539</v>
      </c>
      <c r="R68" s="1606" t="s">
        <v>1019</v>
      </c>
    </row>
    <row r="69" spans="1:18" s="1570" customFormat="1" ht="13.8" thickBot="1">
      <c r="A69" s="1082"/>
      <c r="B69" s="1083"/>
      <c r="C69" s="312"/>
      <c r="D69" s="1101" t="s">
        <v>1438</v>
      </c>
      <c r="E69" s="1081" t="s">
        <v>1439</v>
      </c>
      <c r="F69" s="339">
        <f ca="1">F41</f>
        <v>34</v>
      </c>
      <c r="O69" s="1614" t="s">
        <v>1016</v>
      </c>
      <c r="P69" s="1653" t="s">
        <v>1549</v>
      </c>
      <c r="Q69" s="1606">
        <f ca="1">C39</f>
        <v>191351</v>
      </c>
      <c r="R69" s="1606" t="s">
        <v>1494</v>
      </c>
    </row>
    <row r="70" spans="1:18" s="1570" customFormat="1" ht="13.8" thickBot="1">
      <c r="A70" s="1085"/>
      <c r="B70" s="1086"/>
      <c r="C70" s="316"/>
      <c r="D70" s="1097"/>
      <c r="E70" s="1081" t="s">
        <v>1442</v>
      </c>
      <c r="F70" s="1185">
        <f ca="1">F42</f>
        <v>0.03</v>
      </c>
      <c r="O70" s="1614" t="s">
        <v>1017</v>
      </c>
      <c r="P70" s="1653" t="s">
        <v>1550</v>
      </c>
      <c r="Q70" s="1606">
        <f ca="1">C13</f>
        <v>397784</v>
      </c>
      <c r="R70" s="1606" t="s">
        <v>1494</v>
      </c>
    </row>
    <row r="71" spans="1:18" s="1570" customFormat="1" ht="13.8" thickBot="1">
      <c r="A71" s="1102" t="s">
        <v>1001</v>
      </c>
      <c r="B71" s="1103" t="s">
        <v>1452</v>
      </c>
      <c r="C71" s="342">
        <f ca="1">ROUND(C68/F71,0)</f>
        <v>12733</v>
      </c>
      <c r="D71" s="1104" t="s">
        <v>1453</v>
      </c>
      <c r="E71" s="1105" t="s">
        <v>1454</v>
      </c>
      <c r="F71" s="345">
        <f ca="1">F43</f>
        <v>116.2</v>
      </c>
      <c r="O71" s="1614" t="s">
        <v>1018</v>
      </c>
      <c r="P71" s="1653" t="s">
        <v>1551</v>
      </c>
      <c r="Q71" s="1617">
        <f ca="1">C76</f>
        <v>8.5000000000000006E-2</v>
      </c>
      <c r="R71" s="1606"/>
    </row>
    <row r="72" spans="1:18" s="1570" customFormat="1" ht="13.8" thickBot="1">
      <c r="B72" s="735"/>
      <c r="C72" s="735"/>
      <c r="O72" s="1614" t="s">
        <v>1012</v>
      </c>
      <c r="P72" s="1605" t="s">
        <v>1529</v>
      </c>
      <c r="Q72" s="1617">
        <f>L52</f>
        <v>0</v>
      </c>
      <c r="R72" s="1606"/>
    </row>
    <row r="73" spans="1:18" ht="16.2" thickBot="1">
      <c r="A73" s="1570"/>
      <c r="B73" s="735"/>
      <c r="C73" s="735"/>
      <c r="D73" s="1570"/>
      <c r="E73" s="1570"/>
      <c r="F73" s="1570"/>
      <c r="O73" s="1614" t="s">
        <v>1013</v>
      </c>
      <c r="P73" s="1605" t="s">
        <v>1532</v>
      </c>
      <c r="Q73" s="1606" t="e">
        <f ca="1">L58</f>
        <v>#DIV/0!</v>
      </c>
      <c r="R73" s="1606" t="s">
        <v>1533</v>
      </c>
    </row>
    <row r="74" spans="1:18" ht="13.8"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8" thickBot="1">
      <c r="A75" s="1570"/>
      <c r="B75" s="346" t="s">
        <v>1471</v>
      </c>
      <c r="C75" s="347">
        <f ca="1">ROUND(C13*C76,0)</f>
        <v>33812</v>
      </c>
      <c r="D75" s="1570"/>
      <c r="E75" s="1570"/>
      <c r="F75" s="1570"/>
      <c r="K75" s="1588"/>
      <c r="L75" s="1570"/>
      <c r="O75" s="1604" t="s">
        <v>1014</v>
      </c>
      <c r="P75" s="1605" t="s">
        <v>1514</v>
      </c>
      <c r="Q75" s="1606">
        <f ca="1">Q65+Q66</f>
        <v>4267371</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0.82299999999999995</v>
      </c>
    </row>
    <row r="80" spans="1:18">
      <c r="B80" s="346" t="s">
        <v>1476</v>
      </c>
      <c r="C80" s="280">
        <f ca="1">ROUND(C75/C39,3)</f>
        <v>0.17699999999999999</v>
      </c>
    </row>
    <row r="81" spans="2:3">
      <c r="B81" s="276" t="s">
        <v>1477</v>
      </c>
      <c r="C81" s="244"/>
    </row>
    <row r="82" spans="2:3">
      <c r="B82" s="279" t="s">
        <v>1478</v>
      </c>
      <c r="C82" s="281">
        <f ca="1">1-C83</f>
        <v>0.90700000000000003</v>
      </c>
    </row>
    <row r="83" spans="2:3">
      <c r="B83" s="279" t="s">
        <v>1479</v>
      </c>
      <c r="C83" s="280">
        <f ca="1">ROUND(C13/C40,3)</f>
        <v>9.2999999999999999E-2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64" customWidth="1"/>
    <col min="2" max="2" width="12" style="1664" customWidth="1"/>
    <col min="3" max="3" width="9" style="1664"/>
    <col min="4" max="4" width="14.109375" style="1664" customWidth="1"/>
    <col min="5" max="5" width="9" style="1664"/>
    <col min="6" max="6" width="12.88671875" style="1664" customWidth="1"/>
    <col min="7" max="16384" width="9" style="1664"/>
  </cols>
  <sheetData>
    <row r="1" spans="1:22" ht="21.6">
      <c r="A1" s="2055" t="s">
        <v>2348</v>
      </c>
      <c r="B1" s="2056"/>
      <c r="C1" s="2056"/>
      <c r="D1" s="2056"/>
      <c r="E1" s="2057"/>
      <c r="F1" s="2935"/>
      <c r="G1" s="1676"/>
      <c r="H1" s="1676"/>
      <c r="I1" s="1676"/>
      <c r="J1" s="1676"/>
      <c r="K1" s="1676"/>
      <c r="L1" s="1676"/>
      <c r="M1" s="1676"/>
      <c r="N1" s="1676"/>
      <c r="O1" s="1676"/>
      <c r="P1" s="1676"/>
      <c r="Q1" s="1676"/>
      <c r="R1" s="1676"/>
      <c r="S1" s="1676"/>
    </row>
    <row r="2" spans="1:22" ht="15.6">
      <c r="A2" s="2058" t="s">
        <v>2149</v>
      </c>
      <c r="B2" s="2059">
        <f ca="1">SUMIF(B6:B13,"&lt;&gt;#ref!",B6:B13)</f>
        <v>428</v>
      </c>
      <c r="C2" s="2060" t="s">
        <v>2341</v>
      </c>
      <c r="D2" s="2061" t="s">
        <v>2342</v>
      </c>
      <c r="E2" s="2832">
        <f>SUM(E6:E13)</f>
        <v>116.2</v>
      </c>
      <c r="F2" s="2935"/>
      <c r="G2" s="1676"/>
      <c r="H2" s="1676"/>
      <c r="I2" s="1676"/>
      <c r="J2" s="1676"/>
      <c r="K2" s="1676"/>
      <c r="L2" s="1676"/>
      <c r="M2" s="1676"/>
      <c r="N2" s="1676"/>
      <c r="O2" s="1676"/>
      <c r="P2" s="1676"/>
      <c r="Q2" s="1676"/>
      <c r="R2" s="1676"/>
      <c r="S2" s="1676"/>
    </row>
    <row r="3" spans="1:22" ht="15.6">
      <c r="A3" s="2058" t="s">
        <v>1360</v>
      </c>
      <c r="B3" s="2826">
        <f ca="1">ROUND(B2*10000/E2,0)</f>
        <v>36833</v>
      </c>
      <c r="C3" s="2060" t="s">
        <v>2349</v>
      </c>
      <c r="D3" s="2937"/>
      <c r="E3" s="2939"/>
      <c r="F3" s="2935"/>
      <c r="G3" s="1676"/>
      <c r="H3" s="1676"/>
      <c r="I3" s="1676"/>
      <c r="J3" s="1676"/>
      <c r="K3" s="1676"/>
      <c r="L3" s="1676"/>
      <c r="M3" s="1676"/>
      <c r="N3" s="1676"/>
      <c r="O3" s="1676"/>
      <c r="P3" s="1676"/>
      <c r="Q3" s="1676"/>
      <c r="R3" s="1676"/>
      <c r="S3" s="1676"/>
    </row>
    <row r="4" spans="1:22" ht="15.6">
      <c r="A4" s="2940"/>
      <c r="B4" s="2937"/>
      <c r="C4" s="2937"/>
      <c r="D4" s="2937"/>
      <c r="E4" s="2939"/>
      <c r="F4" s="2935"/>
      <c r="G4" s="1676"/>
      <c r="H4" s="1676"/>
      <c r="I4" s="1676"/>
      <c r="J4" s="1676"/>
      <c r="K4" s="1676"/>
      <c r="L4" s="1676"/>
      <c r="M4" s="1676"/>
      <c r="N4" s="1676"/>
      <c r="O4" s="1676"/>
      <c r="P4" s="1676"/>
      <c r="Q4" s="1676"/>
      <c r="R4" s="1676"/>
      <c r="S4" s="1676"/>
    </row>
    <row r="5" spans="1:22" ht="14.4">
      <c r="A5" s="2828" t="s">
        <v>2343</v>
      </c>
      <c r="B5" s="3288" t="s">
        <v>2344</v>
      </c>
      <c r="C5" s="3289"/>
      <c r="D5" s="2936"/>
      <c r="E5" s="2062" t="s">
        <v>2345</v>
      </c>
      <c r="F5" s="2063" t="s">
        <v>2346</v>
      </c>
      <c r="G5" s="1676"/>
      <c r="H5" s="1676"/>
      <c r="I5" s="1676"/>
      <c r="J5" s="1676"/>
      <c r="K5" s="1676"/>
      <c r="L5" s="1676"/>
      <c r="M5" s="1676"/>
      <c r="N5" s="1676"/>
      <c r="O5" s="1676"/>
      <c r="P5" s="1676"/>
      <c r="Q5" s="1676"/>
      <c r="R5" s="1676"/>
      <c r="S5" s="1676"/>
    </row>
    <row r="6" spans="1:22" ht="14.4">
      <c r="A6" s="2829" t="str">
        <f>'数据-取费表'!AN6</f>
        <v>收益法 (元)</v>
      </c>
      <c r="B6" s="2827">
        <f ca="1">IF(F6="是",'数据-取费表'!AO6,0)</f>
        <v>428</v>
      </c>
      <c r="C6" s="2060" t="s">
        <v>2341</v>
      </c>
      <c r="D6" s="2937"/>
      <c r="E6" s="2831">
        <f>IF(OR(A6=0,F6="否"),0,'数据-取费表'!K6+'数据-取费表'!S6)</f>
        <v>116.2</v>
      </c>
      <c r="F6" s="2064" t="s">
        <v>2347</v>
      </c>
      <c r="G6" s="1676"/>
      <c r="H6" s="1676"/>
      <c r="I6" s="1676"/>
      <c r="J6" s="1676"/>
      <c r="K6" s="1676"/>
      <c r="L6" s="1676"/>
      <c r="M6" s="1676"/>
      <c r="N6" s="1676"/>
      <c r="O6" s="1676"/>
      <c r="P6" s="1676"/>
      <c r="Q6" s="1676"/>
      <c r="R6" s="1676"/>
      <c r="S6" s="1676"/>
    </row>
    <row r="7" spans="1:22" ht="14.4">
      <c r="A7" s="2829">
        <f>'数据-取费表'!AN7</f>
        <v>0</v>
      </c>
      <c r="B7" s="2827" t="e">
        <f ca="1">IF(F7="是",'数据-取费表'!AO7,0)</f>
        <v>#REF!</v>
      </c>
      <c r="C7" s="2060" t="s">
        <v>2341</v>
      </c>
      <c r="D7" s="2937"/>
      <c r="E7" s="2831">
        <f>IF(OR(A7=0,F7="否"),0,'数据-取费表'!K7+'数据-取费表'!S7)</f>
        <v>0</v>
      </c>
      <c r="F7" s="2064" t="s">
        <v>2347</v>
      </c>
      <c r="G7" s="1676"/>
      <c r="H7" s="1676"/>
      <c r="I7" s="1676"/>
      <c r="J7" s="1676"/>
      <c r="K7" s="1676"/>
      <c r="L7" s="1676"/>
      <c r="M7" s="1676"/>
      <c r="N7" s="1676"/>
      <c r="O7" s="1676"/>
      <c r="P7" s="1676"/>
      <c r="Q7" s="1676"/>
      <c r="R7" s="1676"/>
      <c r="S7" s="1676"/>
    </row>
    <row r="8" spans="1:22" ht="14.4">
      <c r="A8" s="2829">
        <f>'数据-取费表'!AN8</f>
        <v>0</v>
      </c>
      <c r="B8" s="2827" t="e">
        <f ca="1">IF(F8="是",'数据-取费表'!AO8,0)</f>
        <v>#REF!</v>
      </c>
      <c r="C8" s="2060" t="s">
        <v>2341</v>
      </c>
      <c r="D8" s="2937"/>
      <c r="E8" s="2831">
        <f>IF(OR(A8=0,F8="否"),0,'数据-取费表'!K8+'数据-取费表'!S8)</f>
        <v>0</v>
      </c>
      <c r="F8" s="2064" t="s">
        <v>2347</v>
      </c>
      <c r="G8" s="1676"/>
      <c r="H8" s="1676"/>
      <c r="I8" s="1676"/>
      <c r="J8" s="1676"/>
      <c r="K8" s="1676"/>
      <c r="L8" s="1676"/>
      <c r="M8" s="1676"/>
      <c r="N8" s="1676"/>
      <c r="O8" s="1676"/>
      <c r="P8" s="1676"/>
      <c r="Q8" s="1676"/>
      <c r="R8" s="1676"/>
      <c r="S8" s="1676"/>
    </row>
    <row r="9" spans="1:22" ht="14.4">
      <c r="A9" s="2829">
        <f>'数据-取费表'!AN9</f>
        <v>0</v>
      </c>
      <c r="B9" s="2827" t="e">
        <f ca="1">IF(F9="是",'数据-取费表'!AO9,0)</f>
        <v>#REF!</v>
      </c>
      <c r="C9" s="2060" t="s">
        <v>2341</v>
      </c>
      <c r="D9" s="2937"/>
      <c r="E9" s="2831">
        <f>IF(OR(A9=0,F9="否"),0,'数据-取费表'!K9+'数据-取费表'!S9)</f>
        <v>0</v>
      </c>
      <c r="F9" s="2064" t="s">
        <v>2347</v>
      </c>
      <c r="G9" s="1676"/>
      <c r="H9" s="1676"/>
      <c r="I9" s="1676"/>
      <c r="J9" s="1676"/>
      <c r="K9" s="1676"/>
      <c r="L9" s="1676"/>
      <c r="M9" s="1676"/>
      <c r="N9" s="1676"/>
      <c r="O9" s="1676"/>
      <c r="P9" s="1676"/>
      <c r="Q9" s="1676"/>
      <c r="R9" s="1676"/>
      <c r="S9" s="1676"/>
    </row>
    <row r="10" spans="1:22" ht="14.4">
      <c r="A10" s="2829">
        <f>'数据-取费表'!AN10</f>
        <v>0</v>
      </c>
      <c r="B10" s="2827" t="e">
        <f ca="1">IF(F10="是",'数据-取费表'!AO10,0)</f>
        <v>#REF!</v>
      </c>
      <c r="C10" s="2060" t="s">
        <v>2341</v>
      </c>
      <c r="D10" s="2937"/>
      <c r="E10" s="2831">
        <f>IF(OR(A10=0,F10="否"),0,'数据-取费表'!K10+'数据-取费表'!S10)</f>
        <v>0</v>
      </c>
      <c r="F10" s="2064" t="s">
        <v>2347</v>
      </c>
      <c r="G10" s="1676"/>
      <c r="H10" s="1676"/>
      <c r="I10" s="1676"/>
      <c r="J10" s="1676"/>
      <c r="K10" s="1676"/>
      <c r="L10" s="1676"/>
      <c r="M10" s="1676"/>
      <c r="N10" s="1676"/>
      <c r="O10" s="1676"/>
      <c r="P10" s="1676"/>
      <c r="Q10" s="1676"/>
      <c r="R10" s="1676"/>
      <c r="S10" s="1676"/>
    </row>
    <row r="11" spans="1:22" ht="14.4">
      <c r="A11" s="2829">
        <f>'数据-取费表'!AN11</f>
        <v>0</v>
      </c>
      <c r="B11" s="2827" t="e">
        <f ca="1">IF(F11="是",'数据-取费表'!AO11,0)</f>
        <v>#REF!</v>
      </c>
      <c r="C11" s="2060" t="s">
        <v>2341</v>
      </c>
      <c r="D11" s="2937"/>
      <c r="E11" s="2831">
        <f>IF(OR(A11=0,F11="否"),0,'数据-取费表'!K11+'数据-取费表'!S11)</f>
        <v>0</v>
      </c>
      <c r="F11" s="2064" t="s">
        <v>2347</v>
      </c>
      <c r="G11" s="1676"/>
      <c r="H11" s="1676"/>
      <c r="I11" s="1676"/>
      <c r="J11" s="1676"/>
      <c r="K11" s="1676"/>
      <c r="L11" s="1676"/>
      <c r="M11" s="1676"/>
      <c r="N11" s="1676"/>
      <c r="O11" s="1676"/>
      <c r="P11" s="1676"/>
      <c r="Q11" s="1676"/>
      <c r="R11" s="1676"/>
      <c r="S11" s="1676"/>
    </row>
    <row r="12" spans="1:22" ht="14.4">
      <c r="A12" s="2829">
        <f>'数据-取费表'!AN12</f>
        <v>0</v>
      </c>
      <c r="B12" s="2827" t="e">
        <f ca="1">IF(F12="是",'数据-取费表'!AO12,0)</f>
        <v>#REF!</v>
      </c>
      <c r="C12" s="2060" t="s">
        <v>2341</v>
      </c>
      <c r="D12" s="2937"/>
      <c r="E12" s="2831">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0">
        <f>'数据-取费表'!AN13</f>
        <v>0</v>
      </c>
      <c r="B13" s="2827" t="e">
        <f ca="1">IF(F13="是",'数据-取费表'!AO13,0)</f>
        <v>#REF!</v>
      </c>
      <c r="C13" s="2065" t="s">
        <v>2341</v>
      </c>
      <c r="D13" s="2938"/>
      <c r="E13" s="2831">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306" t="s">
        <v>1044</v>
      </c>
      <c r="B1" s="3307"/>
      <c r="C1" s="3308"/>
      <c r="D1" s="3309">
        <f>SUM(I10,I15,I20,I21,I23)</f>
        <v>0</v>
      </c>
      <c r="E1" s="3309"/>
      <c r="F1" s="3309"/>
      <c r="G1" s="3309"/>
      <c r="H1" s="3309"/>
      <c r="I1" s="3310"/>
    </row>
    <row r="2" spans="1:9">
      <c r="A2" s="3296" t="s">
        <v>1045</v>
      </c>
      <c r="B2" s="3297" t="s">
        <v>1046</v>
      </c>
      <c r="C2" s="3297"/>
      <c r="D2" s="1211" t="s">
        <v>1047</v>
      </c>
      <c r="E2" s="1211" t="s">
        <v>1048</v>
      </c>
      <c r="F2" s="1211" t="s">
        <v>1049</v>
      </c>
      <c r="G2" s="1211" t="s">
        <v>1050</v>
      </c>
      <c r="H2" s="1211" t="s">
        <v>1051</v>
      </c>
      <c r="I2" s="1212" t="s">
        <v>1052</v>
      </c>
    </row>
    <row r="3" spans="1:9">
      <c r="A3" s="3296"/>
      <c r="B3" s="3297" t="s">
        <v>1053</v>
      </c>
      <c r="C3" s="3297"/>
      <c r="D3" s="1213"/>
      <c r="E3" s="1211"/>
      <c r="F3" s="1214"/>
      <c r="G3" s="1214"/>
      <c r="H3" s="1215"/>
      <c r="I3" s="1216">
        <f>ROUND(D3*E3*F3*G3*H3/10000,0)</f>
        <v>0</v>
      </c>
    </row>
    <row r="4" spans="1:9">
      <c r="A4" s="3296"/>
      <c r="B4" s="3297" t="s">
        <v>1054</v>
      </c>
      <c r="C4" s="3297"/>
      <c r="D4" s="1213"/>
      <c r="E4" s="1211"/>
      <c r="F4" s="1214"/>
      <c r="G4" s="1214"/>
      <c r="H4" s="1215"/>
      <c r="I4" s="1216">
        <f t="shared" ref="I4:I9" si="0">ROUND(D4*E4*F4*G4*H4/10000,0)</f>
        <v>0</v>
      </c>
    </row>
    <row r="5" spans="1:9">
      <c r="A5" s="3296"/>
      <c r="B5" s="3297" t="s">
        <v>1055</v>
      </c>
      <c r="C5" s="3297"/>
      <c r="D5" s="1213"/>
      <c r="E5" s="1211"/>
      <c r="F5" s="1214"/>
      <c r="G5" s="1214"/>
      <c r="H5" s="1215"/>
      <c r="I5" s="1216">
        <f t="shared" si="0"/>
        <v>0</v>
      </c>
    </row>
    <row r="6" spans="1:9">
      <c r="A6" s="3296"/>
      <c r="B6" s="3297" t="s">
        <v>1056</v>
      </c>
      <c r="C6" s="3297"/>
      <c r="D6" s="1213"/>
      <c r="E6" s="1211"/>
      <c r="F6" s="1214"/>
      <c r="G6" s="1214"/>
      <c r="H6" s="1215"/>
      <c r="I6" s="1216">
        <f t="shared" si="0"/>
        <v>0</v>
      </c>
    </row>
    <row r="7" spans="1:9">
      <c r="A7" s="3296"/>
      <c r="B7" s="3297" t="s">
        <v>1057</v>
      </c>
      <c r="C7" s="3297"/>
      <c r="D7" s="1213"/>
      <c r="E7" s="1211"/>
      <c r="F7" s="1214"/>
      <c r="G7" s="1214"/>
      <c r="H7" s="1215"/>
      <c r="I7" s="1216">
        <f t="shared" si="0"/>
        <v>0</v>
      </c>
    </row>
    <row r="8" spans="1:9">
      <c r="A8" s="3296"/>
      <c r="B8" s="3297" t="s">
        <v>1058</v>
      </c>
      <c r="C8" s="3297"/>
      <c r="D8" s="1213"/>
      <c r="E8" s="1211"/>
      <c r="F8" s="1214"/>
      <c r="G8" s="1214"/>
      <c r="H8" s="1215"/>
      <c r="I8" s="1216">
        <f t="shared" si="0"/>
        <v>0</v>
      </c>
    </row>
    <row r="9" spans="1:9">
      <c r="A9" s="3296"/>
      <c r="B9" s="3297" t="s">
        <v>1059</v>
      </c>
      <c r="C9" s="3297"/>
      <c r="D9" s="1213"/>
      <c r="E9" s="1211"/>
      <c r="F9" s="1214"/>
      <c r="G9" s="1214"/>
      <c r="H9" s="1215"/>
      <c r="I9" s="1216">
        <f t="shared" si="0"/>
        <v>0</v>
      </c>
    </row>
    <row r="10" spans="1:9">
      <c r="A10" s="3296"/>
      <c r="B10" s="3298" t="s">
        <v>1060</v>
      </c>
      <c r="C10" s="3298"/>
      <c r="D10" s="1217"/>
      <c r="E10" s="1217" t="e">
        <f>ROUND(D1*10000/D10/H9,0)</f>
        <v>#DIV/0!</v>
      </c>
      <c r="F10" s="1218"/>
      <c r="G10" s="1218"/>
      <c r="H10" s="1219"/>
      <c r="I10" s="1220">
        <f>SUM(I3:I9)</f>
        <v>0</v>
      </c>
    </row>
    <row r="11" spans="1:9" ht="15.6">
      <c r="A11" s="3296" t="s">
        <v>1061</v>
      </c>
      <c r="B11" s="3297" t="s">
        <v>1062</v>
      </c>
      <c r="C11" s="3297"/>
      <c r="D11" s="1213" t="s">
        <v>1063</v>
      </c>
      <c r="E11" s="1213" t="s">
        <v>1064</v>
      </c>
      <c r="F11" s="1214" t="s">
        <v>1065</v>
      </c>
      <c r="G11" s="1214" t="s">
        <v>1051</v>
      </c>
      <c r="H11" s="1221" t="s">
        <v>1066</v>
      </c>
      <c r="I11" s="1212" t="s">
        <v>1052</v>
      </c>
    </row>
    <row r="12" spans="1:9">
      <c r="A12" s="3296"/>
      <c r="B12" s="3297" t="s">
        <v>1067</v>
      </c>
      <c r="C12" s="3297"/>
      <c r="D12" s="1213"/>
      <c r="E12" s="1213"/>
      <c r="F12" s="1214"/>
      <c r="G12" s="1215"/>
      <c r="H12" s="1222"/>
      <c r="I12" s="1212">
        <f>ROUND(D12*E12*F12*G12/10000,0)</f>
        <v>0</v>
      </c>
    </row>
    <row r="13" spans="1:9">
      <c r="A13" s="3296"/>
      <c r="B13" s="3297" t="s">
        <v>1068</v>
      </c>
      <c r="C13" s="3297"/>
      <c r="D13" s="1213"/>
      <c r="E13" s="1213"/>
      <c r="F13" s="1214"/>
      <c r="G13" s="1215"/>
      <c r="H13" s="1222"/>
      <c r="I13" s="1212">
        <f>ROUND(D13*E13*F13*G13/10000,0)</f>
        <v>0</v>
      </c>
    </row>
    <row r="14" spans="1:9">
      <c r="A14" s="3296"/>
      <c r="B14" s="3297" t="s">
        <v>1069</v>
      </c>
      <c r="C14" s="3297"/>
      <c r="D14" s="1213"/>
      <c r="E14" s="1213"/>
      <c r="F14" s="1214"/>
      <c r="G14" s="1215"/>
      <c r="H14" s="1222"/>
      <c r="I14" s="1212">
        <f>ROUND(D14*E14*F14*G14/10000,0)</f>
        <v>0</v>
      </c>
    </row>
    <row r="15" spans="1:9">
      <c r="A15" s="3296"/>
      <c r="B15" s="3298" t="s">
        <v>1060</v>
      </c>
      <c r="C15" s="3298"/>
      <c r="D15" s="1217"/>
      <c r="E15" s="1217">
        <f>SUM(E12:E14)</f>
        <v>0</v>
      </c>
      <c r="F15" s="1218"/>
      <c r="G15" s="1215"/>
      <c r="H15" s="1222"/>
      <c r="I15" s="1223">
        <f>SUM(I12:I14)</f>
        <v>0</v>
      </c>
    </row>
    <row r="16" spans="1:9" ht="24">
      <c r="A16" s="3296" t="s">
        <v>1070</v>
      </c>
      <c r="B16" s="3297" t="s">
        <v>1071</v>
      </c>
      <c r="C16" s="3297"/>
      <c r="D16" s="1213" t="s">
        <v>1047</v>
      </c>
      <c r="E16" s="1224" t="s">
        <v>1072</v>
      </c>
      <c r="F16" s="1214" t="s">
        <v>1073</v>
      </c>
      <c r="G16" s="1215" t="s">
        <v>1051</v>
      </c>
      <c r="H16" s="1221" t="s">
        <v>1066</v>
      </c>
      <c r="I16" s="1212" t="s">
        <v>1052</v>
      </c>
    </row>
    <row r="17" spans="1:9" ht="15.6">
      <c r="A17" s="3296"/>
      <c r="B17" s="3297" t="s">
        <v>1074</v>
      </c>
      <c r="C17" s="3297"/>
      <c r="D17" s="1213"/>
      <c r="E17" s="1213"/>
      <c r="F17" s="1214"/>
      <c r="G17" s="1215"/>
      <c r="H17" s="1225"/>
      <c r="I17" s="1226">
        <f>ROUND(D17*E17*F17*G17/10000,0)</f>
        <v>0</v>
      </c>
    </row>
    <row r="18" spans="1:9" ht="15.6">
      <c r="A18" s="3296"/>
      <c r="B18" s="3297" t="s">
        <v>1075</v>
      </c>
      <c r="C18" s="3297"/>
      <c r="D18" s="1213"/>
      <c r="E18" s="1213"/>
      <c r="F18" s="1214"/>
      <c r="G18" s="1215"/>
      <c r="H18" s="1225"/>
      <c r="I18" s="1226">
        <f>ROUND(D18*E18*F18*G18/10000,0)</f>
        <v>0</v>
      </c>
    </row>
    <row r="19" spans="1:9" ht="15.6">
      <c r="A19" s="3296"/>
      <c r="B19" s="3297" t="s">
        <v>1076</v>
      </c>
      <c r="C19" s="3297"/>
      <c r="D19" s="1213"/>
      <c r="E19" s="1213"/>
      <c r="F19" s="1214"/>
      <c r="G19" s="1215"/>
      <c r="H19" s="1225"/>
      <c r="I19" s="1226">
        <f>ROUND(D19*E19*F19*G19/10000,0)</f>
        <v>0</v>
      </c>
    </row>
    <row r="20" spans="1:9">
      <c r="A20" s="3296"/>
      <c r="B20" s="3298" t="s">
        <v>1060</v>
      </c>
      <c r="C20" s="3298"/>
      <c r="D20" s="1217">
        <f>SUM(D17:D19)</f>
        <v>0</v>
      </c>
      <c r="E20" s="1217"/>
      <c r="F20" s="1218"/>
      <c r="G20" s="1215"/>
      <c r="H20" s="1222"/>
      <c r="I20" s="1223">
        <f>SUM(I17:I19)</f>
        <v>0</v>
      </c>
    </row>
    <row r="21" spans="1:9">
      <c r="A21" s="3296" t="s">
        <v>1077</v>
      </c>
      <c r="B21" s="3299"/>
      <c r="C21" s="3299"/>
      <c r="D21" s="3299"/>
      <c r="E21" s="3299"/>
      <c r="F21" s="3299"/>
      <c r="G21" s="3299"/>
      <c r="H21" s="1504">
        <v>0.1</v>
      </c>
      <c r="I21" s="1220">
        <f>ROUND(I10*H21,0)</f>
        <v>0</v>
      </c>
    </row>
    <row r="22" spans="1:9" ht="15.6">
      <c r="A22" s="3300" t="s">
        <v>1078</v>
      </c>
      <c r="B22" s="3301"/>
      <c r="C22" s="3302"/>
      <c r="D22" s="1227" t="s">
        <v>1079</v>
      </c>
      <c r="E22" s="1227" t="s">
        <v>1080</v>
      </c>
      <c r="F22" s="1228" t="s">
        <v>1081</v>
      </c>
      <c r="G22" s="1228" t="s">
        <v>1082</v>
      </c>
      <c r="H22" s="1221" t="s">
        <v>1083</v>
      </c>
      <c r="I22" s="1212" t="s">
        <v>1084</v>
      </c>
    </row>
    <row r="23" spans="1:9" ht="15" thickBot="1">
      <c r="A23" s="3303"/>
      <c r="B23" s="3304"/>
      <c r="C23" s="3305"/>
      <c r="D23" s="1229"/>
      <c r="E23" s="1229"/>
      <c r="F23" s="1229"/>
      <c r="G23" s="1230"/>
      <c r="H23" s="1231"/>
      <c r="I23" s="1232">
        <f>ROUND(E23*D23*F23*(1-G23)/10000,0)</f>
        <v>0</v>
      </c>
    </row>
    <row r="26" spans="1:9">
      <c r="A26" s="1233" t="s">
        <v>1085</v>
      </c>
      <c r="B26" s="1233"/>
      <c r="C26" s="1233"/>
      <c r="D26" s="1233"/>
      <c r="E26" s="3293">
        <f>C27-C30-C31-C32</f>
        <v>0</v>
      </c>
      <c r="F26" s="3293"/>
      <c r="G26" s="3293"/>
      <c r="H26" s="1501" t="s">
        <v>1306</v>
      </c>
    </row>
    <row r="27" spans="1:9">
      <c r="A27" s="1234">
        <v>1</v>
      </c>
      <c r="B27" s="1235" t="s">
        <v>1086</v>
      </c>
      <c r="C27" s="1235">
        <f>C28+C29</f>
        <v>0</v>
      </c>
      <c r="D27" s="1235"/>
      <c r="E27" s="3294"/>
      <c r="F27" s="3294"/>
      <c r="G27" s="3294"/>
    </row>
    <row r="28" spans="1:9">
      <c r="A28" s="1236" t="s">
        <v>1087</v>
      </c>
      <c r="B28" s="1235" t="s">
        <v>1088</v>
      </c>
      <c r="C28" s="1235"/>
      <c r="D28" s="1235"/>
      <c r="E28" s="3294"/>
      <c r="F28" s="3294"/>
      <c r="G28" s="329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5"/>
      <c r="F32" s="3295"/>
      <c r="G32" s="3295"/>
    </row>
    <row r="33" spans="1:7" hidden="1">
      <c r="A33" s="3290" t="s">
        <v>1097</v>
      </c>
      <c r="B33" s="3291"/>
      <c r="C33" s="3291"/>
      <c r="D33" s="3292"/>
      <c r="E33" s="3293"/>
      <c r="F33" s="3293"/>
      <c r="G33" s="3293"/>
    </row>
    <row r="34" spans="1:7" hidden="1">
      <c r="A34" s="1238">
        <v>1</v>
      </c>
      <c r="B34" s="1235" t="s">
        <v>1098</v>
      </c>
      <c r="C34" s="1235"/>
      <c r="D34" s="1235"/>
      <c r="E34" s="3294"/>
      <c r="F34" s="3294"/>
      <c r="G34" s="3294"/>
    </row>
    <row r="35" spans="1:7" hidden="1">
      <c r="A35" s="1238">
        <v>2</v>
      </c>
      <c r="B35" s="1235" t="s">
        <v>1099</v>
      </c>
      <c r="C35" s="1235"/>
      <c r="D35" s="1235"/>
      <c r="E35" s="3294"/>
      <c r="F35" s="3294"/>
      <c r="G35" s="3294"/>
    </row>
    <row r="36" spans="1:7" hidden="1">
      <c r="A36" s="1238">
        <v>3</v>
      </c>
      <c r="B36" s="1235" t="s">
        <v>1100</v>
      </c>
      <c r="C36" s="1235"/>
      <c r="D36" s="1235"/>
      <c r="E36" s="3294"/>
      <c r="F36" s="3294"/>
      <c r="G36" s="3294"/>
    </row>
    <row r="37" spans="1:7" hidden="1">
      <c r="A37" s="1238">
        <v>4</v>
      </c>
      <c r="B37" s="1235" t="s">
        <v>1101</v>
      </c>
      <c r="C37" s="1235"/>
      <c r="D37" s="1235"/>
      <c r="E37" s="3294"/>
      <c r="F37" s="3294"/>
      <c r="G37" s="3294"/>
    </row>
    <row r="38" spans="1:7" hidden="1">
      <c r="A38" s="3290" t="s">
        <v>1102</v>
      </c>
      <c r="B38" s="3291"/>
      <c r="C38" s="3291"/>
      <c r="D38" s="3292"/>
      <c r="E38" s="3293"/>
      <c r="F38" s="3293"/>
      <c r="G38" s="32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4"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2350</v>
      </c>
      <c r="B1" s="2066" t="s">
        <v>2351</v>
      </c>
      <c r="C1" s="1406" t="s">
        <v>2352</v>
      </c>
      <c r="D1" s="1393"/>
      <c r="E1" s="2545"/>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1"/>
      <c r="M2" s="2942"/>
      <c r="N2" s="2942"/>
      <c r="O2" s="2942"/>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671.51000000000022</v>
      </c>
      <c r="E3" s="1038"/>
      <c r="F3" s="2076"/>
      <c r="G3" s="1038"/>
      <c r="H3" s="1038"/>
      <c r="I3" s="1038"/>
      <c r="J3" s="1038"/>
      <c r="K3" s="2072"/>
      <c r="L3" s="2941"/>
      <c r="M3" s="2942"/>
      <c r="N3" s="2942"/>
      <c r="O3" s="2942"/>
      <c r="P3" s="2073"/>
      <c r="Q3" s="2074"/>
      <c r="R3" s="2074"/>
      <c r="S3" s="2074"/>
      <c r="T3" s="2074"/>
      <c r="U3" s="2074"/>
      <c r="V3" s="2074"/>
      <c r="W3" s="2074"/>
      <c r="X3" s="2074"/>
      <c r="Y3" s="2074"/>
      <c r="Z3" s="2074"/>
      <c r="AA3" s="2074"/>
      <c r="AB3" s="2074"/>
      <c r="AC3" s="1192"/>
    </row>
    <row r="4" spans="1:29" ht="14.4">
      <c r="A4" s="361" t="s">
        <v>2357</v>
      </c>
      <c r="B4" s="362"/>
      <c r="C4" s="3329" t="s">
        <v>2358</v>
      </c>
      <c r="D4" s="3330"/>
      <c r="E4" s="3331" t="s">
        <v>2359</v>
      </c>
      <c r="F4" s="3332"/>
      <c r="G4" s="3329" t="s">
        <v>2360</v>
      </c>
      <c r="H4" s="3330"/>
      <c r="I4" s="3329" t="s">
        <v>2361</v>
      </c>
      <c r="J4" s="3330"/>
      <c r="K4" s="2077" t="s">
        <v>2362</v>
      </c>
      <c r="L4" s="2943"/>
      <c r="M4" s="2944"/>
      <c r="N4" s="2944"/>
      <c r="O4" s="2944"/>
      <c r="P4" s="3333" t="s">
        <v>2363</v>
      </c>
      <c r="Q4" s="3334"/>
      <c r="R4" s="3339" t="s">
        <v>2359</v>
      </c>
      <c r="S4" s="3340"/>
      <c r="T4" s="3339" t="s">
        <v>2360</v>
      </c>
      <c r="U4" s="3340"/>
      <c r="V4" s="3345" t="s">
        <v>2361</v>
      </c>
      <c r="W4" s="3345"/>
      <c r="X4" s="1541"/>
      <c r="Y4" s="3339" t="s">
        <v>2363</v>
      </c>
      <c r="Z4" s="3340"/>
      <c r="AA4" s="3326" t="s">
        <v>2359</v>
      </c>
      <c r="AB4" s="3326" t="s">
        <v>2360</v>
      </c>
      <c r="AC4" s="3326" t="s">
        <v>2361</v>
      </c>
    </row>
    <row r="5" spans="1:29">
      <c r="A5" s="364"/>
      <c r="B5" s="365"/>
      <c r="C5" s="3348" t="s">
        <v>2364</v>
      </c>
      <c r="D5" s="3349"/>
      <c r="E5" s="3355" t="s">
        <v>2365</v>
      </c>
      <c r="F5" s="3356"/>
      <c r="G5" s="3348" t="s">
        <v>2366</v>
      </c>
      <c r="H5" s="3349"/>
      <c r="I5" s="3348" t="s">
        <v>2367</v>
      </c>
      <c r="J5" s="3349"/>
      <c r="K5" s="2078"/>
      <c r="L5" s="2943"/>
      <c r="M5" s="2944"/>
      <c r="N5" s="2944"/>
      <c r="O5" s="2944"/>
      <c r="P5" s="3335"/>
      <c r="Q5" s="3336"/>
      <c r="R5" s="3341"/>
      <c r="S5" s="3342"/>
      <c r="T5" s="3341"/>
      <c r="U5" s="3342"/>
      <c r="V5" s="3345"/>
      <c r="W5" s="3345"/>
      <c r="X5" s="1541"/>
      <c r="Y5" s="3341"/>
      <c r="Z5" s="3342"/>
      <c r="AA5" s="3327"/>
      <c r="AB5" s="3327"/>
      <c r="AC5" s="3327"/>
    </row>
    <row r="6" spans="1:29" ht="15" thickBot="1">
      <c r="A6" s="366"/>
      <c r="B6" s="367"/>
      <c r="C6" s="3346" t="s">
        <v>2368</v>
      </c>
      <c r="D6" s="3347"/>
      <c r="E6" s="3353" t="s">
        <v>2368</v>
      </c>
      <c r="F6" s="3354"/>
      <c r="G6" s="3346" t="s">
        <v>2368</v>
      </c>
      <c r="H6" s="3347"/>
      <c r="I6" s="3346" t="s">
        <v>2368</v>
      </c>
      <c r="J6" s="3347"/>
      <c r="K6" s="2078" t="s">
        <v>2369</v>
      </c>
      <c r="L6" s="2943"/>
      <c r="M6" s="2944"/>
      <c r="N6" s="2944"/>
      <c r="O6" s="2944"/>
      <c r="P6" s="3337"/>
      <c r="Q6" s="3338"/>
      <c r="R6" s="3341"/>
      <c r="S6" s="3342"/>
      <c r="T6" s="3343"/>
      <c r="U6" s="3344"/>
      <c r="V6" s="3345"/>
      <c r="W6" s="3345"/>
      <c r="X6" s="1541"/>
      <c r="Y6" s="3343"/>
      <c r="Z6" s="3344"/>
      <c r="AA6" s="3328"/>
      <c r="AB6" s="3328"/>
      <c r="AC6" s="3328"/>
    </row>
    <row r="7" spans="1:29" s="113" customFormat="1" ht="15" thickBot="1">
      <c r="A7" s="368" t="s">
        <v>2370</v>
      </c>
      <c r="B7" s="369"/>
      <c r="C7" s="370">
        <f>'数据-取费表'!B2</f>
        <v>44209</v>
      </c>
      <c r="D7" s="371">
        <v>100</v>
      </c>
      <c r="E7" s="372"/>
      <c r="F7" s="373">
        <f>SUMIF(58:58,YEAR(E7)&amp;"-"&amp;MONTH(E7),59:59)</f>
        <v>0</v>
      </c>
      <c r="G7" s="372"/>
      <c r="H7" s="371">
        <f>SUMIF(58:58,YEAR(G7)&amp;"-"&amp;MONTH(G7),59:59)</f>
        <v>0</v>
      </c>
      <c r="I7" s="372"/>
      <c r="J7" s="371">
        <f>SUMIF(58:58,YEAR(I7)&amp;"-"&amp;MONTH(I7),59:59)</f>
        <v>0</v>
      </c>
      <c r="K7" s="2079"/>
      <c r="L7" s="2945"/>
      <c r="M7" s="2946"/>
      <c r="N7" s="2946"/>
      <c r="O7" s="2946"/>
      <c r="P7" s="3350" t="s">
        <v>2371</v>
      </c>
      <c r="Q7" s="3352"/>
      <c r="R7" s="710" t="s">
        <v>23</v>
      </c>
      <c r="S7" s="711">
        <f t="shared" ref="S7:S15" si="0">F7</f>
        <v>0</v>
      </c>
      <c r="T7" s="710" t="s">
        <v>23</v>
      </c>
      <c r="U7" s="711">
        <f t="shared" ref="U7:U15" si="1">H7</f>
        <v>0</v>
      </c>
      <c r="V7" s="710" t="s">
        <v>23</v>
      </c>
      <c r="W7" s="711">
        <f t="shared" ref="W7:W15" si="2">J7</f>
        <v>0</v>
      </c>
      <c r="X7" s="712"/>
      <c r="Y7" s="3350" t="s">
        <v>2371</v>
      </c>
      <c r="Z7" s="3351"/>
      <c r="AA7" s="713" t="e">
        <f>D7/F7</f>
        <v>#DIV/0!</v>
      </c>
      <c r="AB7" s="713" t="e">
        <f>D7/H7</f>
        <v>#DIV/0!</v>
      </c>
      <c r="AC7" s="713" t="e">
        <f>D7/J7</f>
        <v>#DIV/0!</v>
      </c>
    </row>
    <row r="8" spans="1:29" s="113" customFormat="1" ht="1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5"/>
      <c r="M8" s="2946"/>
      <c r="N8" s="2946"/>
      <c r="O8" s="2946"/>
      <c r="P8" s="3350" t="s">
        <v>2374</v>
      </c>
      <c r="Q8" s="3351"/>
      <c r="R8" s="710" t="s">
        <v>23</v>
      </c>
      <c r="S8" s="711">
        <f t="shared" si="0"/>
        <v>0</v>
      </c>
      <c r="T8" s="710" t="s">
        <v>23</v>
      </c>
      <c r="U8" s="711">
        <f t="shared" si="1"/>
        <v>0</v>
      </c>
      <c r="V8" s="710" t="s">
        <v>23</v>
      </c>
      <c r="W8" s="711">
        <f t="shared" si="2"/>
        <v>0</v>
      </c>
      <c r="X8" s="712"/>
      <c r="Y8" s="3350" t="s">
        <v>2374</v>
      </c>
      <c r="Z8" s="3351"/>
      <c r="AA8" s="713" t="e">
        <f t="shared" ref="AA8:AA19" si="3">D8/F8</f>
        <v>#DIV/0!</v>
      </c>
      <c r="AB8" s="713" t="e">
        <f t="shared" ref="AB8:AB19" si="4">D8/H8</f>
        <v>#DIV/0!</v>
      </c>
      <c r="AC8" s="713" t="e">
        <f t="shared" ref="AC8:AC19" si="5">D8/J8</f>
        <v>#DIV/0!</v>
      </c>
    </row>
    <row r="9" spans="1:29" s="113" customFormat="1" ht="14.4">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5"/>
      <c r="M9" s="2946"/>
      <c r="N9" s="2946"/>
      <c r="O9" s="2946"/>
      <c r="P9" s="3325" t="s">
        <v>2377</v>
      </c>
      <c r="Q9" s="1529" t="str">
        <f t="shared" ref="Q9:Q15" si="6">B9</f>
        <v>用途</v>
      </c>
      <c r="R9" s="710" t="s">
        <v>17</v>
      </c>
      <c r="S9" s="711">
        <f t="shared" si="0"/>
        <v>100</v>
      </c>
      <c r="T9" s="710" t="s">
        <v>17</v>
      </c>
      <c r="U9" s="711">
        <f t="shared" si="1"/>
        <v>100</v>
      </c>
      <c r="V9" s="710" t="s">
        <v>17</v>
      </c>
      <c r="W9" s="711">
        <f t="shared" si="2"/>
        <v>100</v>
      </c>
      <c r="X9" s="712"/>
      <c r="Y9" s="3184" t="s">
        <v>2378</v>
      </c>
      <c r="Z9" s="55" t="str">
        <f t="shared" ref="Z9:Z15" si="7">Q9</f>
        <v>用途</v>
      </c>
      <c r="AA9" s="713">
        <f t="shared" si="3"/>
        <v>1</v>
      </c>
      <c r="AB9" s="713">
        <f t="shared" si="4"/>
        <v>1</v>
      </c>
      <c r="AC9" s="713">
        <f t="shared" si="5"/>
        <v>1</v>
      </c>
    </row>
    <row r="10" spans="1:29" s="386" customFormat="1" ht="28.8">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25"/>
      <c r="Q10" s="1529" t="str">
        <f t="shared" si="6"/>
        <v>土地使用年限（年）</v>
      </c>
      <c r="R10" s="710" t="s">
        <v>17</v>
      </c>
      <c r="S10" s="711">
        <f t="shared" si="0"/>
        <v>100</v>
      </c>
      <c r="T10" s="710" t="s">
        <v>17</v>
      </c>
      <c r="U10" s="711">
        <f t="shared" si="1"/>
        <v>100</v>
      </c>
      <c r="V10" s="710" t="s">
        <v>17</v>
      </c>
      <c r="W10" s="711">
        <f t="shared" si="2"/>
        <v>100</v>
      </c>
      <c r="X10" s="712"/>
      <c r="Y10" s="3184"/>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25"/>
      <c r="Q11" s="1529" t="str">
        <f t="shared" si="6"/>
        <v>容积率</v>
      </c>
      <c r="R11" s="710" t="s">
        <v>21</v>
      </c>
      <c r="S11" s="711" t="e">
        <f t="shared" si="0"/>
        <v>#N/A</v>
      </c>
      <c r="T11" s="710" t="s">
        <v>21</v>
      </c>
      <c r="U11" s="711" t="e">
        <f t="shared" si="1"/>
        <v>#N/A</v>
      </c>
      <c r="V11" s="710" t="s">
        <v>21</v>
      </c>
      <c r="W11" s="711" t="e">
        <f t="shared" si="2"/>
        <v>#N/A</v>
      </c>
      <c r="X11" s="712"/>
      <c r="Y11" s="3184"/>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5"/>
      <c r="M12" s="2946"/>
      <c r="N12" s="2946"/>
      <c r="O12" s="2946"/>
      <c r="P12" s="3325"/>
      <c r="Q12" s="1529">
        <f t="shared" si="6"/>
        <v>111</v>
      </c>
      <c r="R12" s="710" t="s">
        <v>21</v>
      </c>
      <c r="S12" s="711">
        <f t="shared" si="0"/>
        <v>100</v>
      </c>
      <c r="T12" s="710" t="s">
        <v>21</v>
      </c>
      <c r="U12" s="711">
        <f t="shared" si="1"/>
        <v>100</v>
      </c>
      <c r="V12" s="710" t="s">
        <v>21</v>
      </c>
      <c r="W12" s="711">
        <f t="shared" si="2"/>
        <v>100</v>
      </c>
      <c r="X12" s="712"/>
      <c r="Y12" s="3184"/>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0"/>
      <c r="M13" s="2944"/>
      <c r="N13" s="2944"/>
      <c r="O13" s="2944"/>
      <c r="P13" s="3325"/>
      <c r="Q13" s="1529">
        <f t="shared" si="6"/>
        <v>111</v>
      </c>
      <c r="R13" s="710" t="s">
        <v>21</v>
      </c>
      <c r="S13" s="711">
        <f t="shared" si="0"/>
        <v>100</v>
      </c>
      <c r="T13" s="710" t="s">
        <v>21</v>
      </c>
      <c r="U13" s="711">
        <f t="shared" si="1"/>
        <v>100</v>
      </c>
      <c r="V13" s="710" t="s">
        <v>21</v>
      </c>
      <c r="W13" s="711">
        <f t="shared" si="2"/>
        <v>100</v>
      </c>
      <c r="X13" s="712"/>
      <c r="Y13" s="3184"/>
      <c r="Z13" s="55">
        <f t="shared" si="7"/>
        <v>111</v>
      </c>
      <c r="AA13" s="713">
        <f t="shared" si="3"/>
        <v>1</v>
      </c>
      <c r="AB13" s="713">
        <f t="shared" si="4"/>
        <v>1</v>
      </c>
      <c r="AC13" s="713">
        <f t="shared" si="5"/>
        <v>1</v>
      </c>
    </row>
    <row r="14" spans="1:29" ht="15.6"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0"/>
      <c r="M14" s="2944"/>
      <c r="N14" s="2944"/>
      <c r="O14" s="2944"/>
      <c r="P14" s="3325"/>
      <c r="Q14" s="1529">
        <f t="shared" si="6"/>
        <v>111</v>
      </c>
      <c r="R14" s="710" t="s">
        <v>21</v>
      </c>
      <c r="S14" s="711">
        <f t="shared" si="0"/>
        <v>100</v>
      </c>
      <c r="T14" s="710" t="s">
        <v>21</v>
      </c>
      <c r="U14" s="711">
        <f t="shared" si="1"/>
        <v>100</v>
      </c>
      <c r="V14" s="710" t="s">
        <v>21</v>
      </c>
      <c r="W14" s="711">
        <f t="shared" si="2"/>
        <v>100</v>
      </c>
      <c r="X14" s="712"/>
      <c r="Y14" s="3184"/>
      <c r="Z14" s="55">
        <f t="shared" si="7"/>
        <v>111</v>
      </c>
      <c r="AA14" s="713">
        <f t="shared" si="3"/>
        <v>1</v>
      </c>
      <c r="AB14" s="713">
        <f t="shared" si="4"/>
        <v>1</v>
      </c>
      <c r="AC14" s="713">
        <f t="shared" si="5"/>
        <v>1</v>
      </c>
    </row>
    <row r="15" spans="1:29" ht="96.6">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23" t="s">
        <v>2382</v>
      </c>
      <c r="Q15" s="1538" t="str">
        <f t="shared" si="6"/>
        <v>居住社区成熟度</v>
      </c>
      <c r="R15" s="714" t="s">
        <v>21</v>
      </c>
      <c r="S15" s="715">
        <f t="shared" si="0"/>
        <v>100</v>
      </c>
      <c r="T15" s="714" t="s">
        <v>21</v>
      </c>
      <c r="U15" s="715">
        <f t="shared" si="1"/>
        <v>100</v>
      </c>
      <c r="V15" s="714" t="s">
        <v>21</v>
      </c>
      <c r="W15" s="715">
        <f t="shared" si="2"/>
        <v>100</v>
      </c>
      <c r="X15" s="1541"/>
      <c r="Y15" s="3316"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0"/>
      <c r="M16" s="2944"/>
      <c r="N16" s="2944"/>
      <c r="O16" s="2944"/>
      <c r="P16" s="3324"/>
      <c r="Q16" s="1538"/>
      <c r="R16" s="714"/>
      <c r="S16" s="715"/>
      <c r="T16" s="714"/>
      <c r="U16" s="715"/>
      <c r="V16" s="714"/>
      <c r="W16" s="715"/>
      <c r="X16" s="1541"/>
      <c r="Y16" s="3317"/>
      <c r="Z16" s="1542"/>
      <c r="AA16" s="1539">
        <v>1</v>
      </c>
      <c r="AB16" s="1539">
        <v>1</v>
      </c>
      <c r="AC16" s="1539">
        <v>1</v>
      </c>
    </row>
    <row r="17" spans="1:29" ht="82.8">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24"/>
      <c r="Q17" s="1538" t="str">
        <f>B17</f>
        <v>交通便捷度</v>
      </c>
      <c r="R17" s="714" t="s">
        <v>21</v>
      </c>
      <c r="S17" s="715">
        <f>F17</f>
        <v>100</v>
      </c>
      <c r="T17" s="714" t="s">
        <v>21</v>
      </c>
      <c r="U17" s="715">
        <f>H17</f>
        <v>100</v>
      </c>
      <c r="V17" s="714" t="s">
        <v>21</v>
      </c>
      <c r="W17" s="715">
        <f>J17</f>
        <v>100</v>
      </c>
      <c r="X17" s="1541"/>
      <c r="Y17" s="3317"/>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0"/>
      <c r="M18" s="2944"/>
      <c r="N18" s="2944"/>
      <c r="O18" s="2944"/>
      <c r="P18" s="3324"/>
      <c r="Q18" s="1538"/>
      <c r="R18" s="714"/>
      <c r="S18" s="715"/>
      <c r="T18" s="714"/>
      <c r="U18" s="715"/>
      <c r="V18" s="714"/>
      <c r="W18" s="715"/>
      <c r="X18" s="1541"/>
      <c r="Y18" s="3317"/>
      <c r="Z18" s="1542"/>
      <c r="AA18" s="1539">
        <v>1</v>
      </c>
      <c r="AB18" s="1539">
        <v>1</v>
      </c>
      <c r="AC18" s="1539">
        <v>1</v>
      </c>
    </row>
    <row r="19" spans="1:29" ht="41.4">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24"/>
      <c r="Q19" s="1538" t="str">
        <f>B19</f>
        <v>公共配套设施</v>
      </c>
      <c r="R19" s="714" t="s">
        <v>21</v>
      </c>
      <c r="S19" s="715">
        <f>F19</f>
        <v>100</v>
      </c>
      <c r="T19" s="714" t="s">
        <v>21</v>
      </c>
      <c r="U19" s="715">
        <f>H19</f>
        <v>100</v>
      </c>
      <c r="V19" s="714" t="s">
        <v>21</v>
      </c>
      <c r="W19" s="715">
        <f>J19</f>
        <v>100</v>
      </c>
      <c r="X19" s="1541"/>
      <c r="Y19" s="3317"/>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0"/>
      <c r="M20" s="2944"/>
      <c r="N20" s="2944"/>
      <c r="O20" s="2944"/>
      <c r="P20" s="3324"/>
      <c r="Q20" s="1538"/>
      <c r="R20" s="714"/>
      <c r="S20" s="715"/>
      <c r="T20" s="714"/>
      <c r="U20" s="715"/>
      <c r="V20" s="714"/>
      <c r="W20" s="715"/>
      <c r="X20" s="1541"/>
      <c r="Y20" s="3317"/>
      <c r="Z20" s="1542"/>
      <c r="AA20" s="1539">
        <v>1</v>
      </c>
      <c r="AB20" s="1539">
        <v>1</v>
      </c>
      <c r="AC20" s="1539">
        <v>1</v>
      </c>
    </row>
    <row r="21" spans="1:29" ht="27.6">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24"/>
      <c r="Q21" s="1538" t="str">
        <f>B21</f>
        <v>基础设施水平</v>
      </c>
      <c r="R21" s="714" t="s">
        <v>17</v>
      </c>
      <c r="S21" s="715">
        <f>F21</f>
        <v>100</v>
      </c>
      <c r="T21" s="714" t="s">
        <v>17</v>
      </c>
      <c r="U21" s="715">
        <f>H21</f>
        <v>100</v>
      </c>
      <c r="V21" s="714" t="s">
        <v>17</v>
      </c>
      <c r="W21" s="715">
        <f>J21</f>
        <v>100</v>
      </c>
      <c r="X21" s="1541"/>
      <c r="Y21" s="3317"/>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0"/>
      <c r="M22" s="2944"/>
      <c r="N22" s="2944"/>
      <c r="O22" s="2944"/>
      <c r="P22" s="3324"/>
      <c r="Q22" s="1538"/>
      <c r="R22" s="714"/>
      <c r="S22" s="715"/>
      <c r="T22" s="714"/>
      <c r="U22" s="715"/>
      <c r="V22" s="714"/>
      <c r="W22" s="715"/>
      <c r="X22" s="1541"/>
      <c r="Y22" s="3317"/>
      <c r="Z22" s="1542"/>
      <c r="AA22" s="1539">
        <v>1</v>
      </c>
      <c r="AB22" s="1539">
        <v>1</v>
      </c>
      <c r="AC22" s="1539">
        <v>1</v>
      </c>
    </row>
    <row r="23" spans="1:29" ht="55.2">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24"/>
      <c r="Q23" s="1538" t="str">
        <f>B23</f>
        <v>自然及人文环境</v>
      </c>
      <c r="R23" s="714" t="s">
        <v>21</v>
      </c>
      <c r="S23" s="715">
        <f>F23</f>
        <v>100</v>
      </c>
      <c r="T23" s="714" t="s">
        <v>21</v>
      </c>
      <c r="U23" s="715">
        <f>H23</f>
        <v>100</v>
      </c>
      <c r="V23" s="714" t="s">
        <v>21</v>
      </c>
      <c r="W23" s="715">
        <f>J23</f>
        <v>100</v>
      </c>
      <c r="X23" s="1541"/>
      <c r="Y23" s="3317"/>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0"/>
      <c r="M24" s="2944"/>
      <c r="N24" s="2944"/>
      <c r="O24" s="2944"/>
      <c r="P24" s="3324"/>
      <c r="Q24" s="1538"/>
      <c r="R24" s="714"/>
      <c r="S24" s="715"/>
      <c r="T24" s="714"/>
      <c r="U24" s="715"/>
      <c r="V24" s="714"/>
      <c r="W24" s="715"/>
      <c r="X24" s="1541"/>
      <c r="Y24" s="3317"/>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0"/>
      <c r="M25" s="2944"/>
      <c r="N25" s="2944"/>
      <c r="O25" s="2944"/>
      <c r="P25" s="3324"/>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17"/>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0"/>
      <c r="M26" s="2944"/>
      <c r="N26" s="2944"/>
      <c r="O26" s="2944"/>
      <c r="P26" s="3324"/>
      <c r="Q26" s="1538" t="str">
        <f t="shared" si="11"/>
        <v>朝向</v>
      </c>
      <c r="R26" s="714" t="s">
        <v>21</v>
      </c>
      <c r="S26" s="715">
        <f t="shared" si="12"/>
        <v>100</v>
      </c>
      <c r="T26" s="714" t="s">
        <v>21</v>
      </c>
      <c r="U26" s="715">
        <f t="shared" si="13"/>
        <v>100</v>
      </c>
      <c r="V26" s="714" t="s">
        <v>21</v>
      </c>
      <c r="W26" s="715">
        <f t="shared" si="14"/>
        <v>100</v>
      </c>
      <c r="X26" s="1541"/>
      <c r="Y26" s="3317"/>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5"/>
      <c r="M27" s="2946"/>
      <c r="N27" s="2946"/>
      <c r="O27" s="2946"/>
      <c r="P27" s="3324"/>
      <c r="Q27" s="1529">
        <f t="shared" si="11"/>
        <v>111</v>
      </c>
      <c r="R27" s="710" t="s">
        <v>21</v>
      </c>
      <c r="S27" s="711">
        <f t="shared" si="12"/>
        <v>100</v>
      </c>
      <c r="T27" s="710" t="s">
        <v>21</v>
      </c>
      <c r="U27" s="711">
        <f t="shared" si="13"/>
        <v>100</v>
      </c>
      <c r="V27" s="710" t="s">
        <v>21</v>
      </c>
      <c r="W27" s="711">
        <f t="shared" si="14"/>
        <v>100</v>
      </c>
      <c r="X27" s="712"/>
      <c r="Y27" s="3317"/>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0"/>
      <c r="M28" s="2944"/>
      <c r="N28" s="2944"/>
      <c r="O28" s="2944"/>
      <c r="P28" s="3324"/>
      <c r="Q28" s="1538">
        <f t="shared" si="11"/>
        <v>111</v>
      </c>
      <c r="R28" s="714" t="s">
        <v>21</v>
      </c>
      <c r="S28" s="715">
        <f t="shared" si="12"/>
        <v>100</v>
      </c>
      <c r="T28" s="714" t="s">
        <v>21</v>
      </c>
      <c r="U28" s="715">
        <f t="shared" si="13"/>
        <v>100</v>
      </c>
      <c r="V28" s="714" t="s">
        <v>21</v>
      </c>
      <c r="W28" s="715">
        <f t="shared" si="14"/>
        <v>100</v>
      </c>
      <c r="X28" s="1541"/>
      <c r="Y28" s="3317"/>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0"/>
      <c r="M29" s="2944"/>
      <c r="N29" s="2944"/>
      <c r="O29" s="2944"/>
      <c r="P29" s="3324"/>
      <c r="Q29" s="1538">
        <f t="shared" si="11"/>
        <v>111</v>
      </c>
      <c r="R29" s="714" t="s">
        <v>21</v>
      </c>
      <c r="S29" s="715">
        <f t="shared" si="12"/>
        <v>100</v>
      </c>
      <c r="T29" s="714" t="s">
        <v>21</v>
      </c>
      <c r="U29" s="715">
        <f t="shared" si="13"/>
        <v>100</v>
      </c>
      <c r="V29" s="714" t="s">
        <v>21</v>
      </c>
      <c r="W29" s="715">
        <f t="shared" si="14"/>
        <v>100</v>
      </c>
      <c r="X29" s="1541"/>
      <c r="Y29" s="3317"/>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0"/>
      <c r="M30" s="2944"/>
      <c r="N30" s="2944"/>
      <c r="O30" s="2944"/>
      <c r="P30" s="3324"/>
      <c r="Q30" s="1538">
        <f t="shared" si="11"/>
        <v>111</v>
      </c>
      <c r="R30" s="714" t="s">
        <v>21</v>
      </c>
      <c r="S30" s="715">
        <f t="shared" si="12"/>
        <v>100</v>
      </c>
      <c r="T30" s="714" t="s">
        <v>21</v>
      </c>
      <c r="U30" s="715">
        <f t="shared" si="13"/>
        <v>100</v>
      </c>
      <c r="V30" s="714" t="s">
        <v>21</v>
      </c>
      <c r="W30" s="715">
        <f t="shared" si="14"/>
        <v>100</v>
      </c>
      <c r="X30" s="1541"/>
      <c r="Y30" s="3317"/>
      <c r="Z30" s="1542">
        <f t="shared" si="18"/>
        <v>111</v>
      </c>
      <c r="AA30" s="1539">
        <f t="shared" si="15"/>
        <v>1</v>
      </c>
      <c r="AB30" s="1539">
        <f t="shared" si="16"/>
        <v>1</v>
      </c>
      <c r="AC30" s="1539">
        <f t="shared" si="17"/>
        <v>1</v>
      </c>
    </row>
    <row r="31" spans="1:29" ht="15.6"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0"/>
      <c r="M31" s="2944"/>
      <c r="N31" s="2944"/>
      <c r="O31" s="2944"/>
      <c r="P31" s="3324"/>
      <c r="Q31" s="1538">
        <f t="shared" si="11"/>
        <v>111</v>
      </c>
      <c r="R31" s="714" t="s">
        <v>21</v>
      </c>
      <c r="S31" s="715">
        <f t="shared" si="12"/>
        <v>100</v>
      </c>
      <c r="T31" s="714" t="s">
        <v>21</v>
      </c>
      <c r="U31" s="715">
        <f t="shared" si="13"/>
        <v>100</v>
      </c>
      <c r="V31" s="714" t="s">
        <v>21</v>
      </c>
      <c r="W31" s="715">
        <f t="shared" si="14"/>
        <v>100</v>
      </c>
      <c r="X31" s="1541"/>
      <c r="Y31" s="3317"/>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0"/>
      <c r="M32" s="2944"/>
      <c r="N32" s="2944"/>
      <c r="O32" s="2944"/>
      <c r="P32" s="3318" t="s">
        <v>2387</v>
      </c>
      <c r="Q32" s="1538" t="str">
        <f t="shared" si="11"/>
        <v>建筑类型</v>
      </c>
      <c r="R32" s="714" t="s">
        <v>21</v>
      </c>
      <c r="S32" s="715">
        <f t="shared" si="12"/>
        <v>100</v>
      </c>
      <c r="T32" s="714" t="s">
        <v>21</v>
      </c>
      <c r="U32" s="715">
        <f t="shared" si="13"/>
        <v>100</v>
      </c>
      <c r="V32" s="714" t="s">
        <v>21</v>
      </c>
      <c r="W32" s="715">
        <f t="shared" si="14"/>
        <v>100</v>
      </c>
      <c r="X32" s="1541"/>
      <c r="Y32" s="3321"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9"/>
      <c r="M33" s="2951"/>
      <c r="N33" s="2951"/>
      <c r="O33" s="2951"/>
      <c r="P33" s="3319"/>
      <c r="Q33" s="716" t="str">
        <f t="shared" si="11"/>
        <v>项目建筑规模</v>
      </c>
      <c r="R33" s="717" t="s">
        <v>21</v>
      </c>
      <c r="S33" s="718" t="e">
        <f t="shared" si="12"/>
        <v>#N/A</v>
      </c>
      <c r="T33" s="717" t="s">
        <v>21</v>
      </c>
      <c r="U33" s="718" t="e">
        <f t="shared" si="13"/>
        <v>#N/A</v>
      </c>
      <c r="V33" s="717" t="s">
        <v>21</v>
      </c>
      <c r="W33" s="718" t="e">
        <f t="shared" si="14"/>
        <v>#N/A</v>
      </c>
      <c r="X33" s="719"/>
      <c r="Y33" s="3321"/>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0"/>
      <c r="M34" s="2944"/>
      <c r="N34" s="2944"/>
      <c r="O34" s="2944"/>
      <c r="P34" s="3319"/>
      <c r="Q34" s="1538" t="str">
        <f t="shared" si="11"/>
        <v>建筑结构</v>
      </c>
      <c r="R34" s="714" t="s">
        <v>21</v>
      </c>
      <c r="S34" s="715">
        <f t="shared" si="12"/>
        <v>100</v>
      </c>
      <c r="T34" s="714" t="s">
        <v>21</v>
      </c>
      <c r="U34" s="715">
        <f t="shared" si="13"/>
        <v>100</v>
      </c>
      <c r="V34" s="714" t="s">
        <v>21</v>
      </c>
      <c r="W34" s="715">
        <f t="shared" si="14"/>
        <v>100</v>
      </c>
      <c r="X34" s="1541"/>
      <c r="Y34" s="3321"/>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0"/>
      <c r="M35" s="2944"/>
      <c r="N35" s="2944"/>
      <c r="O35" s="2944"/>
      <c r="P35" s="3319"/>
      <c r="Q35" s="1538" t="str">
        <f t="shared" si="11"/>
        <v>建筑品质</v>
      </c>
      <c r="R35" s="714" t="s">
        <v>21</v>
      </c>
      <c r="S35" s="715">
        <f t="shared" si="12"/>
        <v>100</v>
      </c>
      <c r="T35" s="714" t="s">
        <v>21</v>
      </c>
      <c r="U35" s="715">
        <f t="shared" si="13"/>
        <v>100</v>
      </c>
      <c r="V35" s="714" t="s">
        <v>21</v>
      </c>
      <c r="W35" s="715">
        <f t="shared" si="14"/>
        <v>100</v>
      </c>
      <c r="X35" s="1541"/>
      <c r="Y35" s="3321"/>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0"/>
      <c r="M36" s="2944"/>
      <c r="N36" s="2944"/>
      <c r="O36" s="2944"/>
      <c r="P36" s="3319"/>
      <c r="Q36" s="1538" t="str">
        <f t="shared" si="11"/>
        <v>公共部分装修</v>
      </c>
      <c r="R36" s="714" t="s">
        <v>21</v>
      </c>
      <c r="S36" s="715">
        <f t="shared" si="12"/>
        <v>100</v>
      </c>
      <c r="T36" s="714" t="s">
        <v>21</v>
      </c>
      <c r="U36" s="715">
        <f t="shared" si="13"/>
        <v>100</v>
      </c>
      <c r="V36" s="714" t="s">
        <v>21</v>
      </c>
      <c r="W36" s="715">
        <f t="shared" si="14"/>
        <v>100</v>
      </c>
      <c r="X36" s="1541"/>
      <c r="Y36" s="3321"/>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19"/>
      <c r="Q37" s="1529" t="str">
        <f t="shared" si="11"/>
        <v>成新度</v>
      </c>
      <c r="R37" s="710" t="s">
        <v>21</v>
      </c>
      <c r="S37" s="711" t="e">
        <f t="shared" si="12"/>
        <v>#N/A</v>
      </c>
      <c r="T37" s="710" t="s">
        <v>21</v>
      </c>
      <c r="U37" s="711" t="e">
        <f t="shared" si="13"/>
        <v>#N/A</v>
      </c>
      <c r="V37" s="710" t="s">
        <v>21</v>
      </c>
      <c r="W37" s="711" t="e">
        <f t="shared" si="14"/>
        <v>#N/A</v>
      </c>
      <c r="X37" s="712"/>
      <c r="Y37" s="3321"/>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0"/>
      <c r="M38" s="2944"/>
      <c r="N38" s="2944"/>
      <c r="O38" s="2944"/>
      <c r="P38" s="3319" t="s">
        <v>2387</v>
      </c>
      <c r="Q38" s="1538" t="str">
        <f t="shared" si="11"/>
        <v>物业管理</v>
      </c>
      <c r="R38" s="714" t="s">
        <v>21</v>
      </c>
      <c r="S38" s="715">
        <f t="shared" si="12"/>
        <v>100</v>
      </c>
      <c r="T38" s="714" t="s">
        <v>21</v>
      </c>
      <c r="U38" s="715">
        <f t="shared" si="13"/>
        <v>100</v>
      </c>
      <c r="V38" s="714" t="s">
        <v>21</v>
      </c>
      <c r="W38" s="715">
        <f t="shared" si="14"/>
        <v>100</v>
      </c>
      <c r="X38" s="1541"/>
      <c r="Y38" s="3321"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0"/>
      <c r="M39" s="2944"/>
      <c r="N39" s="2944"/>
      <c r="O39" s="2944"/>
      <c r="P39" s="3319"/>
      <c r="Q39" s="1538" t="str">
        <f t="shared" si="11"/>
        <v>市政基础设施</v>
      </c>
      <c r="R39" s="714" t="s">
        <v>21</v>
      </c>
      <c r="S39" s="715">
        <f t="shared" si="12"/>
        <v>100</v>
      </c>
      <c r="T39" s="714" t="s">
        <v>21</v>
      </c>
      <c r="U39" s="715">
        <f t="shared" si="13"/>
        <v>100</v>
      </c>
      <c r="V39" s="714" t="s">
        <v>21</v>
      </c>
      <c r="W39" s="715">
        <f t="shared" si="14"/>
        <v>100</v>
      </c>
      <c r="X39" s="1541"/>
      <c r="Y39" s="3321"/>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0"/>
      <c r="M40" s="2944"/>
      <c r="N40" s="2944"/>
      <c r="O40" s="2944"/>
      <c r="P40" s="3319"/>
      <c r="Q40" s="1538" t="str">
        <f t="shared" si="11"/>
        <v>房型</v>
      </c>
      <c r="R40" s="714" t="s">
        <v>21</v>
      </c>
      <c r="S40" s="715">
        <f t="shared" si="12"/>
        <v>100</v>
      </c>
      <c r="T40" s="714" t="s">
        <v>21</v>
      </c>
      <c r="U40" s="715">
        <f t="shared" si="13"/>
        <v>100</v>
      </c>
      <c r="V40" s="714" t="s">
        <v>21</v>
      </c>
      <c r="W40" s="715">
        <f t="shared" si="14"/>
        <v>100</v>
      </c>
      <c r="X40" s="1541"/>
      <c r="Y40" s="3321"/>
      <c r="Z40" s="1542" t="str">
        <f t="shared" si="18"/>
        <v>房型</v>
      </c>
      <c r="AA40" s="1539">
        <f t="shared" si="15"/>
        <v>1</v>
      </c>
      <c r="AB40" s="1539">
        <f t="shared" si="16"/>
        <v>1</v>
      </c>
      <c r="AC40" s="1539">
        <f t="shared" si="17"/>
        <v>1</v>
      </c>
    </row>
    <row r="41" spans="1:29" s="430" customFormat="1" ht="28.8">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9"/>
      <c r="M41" s="2951"/>
      <c r="N41" s="2951"/>
      <c r="O41" s="2951"/>
      <c r="P41" s="3319"/>
      <c r="Q41" s="716" t="str">
        <f t="shared" si="11"/>
        <v>单套/主力户型建筑面积</v>
      </c>
      <c r="R41" s="717" t="s">
        <v>21</v>
      </c>
      <c r="S41" s="718">
        <f t="shared" si="12"/>
        <v>100</v>
      </c>
      <c r="T41" s="717" t="s">
        <v>21</v>
      </c>
      <c r="U41" s="718">
        <f t="shared" si="13"/>
        <v>100</v>
      </c>
      <c r="V41" s="717" t="s">
        <v>21</v>
      </c>
      <c r="W41" s="718">
        <f t="shared" si="14"/>
        <v>100</v>
      </c>
      <c r="X41" s="719"/>
      <c r="Y41" s="3321"/>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0"/>
      <c r="M42" s="2944"/>
      <c r="N42" s="2944"/>
      <c r="O42" s="2944"/>
      <c r="P42" s="3319"/>
      <c r="Q42" s="1538" t="str">
        <f t="shared" si="11"/>
        <v>内部装修</v>
      </c>
      <c r="R42" s="714" t="s">
        <v>21</v>
      </c>
      <c r="S42" s="715">
        <f t="shared" si="12"/>
        <v>100</v>
      </c>
      <c r="T42" s="714" t="s">
        <v>21</v>
      </c>
      <c r="U42" s="715">
        <f t="shared" si="13"/>
        <v>100</v>
      </c>
      <c r="V42" s="714" t="s">
        <v>21</v>
      </c>
      <c r="W42" s="715">
        <f t="shared" si="14"/>
        <v>100</v>
      </c>
      <c r="X42" s="1541"/>
      <c r="Y42" s="3321"/>
      <c r="Z42" s="1542" t="str">
        <f t="shared" si="18"/>
        <v>内部装修</v>
      </c>
      <c r="AA42" s="1539">
        <f t="shared" si="15"/>
        <v>1</v>
      </c>
      <c r="AB42" s="1539">
        <f t="shared" si="16"/>
        <v>1</v>
      </c>
      <c r="AC42" s="1539">
        <f t="shared" si="17"/>
        <v>1</v>
      </c>
    </row>
    <row r="43" spans="1:29" ht="28.8">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0"/>
      <c r="M43" s="2944"/>
      <c r="N43" s="2944"/>
      <c r="O43" s="2944"/>
      <c r="P43" s="3319"/>
      <c r="Q43" s="1538" t="str">
        <f t="shared" si="11"/>
        <v>内部装修维护情况</v>
      </c>
      <c r="R43" s="714" t="s">
        <v>21</v>
      </c>
      <c r="S43" s="715">
        <f t="shared" si="12"/>
        <v>100</v>
      </c>
      <c r="T43" s="714" t="s">
        <v>21</v>
      </c>
      <c r="U43" s="715">
        <f t="shared" si="13"/>
        <v>100</v>
      </c>
      <c r="V43" s="714" t="s">
        <v>21</v>
      </c>
      <c r="W43" s="715">
        <f t="shared" si="14"/>
        <v>100</v>
      </c>
      <c r="X43" s="1541"/>
      <c r="Y43" s="3321"/>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5"/>
      <c r="M44" s="2946"/>
      <c r="N44" s="2946"/>
      <c r="O44" s="2946"/>
      <c r="P44" s="3319"/>
      <c r="Q44" s="1529">
        <f t="shared" si="11"/>
        <v>111</v>
      </c>
      <c r="R44" s="710" t="s">
        <v>21</v>
      </c>
      <c r="S44" s="711">
        <f t="shared" si="12"/>
        <v>100</v>
      </c>
      <c r="T44" s="710" t="s">
        <v>21</v>
      </c>
      <c r="U44" s="711">
        <f t="shared" si="13"/>
        <v>100</v>
      </c>
      <c r="V44" s="710" t="s">
        <v>21</v>
      </c>
      <c r="W44" s="711">
        <f t="shared" si="14"/>
        <v>100</v>
      </c>
      <c r="X44" s="712"/>
      <c r="Y44" s="332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0"/>
      <c r="M45" s="2944"/>
      <c r="N45" s="2944"/>
      <c r="O45" s="2944"/>
      <c r="P45" s="3319"/>
      <c r="Q45" s="1538">
        <f t="shared" si="11"/>
        <v>111</v>
      </c>
      <c r="R45" s="714" t="s">
        <v>21</v>
      </c>
      <c r="S45" s="715">
        <f t="shared" si="12"/>
        <v>100</v>
      </c>
      <c r="T45" s="714" t="s">
        <v>21</v>
      </c>
      <c r="U45" s="715">
        <f t="shared" si="13"/>
        <v>100</v>
      </c>
      <c r="V45" s="714" t="s">
        <v>21</v>
      </c>
      <c r="W45" s="715">
        <f t="shared" si="14"/>
        <v>100</v>
      </c>
      <c r="X45" s="1541"/>
      <c r="Y45" s="3321"/>
      <c r="Z45" s="1542">
        <f t="shared" si="18"/>
        <v>111</v>
      </c>
      <c r="AA45" s="1539">
        <f t="shared" si="15"/>
        <v>1</v>
      </c>
      <c r="AB45" s="1539">
        <f t="shared" si="16"/>
        <v>1</v>
      </c>
      <c r="AC45" s="1539">
        <f t="shared" si="17"/>
        <v>1</v>
      </c>
    </row>
    <row r="46" spans="1:29" ht="15.6"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0"/>
      <c r="M46" s="2944"/>
      <c r="N46" s="2944"/>
      <c r="O46" s="2944"/>
      <c r="P46" s="3320"/>
      <c r="Q46" s="1538">
        <f t="shared" si="11"/>
        <v>111</v>
      </c>
      <c r="R46" s="714" t="s">
        <v>20</v>
      </c>
      <c r="S46" s="715">
        <f t="shared" si="12"/>
        <v>100</v>
      </c>
      <c r="T46" s="714" t="s">
        <v>20</v>
      </c>
      <c r="U46" s="715">
        <f t="shared" si="13"/>
        <v>100</v>
      </c>
      <c r="V46" s="714" t="s">
        <v>20</v>
      </c>
      <c r="W46" s="715">
        <f t="shared" si="14"/>
        <v>100</v>
      </c>
      <c r="X46" s="1541"/>
      <c r="Y46" s="3322"/>
      <c r="Z46" s="1542">
        <f t="shared" si="18"/>
        <v>111</v>
      </c>
      <c r="AA46" s="1539">
        <f t="shared" si="15"/>
        <v>1</v>
      </c>
      <c r="AB46" s="1539">
        <f t="shared" si="16"/>
        <v>1</v>
      </c>
      <c r="AC46" s="1539">
        <f t="shared" si="17"/>
        <v>1</v>
      </c>
    </row>
    <row r="47" spans="1:29" ht="14.4">
      <c r="A47" s="438" t="s">
        <v>2399</v>
      </c>
      <c r="B47" s="439"/>
      <c r="C47" s="1316" t="s">
        <v>19</v>
      </c>
      <c r="D47" s="1317"/>
      <c r="E47" s="1318"/>
      <c r="F47" s="1319"/>
      <c r="G47" s="1320"/>
      <c r="H47" s="1321"/>
      <c r="I47" s="1318"/>
      <c r="J47" s="1321"/>
      <c r="K47" s="2102"/>
      <c r="L47" s="2952"/>
      <c r="M47" s="2953"/>
      <c r="N47" s="2944"/>
      <c r="O47" s="2953"/>
      <c r="P47" s="3314" t="str">
        <f>A47</f>
        <v>成交单价（元/平方米）</v>
      </c>
      <c r="Q47" s="3314"/>
      <c r="R47" s="3315">
        <f>E47</f>
        <v>0</v>
      </c>
      <c r="S47" s="3315"/>
      <c r="T47" s="3315">
        <f>G47</f>
        <v>0</v>
      </c>
      <c r="U47" s="3315"/>
      <c r="V47" s="3315">
        <f>I47</f>
        <v>0</v>
      </c>
      <c r="W47" s="3315"/>
      <c r="X47" s="699"/>
      <c r="Y47" s="721"/>
      <c r="Z47" s="699"/>
      <c r="AA47" s="699"/>
      <c r="AB47" s="699"/>
      <c r="AC47" s="699"/>
    </row>
    <row r="48" spans="1:29" ht="15" thickBot="1">
      <c r="A48" s="445" t="s">
        <v>2400</v>
      </c>
      <c r="B48" s="446"/>
      <c r="C48" s="1322" t="e">
        <f>R49</f>
        <v>#DIV/0!</v>
      </c>
      <c r="D48" s="2539" t="s">
        <v>2879</v>
      </c>
      <c r="E48" s="1323" t="e">
        <f>R48</f>
        <v>#DIV/0!</v>
      </c>
      <c r="F48" s="2540"/>
      <c r="G48" s="1322" t="e">
        <f>T48</f>
        <v>#DIV/0!</v>
      </c>
      <c r="H48" s="2540"/>
      <c r="I48" s="1323" t="e">
        <f>V48</f>
        <v>#DIV/0!</v>
      </c>
      <c r="J48" s="2540"/>
      <c r="K48" s="2541">
        <f>F48+H48+J48</f>
        <v>0</v>
      </c>
      <c r="L48" s="2952"/>
      <c r="M48" s="2953"/>
      <c r="N48" s="2953"/>
      <c r="O48" s="2953"/>
      <c r="P48" s="3314" t="str">
        <f>A48</f>
        <v>比较价值（元/平方米）</v>
      </c>
      <c r="Q48" s="3314"/>
      <c r="R48" s="3315" t="e">
        <f>IF(F1="售价",ROUND(PRODUCT(R47,AA7:AA46),0),ROUND(PRODUCT(R47,AA7:AA46),1))</f>
        <v>#DIV/0!</v>
      </c>
      <c r="S48" s="3315"/>
      <c r="T48" s="3315" t="e">
        <f>IF(F1="售价",ROUND(PRODUCT(T47,AB7:AB46),0),ROUND(PRODUCT(T47,AB7:AB46),1))</f>
        <v>#DIV/0!</v>
      </c>
      <c r="U48" s="3315"/>
      <c r="V48" s="3315" t="e">
        <f>IF(F1="售价",ROUND(PRODUCT(V47,AC7:AC46),0),ROUND(PRODUCT(V47,AC7:AC46),1))</f>
        <v>#DIV/0!</v>
      </c>
      <c r="W48" s="3315"/>
      <c r="X48" s="699"/>
      <c r="Y48" s="699"/>
      <c r="Z48" s="699"/>
      <c r="AA48" s="699"/>
      <c r="AB48" s="699"/>
      <c r="AC48" s="699"/>
    </row>
    <row r="49" spans="1:29" ht="15" thickBot="1">
      <c r="A49" s="449" t="s">
        <v>2401</v>
      </c>
      <c r="B49" s="450"/>
      <c r="C49" s="1324" t="e">
        <f>R49</f>
        <v>#DIV/0!</v>
      </c>
      <c r="D49" s="1325"/>
      <c r="E49" s="1325"/>
      <c r="F49" s="1325"/>
      <c r="G49" s="1325"/>
      <c r="H49" s="1325"/>
      <c r="I49" s="1325"/>
      <c r="J49" s="1325"/>
      <c r="K49" s="2103"/>
      <c r="L49" s="2952"/>
      <c r="M49" s="2953"/>
      <c r="N49" s="2953"/>
      <c r="O49" s="2953"/>
      <c r="P49" s="3311" t="str">
        <f>A49</f>
        <v>估价对象XX用房的比较价值（楼面单价，元/平方米）</v>
      </c>
      <c r="Q49" s="3312"/>
      <c r="R49" s="3313" t="e">
        <f>IF(F1="售价",ROUND(IF(D48="简单平均",AVERAGE(R48:V48),R48*F48+T48*H48+V48*J48),0),ROUND(IF(D48="简单平均",AVERAGE(R48:V48),R48*F48+T48*H48+V48*J48),1))</f>
        <v>#DIV/0!</v>
      </c>
      <c r="S49" s="3313"/>
      <c r="T49" s="3313"/>
      <c r="U49" s="3313"/>
      <c r="V49" s="3313"/>
      <c r="W49" s="3313"/>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5"/>
    </row>
    <row r="55" spans="1:29" s="459" customFormat="1">
      <c r="A55" s="2956"/>
      <c r="B55" s="2959"/>
      <c r="C55" s="2960"/>
      <c r="D55" s="2956"/>
      <c r="E55" s="2956"/>
      <c r="F55" s="2956"/>
      <c r="G55" s="2956"/>
      <c r="H55" s="2956"/>
      <c r="I55" s="2956"/>
      <c r="J55" s="2956"/>
      <c r="K55" s="2961"/>
      <c r="L55" s="2955"/>
      <c r="M55" s="2956"/>
      <c r="N55" s="2956"/>
      <c r="O55" s="2956"/>
      <c r="P55" s="2105"/>
    </row>
    <row r="56" spans="1:29">
      <c r="A56" s="2953"/>
      <c r="B56" s="2959"/>
      <c r="C56" s="2960"/>
      <c r="D56" s="2953"/>
      <c r="E56" s="2953"/>
      <c r="F56" s="2953"/>
      <c r="G56" s="2953"/>
      <c r="H56" s="2953"/>
      <c r="I56" s="2953"/>
      <c r="J56" s="2953"/>
      <c r="K56" s="2958"/>
      <c r="L56" s="2954"/>
      <c r="M56" s="2953"/>
      <c r="N56" s="2953"/>
      <c r="O56" s="2953"/>
    </row>
    <row r="57" spans="1:29" ht="22.2" thickBot="1">
      <c r="A57" s="703" t="s">
        <v>2405</v>
      </c>
      <c r="B57" s="699"/>
      <c r="C57" s="704"/>
      <c r="D57" s="704"/>
      <c r="E57" s="704"/>
      <c r="F57" s="705"/>
      <c r="G57" s="705"/>
      <c r="H57" s="704"/>
      <c r="I57" s="704"/>
      <c r="J57" s="704"/>
      <c r="K57" s="1072"/>
      <c r="L57" s="1073"/>
      <c r="M57" s="1071"/>
      <c r="N57" s="1071"/>
      <c r="O57" s="1071"/>
      <c r="P57" s="2106"/>
      <c r="Q57" s="461"/>
    </row>
    <row r="58" spans="1:29" s="465" customFormat="1" ht="14.4">
      <c r="A58" s="462" t="s">
        <v>2406</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c r="A59" s="466"/>
      <c r="B59" s="2107"/>
      <c r="C59" s="1345">
        <v>100</v>
      </c>
      <c r="D59" s="468"/>
      <c r="E59" s="469"/>
      <c r="F59" s="469"/>
      <c r="G59" s="469"/>
      <c r="H59" s="469"/>
      <c r="I59" s="469"/>
      <c r="J59" s="469"/>
      <c r="K59" s="469"/>
      <c r="L59" s="469"/>
      <c r="M59" s="470"/>
      <c r="N59" s="469"/>
      <c r="O59" s="470"/>
      <c r="P59" s="2108"/>
    </row>
    <row r="60" spans="1:29" s="113" customFormat="1" ht="15" thickBot="1">
      <c r="A60" s="472" t="s">
        <v>2407</v>
      </c>
      <c r="B60" s="473"/>
      <c r="C60" s="474"/>
      <c r="D60" s="475"/>
      <c r="E60" s="475"/>
      <c r="F60" s="475"/>
      <c r="G60" s="475"/>
      <c r="H60" s="475"/>
      <c r="I60" s="475"/>
      <c r="J60" s="475"/>
      <c r="K60" s="475"/>
      <c r="L60" s="475"/>
      <c r="M60" s="476"/>
      <c r="N60" s="475"/>
      <c r="O60" s="476"/>
      <c r="P60" s="2108"/>
      <c r="Q60" s="461"/>
    </row>
    <row r="61" spans="1:29" s="113" customFormat="1" ht="14.4">
      <c r="A61" s="478" t="s">
        <v>2408</v>
      </c>
      <c r="B61" s="467"/>
      <c r="C61" s="479" t="s">
        <v>2409</v>
      </c>
      <c r="D61" s="480"/>
      <c r="E61" s="480"/>
      <c r="F61" s="480"/>
      <c r="G61" s="480"/>
      <c r="H61" s="480"/>
      <c r="I61" s="480"/>
      <c r="J61" s="480"/>
      <c r="K61" s="480"/>
      <c r="L61" s="481"/>
      <c r="M61" s="482"/>
      <c r="N61" s="1063"/>
      <c r="O61" s="1063"/>
      <c r="P61" s="2109"/>
      <c r="Q61" s="461"/>
    </row>
    <row r="62" spans="1:29" s="113" customFormat="1" ht="14.4" thickBot="1">
      <c r="A62" s="478"/>
      <c r="B62" s="467"/>
      <c r="C62" s="468">
        <v>100</v>
      </c>
      <c r="D62" s="469"/>
      <c r="E62" s="469"/>
      <c r="F62" s="469"/>
      <c r="G62" s="469"/>
      <c r="H62" s="469"/>
      <c r="I62" s="469"/>
      <c r="J62" s="469"/>
      <c r="K62" s="469"/>
      <c r="L62" s="469"/>
      <c r="M62" s="471"/>
      <c r="N62" s="1063"/>
      <c r="O62" s="1063"/>
      <c r="P62" s="2108"/>
      <c r="Q62" s="461"/>
    </row>
    <row r="63" spans="1:29" ht="14.4">
      <c r="A63" s="484" t="s">
        <v>2410</v>
      </c>
      <c r="B63" s="485" t="s">
        <v>2376</v>
      </c>
      <c r="C63" s="486">
        <f>C9</f>
        <v>0</v>
      </c>
      <c r="D63" s="487"/>
      <c r="E63" s="487"/>
      <c r="F63" s="487"/>
      <c r="G63" s="487"/>
      <c r="H63" s="487"/>
      <c r="I63" s="487"/>
      <c r="J63" s="487"/>
      <c r="K63" s="488"/>
      <c r="L63" s="489"/>
      <c r="M63" s="490"/>
      <c r="N63" s="1064"/>
      <c r="O63" s="1064"/>
      <c r="P63" s="2110"/>
      <c r="Q63" s="461"/>
    </row>
    <row r="64" spans="1:29" ht="14.4" thickBot="1">
      <c r="A64" s="491"/>
      <c r="B64" s="492"/>
      <c r="C64" s="493">
        <v>100</v>
      </c>
      <c r="D64" s="493"/>
      <c r="E64" s="493"/>
      <c r="F64" s="493"/>
      <c r="G64" s="493"/>
      <c r="H64" s="493"/>
      <c r="I64" s="493"/>
      <c r="J64" s="493"/>
      <c r="K64" s="493"/>
      <c r="L64" s="493"/>
      <c r="M64" s="494"/>
      <c r="N64" s="1065"/>
      <c r="O64" s="1065"/>
      <c r="P64" s="2110"/>
      <c r="Q64" s="461"/>
    </row>
    <row r="65" spans="1:17" ht="29.4"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c r="A68" s="491"/>
      <c r="B68" s="505"/>
      <c r="C68" s="506"/>
      <c r="D68" s="506"/>
      <c r="E68" s="506"/>
      <c r="F68" s="506"/>
      <c r="G68" s="506"/>
      <c r="H68" s="506"/>
      <c r="I68" s="506"/>
      <c r="J68" s="506"/>
      <c r="K68" s="507"/>
      <c r="L68" s="508"/>
      <c r="M68" s="509"/>
      <c r="N68" s="1064"/>
      <c r="O68" s="1064"/>
      <c r="P68" s="2110"/>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4.4" thickTop="1">
      <c r="A70" s="510"/>
      <c r="B70" s="495">
        <f>B12</f>
        <v>111</v>
      </c>
      <c r="C70" s="511"/>
      <c r="D70" s="511"/>
      <c r="E70" s="511"/>
      <c r="F70" s="511"/>
      <c r="G70" s="511"/>
      <c r="H70" s="512"/>
      <c r="I70" s="512"/>
      <c r="J70" s="512"/>
      <c r="K70" s="512"/>
      <c r="L70" s="513"/>
      <c r="M70" s="514"/>
      <c r="N70" s="1066"/>
      <c r="O70" s="1066"/>
      <c r="P70" s="2111"/>
      <c r="Q70" s="516"/>
    </row>
    <row r="71" spans="1:17" s="430" customFormat="1" ht="14.4" thickBot="1">
      <c r="A71" s="510"/>
      <c r="B71" s="500"/>
      <c r="C71" s="517"/>
      <c r="D71" s="493"/>
      <c r="E71" s="493"/>
      <c r="F71" s="493"/>
      <c r="G71" s="493"/>
      <c r="H71" s="493"/>
      <c r="I71" s="493"/>
      <c r="J71" s="493"/>
      <c r="K71" s="493"/>
      <c r="L71" s="493"/>
      <c r="M71" s="494"/>
      <c r="N71" s="1065"/>
      <c r="O71" s="1065"/>
      <c r="P71" s="2111"/>
      <c r="Q71" s="516"/>
    </row>
    <row r="72" spans="1:17" s="430" customFormat="1" ht="14.4" thickTop="1">
      <c r="A72" s="510"/>
      <c r="B72" s="495">
        <f>B13</f>
        <v>111</v>
      </c>
      <c r="C72" s="511"/>
      <c r="D72" s="511"/>
      <c r="E72" s="511"/>
      <c r="F72" s="511"/>
      <c r="G72" s="511"/>
      <c r="H72" s="512"/>
      <c r="I72" s="512"/>
      <c r="J72" s="512"/>
      <c r="K72" s="512"/>
      <c r="L72" s="513"/>
      <c r="M72" s="514"/>
      <c r="N72" s="1066"/>
      <c r="O72" s="1066"/>
      <c r="P72" s="2112"/>
      <c r="Q72" s="518"/>
    </row>
    <row r="73" spans="1:17" s="430" customFormat="1" ht="14.4" thickBot="1">
      <c r="A73" s="510"/>
      <c r="B73" s="500"/>
      <c r="C73" s="517"/>
      <c r="D73" s="517"/>
      <c r="E73" s="517"/>
      <c r="F73" s="517"/>
      <c r="G73" s="517"/>
      <c r="H73" s="519"/>
      <c r="I73" s="519"/>
      <c r="J73" s="519"/>
      <c r="K73" s="519"/>
      <c r="L73" s="519"/>
      <c r="M73" s="520"/>
      <c r="N73" s="1066"/>
      <c r="O73" s="1066"/>
      <c r="P73" s="2111"/>
      <c r="Q73" s="516"/>
    </row>
    <row r="74" spans="1:17" s="430" customFormat="1" ht="14.4" thickTop="1">
      <c r="A74" s="510"/>
      <c r="B74" s="503">
        <f>B14</f>
        <v>111</v>
      </c>
      <c r="C74" s="511"/>
      <c r="D74" s="511"/>
      <c r="E74" s="511"/>
      <c r="F74" s="511"/>
      <c r="G74" s="480"/>
      <c r="H74" s="521"/>
      <c r="I74" s="521"/>
      <c r="J74" s="521"/>
      <c r="K74" s="521"/>
      <c r="L74" s="522"/>
      <c r="M74" s="523"/>
      <c r="N74" s="1066"/>
      <c r="O74" s="1066"/>
      <c r="P74" s="2113"/>
      <c r="Q74" s="516"/>
    </row>
    <row r="75" spans="1:17" s="430" customFormat="1" ht="14.4" thickBot="1">
      <c r="A75" s="525"/>
      <c r="B75" s="526"/>
      <c r="C75" s="527"/>
      <c r="D75" s="527"/>
      <c r="E75" s="527"/>
      <c r="F75" s="527"/>
      <c r="G75" s="527"/>
      <c r="H75" s="528"/>
      <c r="I75" s="528"/>
      <c r="J75" s="528"/>
      <c r="K75" s="528"/>
      <c r="L75" s="528"/>
      <c r="M75" s="529"/>
      <c r="N75" s="1066"/>
      <c r="O75" s="1066"/>
      <c r="P75" s="2111"/>
      <c r="Q75" s="516"/>
    </row>
    <row r="76" spans="1:17" ht="14.4">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 thickTop="1">
      <c r="A86" s="536"/>
      <c r="B86" s="495" t="s">
        <v>2432</v>
      </c>
      <c r="C86" s="511"/>
      <c r="D86" s="511"/>
      <c r="E86" s="511"/>
      <c r="F86" s="511"/>
      <c r="G86" s="511"/>
      <c r="H86" s="511"/>
      <c r="I86" s="511"/>
      <c r="J86" s="511"/>
      <c r="K86" s="511"/>
      <c r="L86" s="537"/>
      <c r="M86" s="538"/>
      <c r="N86" s="1063"/>
      <c r="O86" s="1063"/>
      <c r="P86" s="2110"/>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 thickTop="1">
      <c r="A88" s="536"/>
      <c r="B88" s="495" t="s">
        <v>2433</v>
      </c>
      <c r="C88" s="511"/>
      <c r="D88" s="511"/>
      <c r="E88" s="511"/>
      <c r="F88" s="2115"/>
      <c r="G88" s="511"/>
      <c r="H88" s="511"/>
      <c r="I88" s="511"/>
      <c r="J88" s="511"/>
      <c r="K88" s="511"/>
      <c r="L88" s="511"/>
      <c r="M88" s="538"/>
      <c r="N88" s="1063"/>
      <c r="O88" s="1063"/>
      <c r="P88" s="2110"/>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4.4" thickTop="1">
      <c r="A90" s="510"/>
      <c r="B90" s="495">
        <f>B27</f>
        <v>111</v>
      </c>
      <c r="C90" s="511"/>
      <c r="D90" s="511"/>
      <c r="E90" s="511"/>
      <c r="F90" s="511"/>
      <c r="G90" s="511"/>
      <c r="H90" s="512"/>
      <c r="I90" s="512"/>
      <c r="J90" s="512"/>
      <c r="K90" s="512"/>
      <c r="L90" s="513"/>
      <c r="M90" s="514"/>
      <c r="N90" s="1066"/>
      <c r="O90" s="1066"/>
      <c r="P90" s="2111"/>
      <c r="Q90" s="516"/>
    </row>
    <row r="91" spans="1:17" s="430" customFormat="1" ht="14.4" thickBot="1">
      <c r="A91" s="510"/>
      <c r="B91" s="500"/>
      <c r="C91" s="517"/>
      <c r="D91" s="517"/>
      <c r="E91" s="517"/>
      <c r="F91" s="517"/>
      <c r="G91" s="517"/>
      <c r="H91" s="519"/>
      <c r="I91" s="519"/>
      <c r="J91" s="519"/>
      <c r="K91" s="519"/>
      <c r="L91" s="519"/>
      <c r="M91" s="520"/>
      <c r="N91" s="1066"/>
      <c r="O91" s="1066"/>
      <c r="P91" s="2111"/>
      <c r="Q91" s="516"/>
    </row>
    <row r="92" spans="1:17" ht="14.4" thickTop="1">
      <c r="A92" s="491"/>
      <c r="B92" s="495">
        <f>B28</f>
        <v>111</v>
      </c>
      <c r="C92" s="511"/>
      <c r="D92" s="511"/>
      <c r="E92" s="511"/>
      <c r="F92" s="511"/>
      <c r="G92" s="540"/>
      <c r="H92" s="540"/>
      <c r="I92" s="540"/>
      <c r="J92" s="540"/>
      <c r="K92" s="541"/>
      <c r="L92" s="542"/>
      <c r="M92" s="543"/>
      <c r="N92" s="1064"/>
      <c r="O92" s="1064"/>
      <c r="P92" s="2110"/>
      <c r="Q92" s="461"/>
    </row>
    <row r="93" spans="1:17" ht="14.4" thickBot="1">
      <c r="A93" s="491"/>
      <c r="B93" s="500"/>
      <c r="C93" s="517"/>
      <c r="D93" s="493"/>
      <c r="E93" s="493"/>
      <c r="F93" s="493"/>
      <c r="G93" s="493"/>
      <c r="H93" s="493"/>
      <c r="I93" s="493"/>
      <c r="J93" s="493"/>
      <c r="K93" s="493"/>
      <c r="L93" s="493"/>
      <c r="M93" s="494"/>
      <c r="N93" s="1065"/>
      <c r="O93" s="1065"/>
      <c r="P93" s="2110"/>
      <c r="Q93" s="461"/>
    </row>
    <row r="94" spans="1:17" ht="14.4" thickTop="1">
      <c r="A94" s="491"/>
      <c r="B94" s="495">
        <f>B29</f>
        <v>111</v>
      </c>
      <c r="C94" s="511"/>
      <c r="D94" s="511"/>
      <c r="E94" s="511"/>
      <c r="F94" s="511"/>
      <c r="G94" s="540"/>
      <c r="H94" s="540"/>
      <c r="I94" s="540"/>
      <c r="J94" s="540"/>
      <c r="K94" s="541"/>
      <c r="L94" s="542"/>
      <c r="M94" s="543"/>
      <c r="N94" s="1064"/>
      <c r="O94" s="1064"/>
      <c r="P94" s="2110"/>
      <c r="Q94" s="461"/>
    </row>
    <row r="95" spans="1:17" ht="14.4" thickBot="1">
      <c r="A95" s="491"/>
      <c r="B95" s="500"/>
      <c r="C95" s="517"/>
      <c r="D95" s="517"/>
      <c r="E95" s="517"/>
      <c r="F95" s="517"/>
      <c r="G95" s="493"/>
      <c r="H95" s="493"/>
      <c r="I95" s="493"/>
      <c r="J95" s="493"/>
      <c r="K95" s="493"/>
      <c r="L95" s="493"/>
      <c r="M95" s="494"/>
      <c r="N95" s="1065"/>
      <c r="O95" s="1065"/>
      <c r="P95" s="2110"/>
      <c r="Q95" s="461"/>
    </row>
    <row r="96" spans="1:17" ht="14.4" thickTop="1">
      <c r="A96" s="491"/>
      <c r="B96" s="495">
        <f>B30</f>
        <v>111</v>
      </c>
      <c r="C96" s="511"/>
      <c r="D96" s="511"/>
      <c r="E96" s="511"/>
      <c r="F96" s="511"/>
      <c r="G96" s="540"/>
      <c r="H96" s="540"/>
      <c r="I96" s="540"/>
      <c r="J96" s="540"/>
      <c r="K96" s="541"/>
      <c r="L96" s="542"/>
      <c r="M96" s="543"/>
      <c r="N96" s="1064"/>
      <c r="O96" s="1064"/>
      <c r="P96" s="2110"/>
      <c r="Q96" s="461"/>
    </row>
    <row r="97" spans="1:17" ht="14.4" thickBot="1">
      <c r="A97" s="491"/>
      <c r="B97" s="500"/>
      <c r="C97" s="527"/>
      <c r="D97" s="527"/>
      <c r="E97" s="527"/>
      <c r="F97" s="527"/>
      <c r="G97" s="493"/>
      <c r="H97" s="493"/>
      <c r="I97" s="493"/>
      <c r="J97" s="493"/>
      <c r="K97" s="493"/>
      <c r="L97" s="493"/>
      <c r="M97" s="494"/>
      <c r="N97" s="1065"/>
      <c r="O97" s="1065"/>
      <c r="P97" s="2110"/>
      <c r="Q97" s="461"/>
    </row>
    <row r="98" spans="1:17" ht="14.4" thickTop="1">
      <c r="A98" s="491"/>
      <c r="B98" s="503">
        <f>B31</f>
        <v>111</v>
      </c>
      <c r="C98" s="544"/>
      <c r="D98" s="544"/>
      <c r="E98" s="544"/>
      <c r="F98" s="544"/>
      <c r="G98" s="544"/>
      <c r="H98" s="544"/>
      <c r="I98" s="544"/>
      <c r="J98" s="544"/>
      <c r="K98" s="545"/>
      <c r="L98" s="546"/>
      <c r="M98" s="547"/>
      <c r="N98" s="1064"/>
      <c r="O98" s="1064"/>
      <c r="P98" s="2110"/>
      <c r="Q98" s="461"/>
    </row>
    <row r="99" spans="1:17" ht="14.4" thickBot="1">
      <c r="A99" s="2116"/>
      <c r="B99" s="526"/>
      <c r="C99" s="548"/>
      <c r="D99" s="548"/>
      <c r="E99" s="548"/>
      <c r="F99" s="548"/>
      <c r="G99" s="548"/>
      <c r="H99" s="548"/>
      <c r="I99" s="548"/>
      <c r="J99" s="548"/>
      <c r="K99" s="548"/>
      <c r="L99" s="548"/>
      <c r="M99" s="549"/>
      <c r="N99" s="1065"/>
      <c r="O99" s="1065"/>
      <c r="P99" s="2110"/>
      <c r="Q99" s="461"/>
    </row>
    <row r="100" spans="1:17" ht="14.4">
      <c r="A100" s="484" t="s">
        <v>2385</v>
      </c>
      <c r="B100" s="485" t="s">
        <v>2434</v>
      </c>
      <c r="C100" s="487"/>
      <c r="D100" s="487"/>
      <c r="E100" s="487"/>
      <c r="F100" s="487"/>
      <c r="G100" s="487"/>
      <c r="H100" s="487"/>
      <c r="I100" s="487"/>
      <c r="J100" s="487"/>
      <c r="K100" s="488"/>
      <c r="L100" s="489"/>
      <c r="M100" s="490"/>
      <c r="N100" s="1064"/>
      <c r="O100" s="1064"/>
      <c r="P100" s="2110"/>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4.4"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9.4"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4.4"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29.4"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4.4" thickBot="1">
      <c r="A127" s="510"/>
      <c r="B127" s="500"/>
      <c r="C127" s="517"/>
      <c r="D127" s="493"/>
      <c r="E127" s="493"/>
      <c r="F127" s="493"/>
      <c r="G127" s="517"/>
      <c r="H127" s="519"/>
      <c r="I127" s="519"/>
      <c r="J127" s="519"/>
      <c r="K127" s="519"/>
      <c r="L127" s="519"/>
      <c r="M127" s="520"/>
      <c r="N127" s="1066"/>
      <c r="O127" s="1066"/>
      <c r="P127" s="2111"/>
      <c r="Q127" s="516"/>
    </row>
    <row r="128" spans="1:17" ht="14.4" thickTop="1">
      <c r="A128" s="556"/>
      <c r="B128" s="495">
        <f>B45</f>
        <v>111</v>
      </c>
      <c r="C128" s="511"/>
      <c r="D128" s="511"/>
      <c r="E128" s="511"/>
      <c r="F128" s="511"/>
      <c r="G128" s="540"/>
      <c r="H128" s="540"/>
      <c r="I128" s="540"/>
      <c r="J128" s="540"/>
      <c r="K128" s="541"/>
      <c r="L128" s="542"/>
      <c r="M128" s="543"/>
      <c r="N128" s="1064"/>
      <c r="O128" s="1064"/>
      <c r="P128" s="2110"/>
      <c r="Q128" s="461"/>
    </row>
    <row r="129" spans="1:17" ht="14.4" thickBot="1">
      <c r="A129" s="491"/>
      <c r="B129" s="500"/>
      <c r="C129" s="517"/>
      <c r="D129" s="517"/>
      <c r="E129" s="517"/>
      <c r="F129" s="517"/>
      <c r="G129" s="493"/>
      <c r="H129" s="493"/>
      <c r="I129" s="493"/>
      <c r="J129" s="493"/>
      <c r="K129" s="493"/>
      <c r="L129" s="493"/>
      <c r="M129" s="494"/>
      <c r="N129" s="1065"/>
      <c r="O129" s="1065"/>
      <c r="P129" s="2110"/>
      <c r="Q129" s="461"/>
    </row>
    <row r="130" spans="1:17" ht="14.4" thickTop="1">
      <c r="A130" s="556"/>
      <c r="B130" s="503">
        <f>B46</f>
        <v>111</v>
      </c>
      <c r="C130" s="511"/>
      <c r="D130" s="511"/>
      <c r="E130" s="511"/>
      <c r="F130" s="511"/>
      <c r="G130" s="544"/>
      <c r="H130" s="544"/>
      <c r="I130" s="544"/>
      <c r="J130" s="544"/>
      <c r="K130" s="480"/>
      <c r="L130" s="481"/>
      <c r="M130" s="547"/>
      <c r="N130" s="1064"/>
      <c r="O130" s="1064"/>
      <c r="P130" s="2110"/>
      <c r="Q130" s="461"/>
    </row>
    <row r="131" spans="1:17" ht="14.4"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6.2"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ht="14.4">
      <c r="B147" s="2117" t="s">
        <v>2462</v>
      </c>
    </row>
    <row r="148" spans="2:11" ht="14.4">
      <c r="B148" s="2117"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4" customWidth="1"/>
    <col min="2" max="16384" width="9" style="1664"/>
  </cols>
  <sheetData>
    <row r="1" spans="1:1" ht="22.8">
      <c r="A1" s="1663" t="s">
        <v>1576</v>
      </c>
    </row>
    <row r="2" spans="1:1">
      <c r="A2" s="1665"/>
    </row>
    <row r="3" spans="1:1" ht="17.399999999999999">
      <c r="A3" s="1666" t="str">
        <f>项目基本情况!B5&amp;"："</f>
        <v>北京睿利众屹软件有限公司：</v>
      </c>
    </row>
    <row r="4" spans="1:1" ht="17.399999999999999">
      <c r="A4" s="1667" t="str">
        <f>"受贵公司委托，我公司对"&amp;项目基本情况!S1&amp;"进行了预评估。"</f>
        <v>受贵公司委托，我公司对北京市房地产市场价值进行了预评估。</v>
      </c>
    </row>
    <row r="5" spans="1:1" ht="17.399999999999999">
      <c r="A5" s="1668" t="s">
        <v>1577</v>
      </c>
    </row>
    <row r="6" spans="1:1" ht="17.399999999999999">
      <c r="A6" s="1669" t="s">
        <v>1578</v>
      </c>
    </row>
    <row r="7" spans="1:1" ht="52.2">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估价对象为北京市房地产，为所有。根据《国有土地使用证》[]，估价对象（分摊）出让国有建设用地使用权面积为0平方米，建筑面积为671.51平方米。</v>
      </c>
    </row>
    <row r="8" spans="1:1" ht="54.6">
      <c r="A8" s="1670" t="s">
        <v>1579</v>
      </c>
    </row>
    <row r="9" spans="1:1" ht="17.399999999999999">
      <c r="A9" s="1669" t="s">
        <v>1580</v>
      </c>
    </row>
    <row r="10" spans="1:1" ht="52.2">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估价对象为北京市房地产,属开发建设的办公项目，该项目尚在开发建设中。根据《国有土地使用证》[]，估价对象（分摊）出让国有建设用地使用权面积为0平方米，规划建筑面积为671.51平方米。</v>
      </c>
    </row>
    <row r="11" spans="1:1" ht="72">
      <c r="A11" s="1670" t="s">
        <v>1581</v>
      </c>
    </row>
    <row r="12" spans="1:1" ht="17.399999999999999">
      <c r="A12" s="1668" t="s">
        <v>1582</v>
      </c>
    </row>
    <row r="13" spans="1:1" ht="38.25" customHeight="1">
      <c r="A13" s="1671" t="str">
        <f>IF(项目基本情况!B8="抵押",IF(项目基本情况!B5=项目基本情况!B6,定义!C51,定义!B51),定义!D51)</f>
        <v>为估价委托人在向兴业银行股份有限公司北京通州支行办理贷款手续过程中，确定房地产抵押贷款额度提供参考依据而评估房地产抵押价值。</v>
      </c>
    </row>
    <row r="14" spans="1:1" ht="17.399999999999999">
      <c r="A14" s="1672" t="s">
        <v>1583</v>
      </c>
    </row>
    <row r="15" spans="1:1" ht="17.399999999999999">
      <c r="A15" s="1673" t="str">
        <f>TEXT(项目基本情况!D3,"yyyy年m月d日;;")&amp;IF(项目基本情况!D3=项目基本情况!B3,"（评估专业人员实地查勘之日）","")</f>
        <v>2021年1月13日（评估专业人员实地查勘之日）</v>
      </c>
    </row>
    <row r="16" spans="1:1" ht="17.399999999999999">
      <c r="A16" s="1672" t="s">
        <v>1584</v>
      </c>
    </row>
    <row r="17" spans="1:1" ht="69.599999999999994">
      <c r="A17" s="1667" t="s">
        <v>1585</v>
      </c>
    </row>
    <row r="18" spans="1:1" ht="69.59999999999999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667" t="str">
        <f>IF(项目基本情况!B9="房地产市场价值","——",IF(项目基本情况!E8="房地产抵押价值",定义!C54,IF(项目基本情况!E8="已注销",定义!C55,定义!C56)))</f>
        <v>——</v>
      </c>
    </row>
    <row r="21" spans="1:1" ht="17.399999999999999">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667" t="str">
        <f>IF(项目基本情况!B9="房地产市场价值","——",IF(项目基本情况!E9="——","",定义!C57))</f>
        <v>——</v>
      </c>
    </row>
    <row r="23" spans="1:1" ht="17.399999999999999">
      <c r="A23" s="1672" t="s">
        <v>1574</v>
      </c>
    </row>
    <row r="24" spans="1:1" ht="17.399999999999999">
      <c r="A24" s="1674" t="str">
        <f>"本次评估采用的主估价方法为"&amp;结果表!K4&amp;"和"&amp;结果表!L4&amp;"。"</f>
        <v>本次评估采用的主估价方法为比较法和收益法。</v>
      </c>
    </row>
    <row r="25" spans="1:1" ht="17.399999999999999">
      <c r="A25" s="1674"/>
    </row>
    <row r="26" spans="1:1" ht="17.399999999999999">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Normal="70" zoomScaleSheetLayoutView="100" workbookViewId="0">
      <selection activeCell="G48" sqref="G4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4"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2350</v>
      </c>
      <c r="B1" s="2066" t="s">
        <v>2464</v>
      </c>
      <c r="C1" s="1406" t="s">
        <v>2352</v>
      </c>
      <c r="D1" s="1393" t="s">
        <v>3083</v>
      </c>
      <c r="E1" s="2544"/>
      <c r="F1" s="2067" t="s">
        <v>3090</v>
      </c>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f>IF(C2="——",ROUND(C49*D3/10000,0),ROUND(C49*D3/10000,0)-D2)</f>
        <v>377</v>
      </c>
      <c r="C2" s="2069" t="s">
        <v>70</v>
      </c>
      <c r="D2" s="1275">
        <f ca="1">SUMIF(INDIRECT("'"&amp;F2&amp;"'"&amp;"!A:A"),"承租人权益价值",INDIRECT("'"&amp;F2&amp;"'"&amp;"!c:c"))</f>
        <v>0</v>
      </c>
      <c r="E2" s="2070" t="s">
        <v>2150</v>
      </c>
      <c r="F2" s="2071" t="s">
        <v>3091</v>
      </c>
      <c r="G2" s="1039"/>
      <c r="H2" s="1039"/>
      <c r="I2" s="1039"/>
      <c r="J2" s="1039"/>
      <c r="K2" s="1039"/>
      <c r="L2" s="2962"/>
      <c r="M2" s="2963"/>
      <c r="N2" s="2963"/>
      <c r="O2" s="2963"/>
      <c r="P2" s="2140"/>
      <c r="Q2" s="1043"/>
      <c r="R2" s="1043"/>
      <c r="S2" s="1043"/>
      <c r="T2" s="1043"/>
      <c r="U2" s="1043"/>
      <c r="V2" s="1043"/>
      <c r="W2" s="1043"/>
      <c r="X2" s="1043"/>
      <c r="Y2" s="1043"/>
      <c r="Z2" s="1043"/>
      <c r="AA2" s="1043"/>
      <c r="AB2" s="1043"/>
      <c r="AC2" s="2141"/>
    </row>
    <row r="3" spans="1:29" s="358" customFormat="1" ht="28.5" customHeight="1" thickBot="1">
      <c r="A3" s="209" t="s">
        <v>2151</v>
      </c>
      <c r="B3" s="566">
        <f>IF(C2="——",C49,ROUND(B2*10000/D3,0))</f>
        <v>32473</v>
      </c>
      <c r="C3" s="360" t="s">
        <v>2466</v>
      </c>
      <c r="D3" s="359">
        <f>IF(D1="",'数据-汇总表'!E3,SUMIF('数据-汇总表'!$C19:$C33,D1,'数据-汇总表'!$E19:$E33))</f>
        <v>116.2</v>
      </c>
      <c r="E3" s="2142"/>
      <c r="F3" s="1040"/>
      <c r="G3" s="1039"/>
      <c r="H3" s="1039"/>
      <c r="I3" s="1039"/>
      <c r="J3" s="1039"/>
      <c r="K3" s="1041"/>
      <c r="L3" s="2962"/>
      <c r="M3" s="2963"/>
      <c r="N3" s="2963"/>
      <c r="O3" s="2963"/>
      <c r="P3" s="2140"/>
      <c r="Q3" s="1043"/>
      <c r="R3" s="1043"/>
      <c r="S3" s="1043"/>
      <c r="T3" s="1043"/>
      <c r="U3" s="1043"/>
      <c r="V3" s="1043"/>
      <c r="W3" s="1043"/>
      <c r="X3" s="1043"/>
      <c r="Y3" s="1043"/>
      <c r="Z3" s="1043"/>
      <c r="AA3" s="1043"/>
      <c r="AB3" s="1043"/>
      <c r="AC3" s="2142"/>
    </row>
    <row r="4" spans="1:29" ht="14.4">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39" t="s">
        <v>2469</v>
      </c>
      <c r="S4" s="3340"/>
      <c r="T4" s="3339" t="s">
        <v>2470</v>
      </c>
      <c r="U4" s="3340"/>
      <c r="V4" s="3345" t="s">
        <v>2471</v>
      </c>
      <c r="W4" s="3345"/>
      <c r="X4" s="1541"/>
      <c r="Y4" s="3339" t="s">
        <v>2473</v>
      </c>
      <c r="Z4" s="3340"/>
      <c r="AA4" s="3326" t="s">
        <v>2469</v>
      </c>
      <c r="AB4" s="3345" t="s">
        <v>2470</v>
      </c>
      <c r="AC4" s="3326" t="s">
        <v>2471</v>
      </c>
    </row>
    <row r="5" spans="1:29">
      <c r="A5" s="364"/>
      <c r="B5" s="365"/>
      <c r="C5" s="3359" t="s">
        <v>3181</v>
      </c>
      <c r="D5" s="3349"/>
      <c r="E5" s="3362" t="s">
        <v>3178</v>
      </c>
      <c r="F5" s="3356"/>
      <c r="G5" s="3359" t="s">
        <v>3179</v>
      </c>
      <c r="H5" s="3349"/>
      <c r="I5" s="3359" t="s">
        <v>3180</v>
      </c>
      <c r="J5" s="3349"/>
      <c r="K5" s="567"/>
      <c r="L5" s="2943"/>
      <c r="M5" s="2944"/>
      <c r="N5" s="2944"/>
      <c r="O5" s="2944"/>
      <c r="P5" s="3335"/>
      <c r="Q5" s="3336"/>
      <c r="R5" s="3341"/>
      <c r="S5" s="3342"/>
      <c r="T5" s="3341"/>
      <c r="U5" s="3342"/>
      <c r="V5" s="3345"/>
      <c r="W5" s="3345"/>
      <c r="X5" s="1541"/>
      <c r="Y5" s="3341"/>
      <c r="Z5" s="3342"/>
      <c r="AA5" s="3327"/>
      <c r="AB5" s="3345"/>
      <c r="AC5" s="3327"/>
    </row>
    <row r="6" spans="1:29" ht="15" thickBot="1">
      <c r="A6" s="366"/>
      <c r="B6" s="367"/>
      <c r="C6" s="3360" t="s">
        <v>3182</v>
      </c>
      <c r="D6" s="3347"/>
      <c r="E6" s="3361" t="s">
        <v>3184</v>
      </c>
      <c r="F6" s="3354"/>
      <c r="G6" s="3360" t="s">
        <v>3176</v>
      </c>
      <c r="H6" s="3347"/>
      <c r="I6" s="3357" t="s">
        <v>3177</v>
      </c>
      <c r="J6" s="3358"/>
      <c r="K6" s="567" t="s">
        <v>2369</v>
      </c>
      <c r="L6" s="2943"/>
      <c r="M6" s="2944"/>
      <c r="N6" s="2944"/>
      <c r="O6" s="2944"/>
      <c r="P6" s="3337"/>
      <c r="Q6" s="3338"/>
      <c r="R6" s="3341"/>
      <c r="S6" s="3342"/>
      <c r="T6" s="3343"/>
      <c r="U6" s="3344"/>
      <c r="V6" s="3345"/>
      <c r="W6" s="3345"/>
      <c r="X6" s="1541"/>
      <c r="Y6" s="3343"/>
      <c r="Z6" s="3344"/>
      <c r="AA6" s="3328"/>
      <c r="AB6" s="3345"/>
      <c r="AC6" s="3328"/>
    </row>
    <row r="7" spans="1:29" s="113" customFormat="1" ht="15" thickBot="1">
      <c r="A7" s="368" t="s">
        <v>2370</v>
      </c>
      <c r="B7" s="369"/>
      <c r="C7" s="370">
        <f>'数据-取费表'!B2</f>
        <v>44209</v>
      </c>
      <c r="D7" s="371">
        <v>100</v>
      </c>
      <c r="E7" s="372">
        <f>C7</f>
        <v>44209</v>
      </c>
      <c r="F7" s="131">
        <f>SUMIF(58:58,YEAR(E7)&amp;"-"&amp;MONTH(E7),59:59)</f>
        <v>100</v>
      </c>
      <c r="G7" s="372">
        <f>E7</f>
        <v>44209</v>
      </c>
      <c r="H7" s="371">
        <f>SUMIF(58:58,YEAR(G7)&amp;"-"&amp;MONTH(G7),59:59)</f>
        <v>100</v>
      </c>
      <c r="I7" s="372">
        <f>E7</f>
        <v>44209</v>
      </c>
      <c r="J7" s="371">
        <f>SUMIF(58:58,YEAR(I7)&amp;"-"&amp;MONTH(I7),59:59)</f>
        <v>100</v>
      </c>
      <c r="K7" s="568"/>
      <c r="L7" s="2945"/>
      <c r="M7" s="2946"/>
      <c r="N7" s="2946"/>
      <c r="O7" s="2946"/>
      <c r="P7" s="3350" t="s">
        <v>2371</v>
      </c>
      <c r="Q7" s="3352"/>
      <c r="R7" s="710" t="s">
        <v>17</v>
      </c>
      <c r="S7" s="711">
        <f t="shared" ref="S7:S15" si="0">F7</f>
        <v>100</v>
      </c>
      <c r="T7" s="710" t="s">
        <v>17</v>
      </c>
      <c r="U7" s="711">
        <f t="shared" ref="U7:U15" si="1">H7</f>
        <v>100</v>
      </c>
      <c r="V7" s="710" t="s">
        <v>17</v>
      </c>
      <c r="W7" s="711">
        <f t="shared" ref="W7:W15" si="2">J7</f>
        <v>100</v>
      </c>
      <c r="X7" s="712"/>
      <c r="Y7" s="3350" t="s">
        <v>2371</v>
      </c>
      <c r="Z7" s="3351"/>
      <c r="AA7" s="713">
        <f>D7/F7</f>
        <v>1</v>
      </c>
      <c r="AB7" s="713">
        <f>D7/H7</f>
        <v>1</v>
      </c>
      <c r="AC7" s="713">
        <f>D7/J7</f>
        <v>1</v>
      </c>
    </row>
    <row r="8" spans="1:29" s="113" customFormat="1" ht="15" thickBot="1">
      <c r="A8" s="368" t="s">
        <v>2372</v>
      </c>
      <c r="B8" s="369"/>
      <c r="C8" s="374" t="s">
        <v>2474</v>
      </c>
      <c r="D8" s="371">
        <v>100</v>
      </c>
      <c r="E8" s="374" t="s">
        <v>3092</v>
      </c>
      <c r="F8" s="131">
        <f>SUMIF(61:61,E8,62:62)-SUMIF(61:61,C8,62:62)+100</f>
        <v>100</v>
      </c>
      <c r="G8" s="374" t="s">
        <v>3092</v>
      </c>
      <c r="H8" s="371">
        <f>SUMIF(61:61,G8,62:62)-SUMIF(61:61,C8,62:62)+100</f>
        <v>100</v>
      </c>
      <c r="I8" s="374" t="s">
        <v>3092</v>
      </c>
      <c r="J8" s="371">
        <f>SUMIF(61:61,I8,62:62)-SUMIF(61:61,C8,62:62)+100</f>
        <v>100</v>
      </c>
      <c r="K8" s="568"/>
      <c r="L8" s="2945"/>
      <c r="M8" s="2946"/>
      <c r="N8" s="2946"/>
      <c r="O8" s="2946"/>
      <c r="P8" s="3350" t="s">
        <v>2374</v>
      </c>
      <c r="Q8" s="3351"/>
      <c r="R8" s="710" t="s">
        <v>17</v>
      </c>
      <c r="S8" s="711">
        <f t="shared" si="0"/>
        <v>100</v>
      </c>
      <c r="T8" s="710" t="s">
        <v>17</v>
      </c>
      <c r="U8" s="711">
        <f t="shared" si="1"/>
        <v>100</v>
      </c>
      <c r="V8" s="710" t="s">
        <v>17</v>
      </c>
      <c r="W8" s="711">
        <f t="shared" si="2"/>
        <v>100</v>
      </c>
      <c r="X8" s="712"/>
      <c r="Y8" s="3350" t="s">
        <v>2374</v>
      </c>
      <c r="Z8" s="3351"/>
      <c r="AA8" s="713">
        <f t="shared" ref="AA8:AA46" si="3">D8/F8</f>
        <v>1</v>
      </c>
      <c r="AB8" s="713">
        <f t="shared" ref="AB8:AB46" si="4">D8/H8</f>
        <v>1</v>
      </c>
      <c r="AC8" s="713">
        <f t="shared" ref="AC8:AC46" si="5">D8/J8</f>
        <v>1</v>
      </c>
    </row>
    <row r="9" spans="1:29" s="113" customFormat="1" ht="14.4">
      <c r="A9" s="375" t="s">
        <v>2375</v>
      </c>
      <c r="B9" s="67" t="s">
        <v>2376</v>
      </c>
      <c r="C9" s="3047" t="s">
        <v>3093</v>
      </c>
      <c r="D9" s="131">
        <v>100</v>
      </c>
      <c r="E9" s="3066" t="s">
        <v>1343</v>
      </c>
      <c r="F9" s="131">
        <f>SUMIF(63:63,E9,64:64)-SUMIF(63:63,C9,64:64)+100</f>
        <v>105</v>
      </c>
      <c r="G9" s="3066" t="s">
        <v>1343</v>
      </c>
      <c r="H9" s="131">
        <f>SUMIF(63:63,G9,64:64)-SUMIF(63:63,C9,64:64)+100</f>
        <v>105</v>
      </c>
      <c r="I9" s="3066" t="s">
        <v>1343</v>
      </c>
      <c r="J9" s="131">
        <f>SUMIF(63:63,I9,64:64)-SUMIF(63:63,C9,64:64)+100</f>
        <v>105</v>
      </c>
      <c r="K9" s="568"/>
      <c r="L9" s="2945"/>
      <c r="M9" s="2946"/>
      <c r="N9" s="2946"/>
      <c r="O9" s="2946"/>
      <c r="P9" s="3325" t="s">
        <v>2377</v>
      </c>
      <c r="Q9" s="1529" t="str">
        <f t="shared" ref="Q9:Q15" si="6">B9</f>
        <v>用途</v>
      </c>
      <c r="R9" s="710" t="s">
        <v>17</v>
      </c>
      <c r="S9" s="711">
        <f t="shared" si="0"/>
        <v>105</v>
      </c>
      <c r="T9" s="710" t="s">
        <v>17</v>
      </c>
      <c r="U9" s="711">
        <f t="shared" si="1"/>
        <v>105</v>
      </c>
      <c r="V9" s="710" t="s">
        <v>17</v>
      </c>
      <c r="W9" s="711">
        <f t="shared" si="2"/>
        <v>105</v>
      </c>
      <c r="X9" s="712"/>
      <c r="Y9" s="3184" t="s">
        <v>2378</v>
      </c>
      <c r="Z9" s="55" t="str">
        <f t="shared" ref="Z9:Z15" si="7">Q9</f>
        <v>用途</v>
      </c>
      <c r="AA9" s="713">
        <f t="shared" si="3"/>
        <v>0.95238095238095233</v>
      </c>
      <c r="AB9" s="713">
        <f t="shared" si="4"/>
        <v>0.95238095238095233</v>
      </c>
      <c r="AC9" s="713">
        <f t="shared" si="5"/>
        <v>0.95238095238095233</v>
      </c>
    </row>
    <row r="10" spans="1:29" s="386" customFormat="1" ht="28.8">
      <c r="A10" s="380"/>
      <c r="B10" s="381" t="s">
        <v>2379</v>
      </c>
      <c r="C10" s="382" t="s">
        <v>3094</v>
      </c>
      <c r="D10" s="132">
        <v>100</v>
      </c>
      <c r="E10" s="383" t="s">
        <v>3094</v>
      </c>
      <c r="F10" s="384">
        <f>SUMIF(65:65,E10,66:66)-SUMIF(65:65,C10,66:66)+100</f>
        <v>100</v>
      </c>
      <c r="G10" s="382" t="s">
        <v>3094</v>
      </c>
      <c r="H10" s="132">
        <f>SUMIF(65:65,G10,66:66)-SUMIF(65:65,C10,66:66)+100</f>
        <v>100</v>
      </c>
      <c r="I10" s="382" t="s">
        <v>3094</v>
      </c>
      <c r="J10" s="132">
        <f>SUMIF(65:65,I10,66:66)-SUMIF(65:65,C10,66:66)+100</f>
        <v>100</v>
      </c>
      <c r="K10" s="569">
        <v>1</v>
      </c>
      <c r="L10" s="2947"/>
      <c r="M10" s="2948"/>
      <c r="N10" s="2948"/>
      <c r="O10" s="2948"/>
      <c r="P10" s="3325"/>
      <c r="Q10" s="1529" t="str">
        <f t="shared" si="6"/>
        <v>土地使用年限（年）</v>
      </c>
      <c r="R10" s="710" t="s">
        <v>17</v>
      </c>
      <c r="S10" s="711">
        <f t="shared" si="0"/>
        <v>100</v>
      </c>
      <c r="T10" s="710" t="s">
        <v>17</v>
      </c>
      <c r="U10" s="711">
        <f t="shared" si="1"/>
        <v>100</v>
      </c>
      <c r="V10" s="710" t="s">
        <v>17</v>
      </c>
      <c r="W10" s="711">
        <f t="shared" si="2"/>
        <v>100</v>
      </c>
      <c r="X10" s="712"/>
      <c r="Y10" s="3184"/>
      <c r="Z10" s="55" t="str">
        <f t="shared" si="7"/>
        <v>土地使用年限（年）</v>
      </c>
      <c r="AA10" s="713">
        <f t="shared" si="3"/>
        <v>1</v>
      </c>
      <c r="AB10" s="713">
        <f t="shared" si="4"/>
        <v>1</v>
      </c>
      <c r="AC10" s="713">
        <f t="shared" si="5"/>
        <v>1</v>
      </c>
    </row>
    <row r="11" spans="1:29" ht="15">
      <c r="A11" s="387"/>
      <c r="B11" s="381" t="s">
        <v>2380</v>
      </c>
      <c r="C11" s="388">
        <v>1</v>
      </c>
      <c r="D11" s="132">
        <v>100</v>
      </c>
      <c r="E11" s="389">
        <v>1</v>
      </c>
      <c r="F11" s="384">
        <f>LOOKUP(E11,68:68,69:69)-LOOKUP(C11,68:68,69:69)+100</f>
        <v>100</v>
      </c>
      <c r="G11" s="388">
        <v>1</v>
      </c>
      <c r="H11" s="132">
        <f>LOOKUP(G11,68:68,69:69)-LOOKUP(C11,68:68,69:69)+100</f>
        <v>100</v>
      </c>
      <c r="I11" s="388">
        <v>1</v>
      </c>
      <c r="J11" s="132">
        <f>LOOKUP(I11,68:68,69:69)-LOOKUP(C11,68:68,69:69)+100</f>
        <v>100</v>
      </c>
      <c r="K11" s="569"/>
      <c r="L11" s="2949"/>
      <c r="M11" s="2944"/>
      <c r="N11" s="2944"/>
      <c r="O11" s="2944"/>
      <c r="P11" s="3325"/>
      <c r="Q11" s="1529" t="str">
        <f t="shared" si="6"/>
        <v>容积率</v>
      </c>
      <c r="R11" s="710" t="s">
        <v>17</v>
      </c>
      <c r="S11" s="711">
        <f t="shared" si="0"/>
        <v>100</v>
      </c>
      <c r="T11" s="710" t="s">
        <v>17</v>
      </c>
      <c r="U11" s="711">
        <f t="shared" si="1"/>
        <v>100</v>
      </c>
      <c r="V11" s="710" t="s">
        <v>17</v>
      </c>
      <c r="W11" s="711">
        <f t="shared" si="2"/>
        <v>100</v>
      </c>
      <c r="X11" s="712"/>
      <c r="Y11" s="3184"/>
      <c r="Z11" s="55" t="str">
        <f t="shared" si="7"/>
        <v>容积率</v>
      </c>
      <c r="AA11" s="713">
        <f t="shared" si="3"/>
        <v>1</v>
      </c>
      <c r="AB11" s="713">
        <f t="shared" si="4"/>
        <v>1</v>
      </c>
      <c r="AC11" s="713">
        <f t="shared" si="5"/>
        <v>1</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25"/>
      <c r="Q12" s="1529">
        <f t="shared" si="6"/>
        <v>111</v>
      </c>
      <c r="R12" s="710" t="s">
        <v>17</v>
      </c>
      <c r="S12" s="711">
        <f t="shared" si="0"/>
        <v>100</v>
      </c>
      <c r="T12" s="710" t="s">
        <v>17</v>
      </c>
      <c r="U12" s="711">
        <f t="shared" si="1"/>
        <v>100</v>
      </c>
      <c r="V12" s="710" t="s">
        <v>17</v>
      </c>
      <c r="W12" s="711">
        <f t="shared" si="2"/>
        <v>100</v>
      </c>
      <c r="X12" s="712"/>
      <c r="Y12" s="3184"/>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25"/>
      <c r="Q13" s="1529">
        <f t="shared" si="6"/>
        <v>111</v>
      </c>
      <c r="R13" s="710" t="s">
        <v>17</v>
      </c>
      <c r="S13" s="711">
        <f t="shared" si="0"/>
        <v>100</v>
      </c>
      <c r="T13" s="710" t="s">
        <v>17</v>
      </c>
      <c r="U13" s="711">
        <f t="shared" si="1"/>
        <v>100</v>
      </c>
      <c r="V13" s="710" t="s">
        <v>17</v>
      </c>
      <c r="W13" s="711">
        <f t="shared" si="2"/>
        <v>100</v>
      </c>
      <c r="X13" s="712"/>
      <c r="Y13" s="3184"/>
      <c r="Z13" s="55">
        <f t="shared" si="7"/>
        <v>111</v>
      </c>
      <c r="AA13" s="713">
        <f t="shared" si="3"/>
        <v>1</v>
      </c>
      <c r="AB13" s="713">
        <f t="shared" si="4"/>
        <v>1</v>
      </c>
      <c r="AC13" s="713">
        <f t="shared" si="5"/>
        <v>1</v>
      </c>
    </row>
    <row r="14" spans="1:29" ht="15.6"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25"/>
      <c r="Q14" s="1529">
        <f t="shared" si="6"/>
        <v>111</v>
      </c>
      <c r="R14" s="710" t="s">
        <v>17</v>
      </c>
      <c r="S14" s="711">
        <f t="shared" si="0"/>
        <v>100</v>
      </c>
      <c r="T14" s="710" t="s">
        <v>17</v>
      </c>
      <c r="U14" s="711">
        <f t="shared" si="1"/>
        <v>100</v>
      </c>
      <c r="V14" s="710" t="s">
        <v>17</v>
      </c>
      <c r="W14" s="711">
        <f t="shared" si="2"/>
        <v>100</v>
      </c>
      <c r="X14" s="712"/>
      <c r="Y14" s="3184"/>
      <c r="Z14" s="55">
        <f t="shared" si="7"/>
        <v>111</v>
      </c>
      <c r="AA14" s="713">
        <f t="shared" si="3"/>
        <v>1</v>
      </c>
      <c r="AB14" s="713">
        <f t="shared" si="4"/>
        <v>1</v>
      </c>
      <c r="AC14" s="713">
        <f t="shared" si="5"/>
        <v>1</v>
      </c>
    </row>
    <row r="15" spans="1:29" ht="69">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3</v>
      </c>
      <c r="L15" s="2950"/>
      <c r="M15" s="2944"/>
      <c r="N15" s="2944"/>
      <c r="O15" s="2944"/>
      <c r="P15" s="3323" t="s">
        <v>2382</v>
      </c>
      <c r="Q15" s="1538" t="str">
        <f t="shared" si="6"/>
        <v>商业繁华度</v>
      </c>
      <c r="R15" s="714" t="s">
        <v>17</v>
      </c>
      <c r="S15" s="715">
        <f t="shared" si="0"/>
        <v>100</v>
      </c>
      <c r="T15" s="714" t="s">
        <v>17</v>
      </c>
      <c r="U15" s="715">
        <f t="shared" si="1"/>
        <v>100</v>
      </c>
      <c r="V15" s="714" t="s">
        <v>17</v>
      </c>
      <c r="W15" s="715">
        <f t="shared" si="2"/>
        <v>100</v>
      </c>
      <c r="X15" s="1541"/>
      <c r="Y15" s="3316" t="s">
        <v>2382</v>
      </c>
      <c r="Z15" s="1542" t="str">
        <f t="shared" si="7"/>
        <v>商业繁华度</v>
      </c>
      <c r="AA15" s="1539">
        <f t="shared" si="3"/>
        <v>1</v>
      </c>
      <c r="AB15" s="1539">
        <f t="shared" si="4"/>
        <v>1</v>
      </c>
      <c r="AC15" s="1539">
        <f t="shared" si="5"/>
        <v>1</v>
      </c>
    </row>
    <row r="16" spans="1:29" ht="15">
      <c r="A16" s="387"/>
      <c r="B16" s="405"/>
      <c r="C16" s="406" t="s">
        <v>3095</v>
      </c>
      <c r="D16" s="407"/>
      <c r="E16" s="406" t="s">
        <v>3095</v>
      </c>
      <c r="F16" s="408"/>
      <c r="G16" s="406" t="s">
        <v>3095</v>
      </c>
      <c r="H16" s="409"/>
      <c r="I16" s="406" t="s">
        <v>3095</v>
      </c>
      <c r="J16" s="407"/>
      <c r="K16" s="572"/>
      <c r="L16" s="2950"/>
      <c r="M16" s="2944"/>
      <c r="N16" s="2944"/>
      <c r="O16" s="2944"/>
      <c r="P16" s="3324"/>
      <c r="Q16" s="1538"/>
      <c r="R16" s="714"/>
      <c r="S16" s="715"/>
      <c r="T16" s="714"/>
      <c r="U16" s="715"/>
      <c r="V16" s="714"/>
      <c r="W16" s="715"/>
      <c r="X16" s="1541"/>
      <c r="Y16" s="3317"/>
      <c r="Z16" s="1542"/>
      <c r="AA16" s="1539">
        <v>1</v>
      </c>
      <c r="AB16" s="1539">
        <v>1</v>
      </c>
      <c r="AC16" s="1539">
        <v>1</v>
      </c>
    </row>
    <row r="17" spans="1:29" ht="82.8">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3</v>
      </c>
      <c r="L17" s="2950"/>
      <c r="M17" s="2944"/>
      <c r="N17" s="2944"/>
      <c r="O17" s="2944"/>
      <c r="P17" s="3324"/>
      <c r="Q17" s="1538" t="str">
        <f>B17</f>
        <v>交通便捷度</v>
      </c>
      <c r="R17" s="714" t="s">
        <v>17</v>
      </c>
      <c r="S17" s="715">
        <f>F17</f>
        <v>100</v>
      </c>
      <c r="T17" s="714" t="s">
        <v>17</v>
      </c>
      <c r="U17" s="715">
        <f>H17</f>
        <v>100</v>
      </c>
      <c r="V17" s="714" t="s">
        <v>17</v>
      </c>
      <c r="W17" s="715">
        <f>J17</f>
        <v>100</v>
      </c>
      <c r="X17" s="1541"/>
      <c r="Y17" s="3317"/>
      <c r="Z17" s="1542" t="str">
        <f>Q17</f>
        <v>交通便捷度</v>
      </c>
      <c r="AA17" s="1539">
        <f t="shared" si="3"/>
        <v>1</v>
      </c>
      <c r="AB17" s="1539">
        <f t="shared" si="4"/>
        <v>1</v>
      </c>
      <c r="AC17" s="1539">
        <f t="shared" si="5"/>
        <v>1</v>
      </c>
    </row>
    <row r="18" spans="1:29" ht="15">
      <c r="A18" s="387"/>
      <c r="B18" s="415"/>
      <c r="C18" s="2089" t="s">
        <v>3095</v>
      </c>
      <c r="D18" s="409"/>
      <c r="E18" s="2091" t="s">
        <v>3095</v>
      </c>
      <c r="F18" s="412"/>
      <c r="G18" s="2090" t="s">
        <v>3095</v>
      </c>
      <c r="H18" s="407"/>
      <c r="I18" s="2091" t="s">
        <v>3095</v>
      </c>
      <c r="J18" s="407"/>
      <c r="K18" s="572"/>
      <c r="L18" s="2950"/>
      <c r="M18" s="2944"/>
      <c r="N18" s="2944"/>
      <c r="O18" s="2944"/>
      <c r="P18" s="3324"/>
      <c r="Q18" s="1538"/>
      <c r="R18" s="714"/>
      <c r="S18" s="715"/>
      <c r="T18" s="714"/>
      <c r="U18" s="715"/>
      <c r="V18" s="714"/>
      <c r="W18" s="715"/>
      <c r="X18" s="1541"/>
      <c r="Y18" s="3317"/>
      <c r="Z18" s="1542"/>
      <c r="AA18" s="1539">
        <v>1</v>
      </c>
      <c r="AB18" s="1539">
        <v>1</v>
      </c>
      <c r="AC18" s="1539">
        <v>1</v>
      </c>
    </row>
    <row r="19" spans="1:29" ht="41.4">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50"/>
      <c r="M19" s="2944"/>
      <c r="N19" s="2944"/>
      <c r="O19" s="2944"/>
      <c r="P19" s="3324"/>
      <c r="Q19" s="1538" t="str">
        <f>B19</f>
        <v>公共配套设施</v>
      </c>
      <c r="R19" s="714" t="s">
        <v>17</v>
      </c>
      <c r="S19" s="715">
        <f>F19</f>
        <v>100</v>
      </c>
      <c r="T19" s="714" t="s">
        <v>17</v>
      </c>
      <c r="U19" s="715">
        <f>H19</f>
        <v>100</v>
      </c>
      <c r="V19" s="714" t="s">
        <v>17</v>
      </c>
      <c r="W19" s="715">
        <f>J19</f>
        <v>100</v>
      </c>
      <c r="X19" s="1541"/>
      <c r="Y19" s="3317"/>
      <c r="Z19" s="1542" t="str">
        <f>Q19</f>
        <v>公共配套设施</v>
      </c>
      <c r="AA19" s="1539">
        <f t="shared" si="3"/>
        <v>1</v>
      </c>
      <c r="AB19" s="1539">
        <f t="shared" si="4"/>
        <v>1</v>
      </c>
      <c r="AC19" s="1539">
        <f t="shared" si="5"/>
        <v>1</v>
      </c>
    </row>
    <row r="20" spans="1:29" ht="15">
      <c r="A20" s="387"/>
      <c r="B20" s="415"/>
      <c r="C20" s="406" t="s">
        <v>3095</v>
      </c>
      <c r="D20" s="407"/>
      <c r="E20" s="2086" t="s">
        <v>3095</v>
      </c>
      <c r="F20" s="408"/>
      <c r="G20" s="2085" t="s">
        <v>3095</v>
      </c>
      <c r="H20" s="407"/>
      <c r="I20" s="2086" t="s">
        <v>3095</v>
      </c>
      <c r="J20" s="407"/>
      <c r="K20" s="572"/>
      <c r="L20" s="2950"/>
      <c r="M20" s="2944"/>
      <c r="N20" s="2944"/>
      <c r="O20" s="2944"/>
      <c r="P20" s="3324"/>
      <c r="Q20" s="1538"/>
      <c r="R20" s="714"/>
      <c r="S20" s="715"/>
      <c r="T20" s="714"/>
      <c r="U20" s="715"/>
      <c r="V20" s="714"/>
      <c r="W20" s="715"/>
      <c r="X20" s="1541"/>
      <c r="Y20" s="3317"/>
      <c r="Z20" s="1542"/>
      <c r="AA20" s="1539">
        <v>1</v>
      </c>
      <c r="AB20" s="1539">
        <v>1</v>
      </c>
      <c r="AC20" s="1539">
        <v>1</v>
      </c>
    </row>
    <row r="21" spans="1:29" ht="27.6">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2</v>
      </c>
      <c r="L21" s="2950"/>
      <c r="M21" s="2944"/>
      <c r="N21" s="2944"/>
      <c r="O21" s="2944"/>
      <c r="P21" s="3324"/>
      <c r="Q21" s="1538" t="str">
        <f>B21</f>
        <v>基础设施水平</v>
      </c>
      <c r="R21" s="714" t="s">
        <v>17</v>
      </c>
      <c r="S21" s="715">
        <f>F21</f>
        <v>100</v>
      </c>
      <c r="T21" s="714" t="s">
        <v>17</v>
      </c>
      <c r="U21" s="715">
        <f>H21</f>
        <v>100</v>
      </c>
      <c r="V21" s="714" t="s">
        <v>17</v>
      </c>
      <c r="W21" s="715">
        <f>J21</f>
        <v>100</v>
      </c>
      <c r="X21" s="1541"/>
      <c r="Y21" s="3317"/>
      <c r="Z21" s="1542" t="str">
        <f>Q21</f>
        <v>基础设施水平</v>
      </c>
      <c r="AA21" s="1539">
        <f t="shared" ref="AA21" si="8">D21/F21</f>
        <v>1</v>
      </c>
      <c r="AB21" s="1539">
        <f t="shared" ref="AB21" si="9">D21/H21</f>
        <v>1</v>
      </c>
      <c r="AC21" s="1539">
        <f t="shared" ref="AC21" si="10">D21/J21</f>
        <v>1</v>
      </c>
    </row>
    <row r="22" spans="1:29" ht="15">
      <c r="A22" s="387"/>
      <c r="B22" s="1293"/>
      <c r="C22" s="2089" t="s">
        <v>3097</v>
      </c>
      <c r="D22" s="407"/>
      <c r="E22" s="406" t="s">
        <v>3097</v>
      </c>
      <c r="F22" s="408"/>
      <c r="G22" s="406" t="s">
        <v>3097</v>
      </c>
      <c r="H22" s="407"/>
      <c r="I22" s="406" t="s">
        <v>3097</v>
      </c>
      <c r="J22" s="407"/>
      <c r="K22" s="1292"/>
      <c r="L22" s="2950"/>
      <c r="M22" s="2944"/>
      <c r="N22" s="2944"/>
      <c r="O22" s="2944"/>
      <c r="P22" s="3324"/>
      <c r="Q22" s="1538"/>
      <c r="R22" s="714"/>
      <c r="S22" s="715"/>
      <c r="T22" s="714"/>
      <c r="U22" s="715"/>
      <c r="V22" s="714"/>
      <c r="W22" s="715"/>
      <c r="X22" s="1541"/>
      <c r="Y22" s="3317"/>
      <c r="Z22" s="1542"/>
      <c r="AA22" s="1539">
        <v>1</v>
      </c>
      <c r="AB22" s="1539">
        <v>1</v>
      </c>
      <c r="AC22" s="1539">
        <v>1</v>
      </c>
    </row>
    <row r="23" spans="1:29" ht="55.2">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50"/>
      <c r="M23" s="2944"/>
      <c r="N23" s="2944"/>
      <c r="O23" s="2944"/>
      <c r="P23" s="3324"/>
      <c r="Q23" s="1538" t="str">
        <f>B23</f>
        <v>自然及人文环境</v>
      </c>
      <c r="R23" s="714" t="s">
        <v>17</v>
      </c>
      <c r="S23" s="715">
        <f>F23</f>
        <v>100</v>
      </c>
      <c r="T23" s="714" t="s">
        <v>17</v>
      </c>
      <c r="U23" s="715">
        <f>H23</f>
        <v>100</v>
      </c>
      <c r="V23" s="714" t="s">
        <v>17</v>
      </c>
      <c r="W23" s="715">
        <f>J23</f>
        <v>100</v>
      </c>
      <c r="X23" s="1541"/>
      <c r="Y23" s="3317"/>
      <c r="Z23" s="1542" t="str">
        <f>Q23</f>
        <v>自然及人文环境</v>
      </c>
      <c r="AA23" s="1539">
        <f t="shared" si="3"/>
        <v>1</v>
      </c>
      <c r="AB23" s="1539">
        <f t="shared" si="4"/>
        <v>1</v>
      </c>
      <c r="AC23" s="1539">
        <f t="shared" si="5"/>
        <v>1</v>
      </c>
    </row>
    <row r="24" spans="1:29" ht="15">
      <c r="A24" s="387"/>
      <c r="B24" s="415"/>
      <c r="C24" s="406" t="s">
        <v>3095</v>
      </c>
      <c r="D24" s="407"/>
      <c r="E24" s="2086" t="s">
        <v>3095</v>
      </c>
      <c r="F24" s="408"/>
      <c r="G24" s="2085" t="s">
        <v>3095</v>
      </c>
      <c r="H24" s="407"/>
      <c r="I24" s="2086" t="s">
        <v>3095</v>
      </c>
      <c r="J24" s="407"/>
      <c r="K24" s="572"/>
      <c r="L24" s="2950"/>
      <c r="M24" s="2944"/>
      <c r="N24" s="2944"/>
      <c r="O24" s="2944"/>
      <c r="P24" s="3324"/>
      <c r="Q24" s="1538"/>
      <c r="R24" s="714"/>
      <c r="S24" s="715"/>
      <c r="T24" s="714"/>
      <c r="U24" s="715"/>
      <c r="V24" s="714"/>
      <c r="W24" s="715"/>
      <c r="X24" s="1541"/>
      <c r="Y24" s="3317"/>
      <c r="Z24" s="1542"/>
      <c r="AA24" s="1539">
        <v>1</v>
      </c>
      <c r="AB24" s="1539">
        <v>1</v>
      </c>
      <c r="AC24" s="1539">
        <v>1</v>
      </c>
    </row>
    <row r="25" spans="1:29" ht="15">
      <c r="A25" s="387"/>
      <c r="B25" s="381" t="s">
        <v>2478</v>
      </c>
      <c r="C25" s="573" t="s">
        <v>3098</v>
      </c>
      <c r="D25" s="394">
        <v>100</v>
      </c>
      <c r="E25" s="573" t="s">
        <v>3098</v>
      </c>
      <c r="F25" s="420">
        <f>SUMIF(86:86,E25,87:87)-SUMIF(86:86,C25,87:87)+100</f>
        <v>100</v>
      </c>
      <c r="G25" s="573" t="s">
        <v>3098</v>
      </c>
      <c r="H25" s="394">
        <f>SUMIF(86:86,G25,87:87)-SUMIF(86:86,C25,87:87)+100</f>
        <v>100</v>
      </c>
      <c r="I25" s="573" t="s">
        <v>3098</v>
      </c>
      <c r="J25" s="394">
        <f>SUMIF(86:86,I25,87:87)-SUMIF(86:86,C25,87:87)+100</f>
        <v>100</v>
      </c>
      <c r="K25" s="569">
        <v>2</v>
      </c>
      <c r="L25" s="2950"/>
      <c r="M25" s="2944"/>
      <c r="N25" s="2944"/>
      <c r="O25" s="2944"/>
      <c r="P25" s="3324"/>
      <c r="Q25" s="1538" t="str">
        <f t="shared" ref="Q25:Q46" si="11">B25</f>
        <v>临街状况</v>
      </c>
      <c r="R25" s="714" t="s">
        <v>17</v>
      </c>
      <c r="S25" s="715">
        <f>F25</f>
        <v>100</v>
      </c>
      <c r="T25" s="714" t="s">
        <v>17</v>
      </c>
      <c r="U25" s="715">
        <f>H25</f>
        <v>100</v>
      </c>
      <c r="V25" s="714" t="s">
        <v>17</v>
      </c>
      <c r="W25" s="715">
        <f>J25</f>
        <v>100</v>
      </c>
      <c r="X25" s="1541"/>
      <c r="Y25" s="3317"/>
      <c r="Z25" s="1542" t="str">
        <f>Q25</f>
        <v>临街状况</v>
      </c>
      <c r="AA25" s="1539">
        <f t="shared" si="3"/>
        <v>1</v>
      </c>
      <c r="AB25" s="1539">
        <f t="shared" si="4"/>
        <v>1</v>
      </c>
      <c r="AC25" s="1539">
        <f t="shared" si="5"/>
        <v>1</v>
      </c>
    </row>
    <row r="26" spans="1:29" ht="15">
      <c r="A26" s="387"/>
      <c r="B26" s="1295" t="s">
        <v>2479</v>
      </c>
      <c r="C26" s="3049" t="s">
        <v>3107</v>
      </c>
      <c r="D26" s="394">
        <v>100</v>
      </c>
      <c r="E26" s="3049" t="s">
        <v>3105</v>
      </c>
      <c r="F26" s="420">
        <f>SUMIF(88:88,E26,89:89)-SUMIF(88:88,C26,89:89)+100</f>
        <v>100</v>
      </c>
      <c r="G26" s="3049" t="s">
        <v>3105</v>
      </c>
      <c r="H26" s="394">
        <f>SUMIF(88:88,G26,89:89)-SUMIF(88:88,C26,89:89)+100</f>
        <v>100</v>
      </c>
      <c r="I26" s="3049" t="s">
        <v>3105</v>
      </c>
      <c r="J26" s="394">
        <f>SUMIF(88:88,I26,89:89)-SUMIF(88:88,C26,89:89)+100</f>
        <v>100</v>
      </c>
      <c r="K26" s="570"/>
      <c r="L26" s="2950"/>
      <c r="M26" s="2944"/>
      <c r="N26" s="2944"/>
      <c r="O26" s="2944"/>
      <c r="P26" s="3324"/>
      <c r="Q26" s="1538" t="str">
        <f t="shared" si="11"/>
        <v>平面位置/可视性</v>
      </c>
      <c r="R26" s="714" t="s">
        <v>17</v>
      </c>
      <c r="S26" s="715">
        <f>F26</f>
        <v>100</v>
      </c>
      <c r="T26" s="714" t="s">
        <v>17</v>
      </c>
      <c r="U26" s="715">
        <f>H26</f>
        <v>100</v>
      </c>
      <c r="V26" s="714" t="s">
        <v>17</v>
      </c>
      <c r="W26" s="715">
        <f>J26</f>
        <v>100</v>
      </c>
      <c r="X26" s="1541"/>
      <c r="Y26" s="3317"/>
      <c r="Z26" s="1542" t="str">
        <f>Q26</f>
        <v>平面位置/可视性</v>
      </c>
      <c r="AA26" s="1539">
        <f t="shared" si="3"/>
        <v>1</v>
      </c>
      <c r="AB26" s="1539">
        <f t="shared" si="4"/>
        <v>1</v>
      </c>
      <c r="AC26" s="1539">
        <f t="shared" si="5"/>
        <v>1</v>
      </c>
    </row>
    <row r="27" spans="1:29" s="113" customFormat="1" ht="15">
      <c r="A27" s="390"/>
      <c r="B27" s="410" t="s">
        <v>2480</v>
      </c>
      <c r="C27" s="2144" t="s">
        <v>3095</v>
      </c>
      <c r="D27" s="421">
        <v>100</v>
      </c>
      <c r="E27" s="2144" t="s">
        <v>3095</v>
      </c>
      <c r="F27" s="423">
        <f>SUMIF(90:90,E27,91:91)-SUMIF(90:90,C27,91:91)+100</f>
        <v>100</v>
      </c>
      <c r="G27" s="2144" t="s">
        <v>3185</v>
      </c>
      <c r="H27" s="421">
        <f>SUMIF(90:90,G27,91:91)-SUMIF(90:90,C27,91:91)+100</f>
        <v>103</v>
      </c>
      <c r="I27" s="2144" t="s">
        <v>3185</v>
      </c>
      <c r="J27" s="421">
        <f>SUMIF(90:90,I27,91:91)-SUMIF(90:90,C27,91:91)+100</f>
        <v>103</v>
      </c>
      <c r="K27" s="569">
        <v>3</v>
      </c>
      <c r="L27" s="2945"/>
      <c r="M27" s="2946"/>
      <c r="N27" s="2946"/>
      <c r="O27" s="2946"/>
      <c r="P27" s="3324"/>
      <c r="Q27" s="1529" t="str">
        <f t="shared" si="11"/>
        <v>人流量</v>
      </c>
      <c r="R27" s="710" t="s">
        <v>17</v>
      </c>
      <c r="S27" s="711">
        <f>F27</f>
        <v>100</v>
      </c>
      <c r="T27" s="710" t="s">
        <v>17</v>
      </c>
      <c r="U27" s="711">
        <f>H27</f>
        <v>103</v>
      </c>
      <c r="V27" s="710" t="s">
        <v>17</v>
      </c>
      <c r="W27" s="711">
        <f>J27</f>
        <v>103</v>
      </c>
      <c r="X27" s="712"/>
      <c r="Y27" s="3317"/>
      <c r="Z27" s="55" t="str">
        <f>Q27</f>
        <v>人流量</v>
      </c>
      <c r="AA27" s="1539">
        <f>D27/F27</f>
        <v>1</v>
      </c>
      <c r="AB27" s="1539">
        <f>D27/H27</f>
        <v>0.970873786407767</v>
      </c>
      <c r="AC27" s="1539">
        <f>D27/J27</f>
        <v>0.970873786407767</v>
      </c>
    </row>
    <row r="28" spans="1:29" ht="15.6" thickBot="1">
      <c r="A28" s="387"/>
      <c r="B28" s="381" t="s">
        <v>2481</v>
      </c>
      <c r="C28" s="573" t="s">
        <v>3108</v>
      </c>
      <c r="D28" s="394">
        <v>100</v>
      </c>
      <c r="E28" s="573" t="s">
        <v>3108</v>
      </c>
      <c r="F28" s="420">
        <f>SUMIF(92:92,E28,93:93)-SUMIF(92:92,C28,93:93)+100</f>
        <v>100</v>
      </c>
      <c r="G28" s="573" t="s">
        <v>3183</v>
      </c>
      <c r="H28" s="394">
        <f>SUMIF(92:92,G28,93:93)-SUMIF(92:92,C28,93:93)+100</f>
        <v>80</v>
      </c>
      <c r="I28" s="573" t="s">
        <v>3108</v>
      </c>
      <c r="J28" s="394">
        <f>SUMIF(92:92,I28,93:93)-SUMIF(92:92,C28,93:93)+100</f>
        <v>100</v>
      </c>
      <c r="K28" s="570"/>
      <c r="L28" s="2950"/>
      <c r="M28" s="2944"/>
      <c r="N28" s="2944"/>
      <c r="O28" s="2944"/>
      <c r="P28" s="3324"/>
      <c r="Q28" s="1538" t="str">
        <f t="shared" si="11"/>
        <v>楼层</v>
      </c>
      <c r="R28" s="714" t="s">
        <v>17</v>
      </c>
      <c r="S28" s="715">
        <f t="shared" ref="S28:S46" si="12">F28</f>
        <v>100</v>
      </c>
      <c r="T28" s="714" t="s">
        <v>17</v>
      </c>
      <c r="U28" s="715">
        <f t="shared" ref="U28:U46" si="13">H28</f>
        <v>80</v>
      </c>
      <c r="V28" s="714" t="s">
        <v>17</v>
      </c>
      <c r="W28" s="715">
        <f t="shared" ref="W28:W46" si="14">J28</f>
        <v>100</v>
      </c>
      <c r="X28" s="1541"/>
      <c r="Y28" s="3317"/>
      <c r="Z28" s="1542" t="str">
        <f t="shared" ref="Z28:Z46" si="15">Q28</f>
        <v>楼层</v>
      </c>
      <c r="AA28" s="1539">
        <f t="shared" si="3"/>
        <v>1</v>
      </c>
      <c r="AB28" s="1539">
        <f t="shared" si="4"/>
        <v>1.25</v>
      </c>
      <c r="AC28" s="1539">
        <f t="shared" si="5"/>
        <v>1</v>
      </c>
    </row>
    <row r="29" spans="1:29" ht="15" hidden="1">
      <c r="A29" s="387"/>
      <c r="B29" s="1295"/>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24"/>
      <c r="Q29" s="1538">
        <f t="shared" si="11"/>
        <v>0</v>
      </c>
      <c r="R29" s="714" t="s">
        <v>17</v>
      </c>
      <c r="S29" s="715">
        <f t="shared" si="12"/>
        <v>100</v>
      </c>
      <c r="T29" s="714" t="s">
        <v>17</v>
      </c>
      <c r="U29" s="715">
        <f t="shared" si="13"/>
        <v>100</v>
      </c>
      <c r="V29" s="714" t="s">
        <v>17</v>
      </c>
      <c r="W29" s="715">
        <f t="shared" si="14"/>
        <v>100</v>
      </c>
      <c r="X29" s="1541"/>
      <c r="Y29" s="3317"/>
      <c r="Z29" s="1542">
        <f t="shared" si="15"/>
        <v>0</v>
      </c>
      <c r="AA29" s="1539">
        <f t="shared" si="3"/>
        <v>1</v>
      </c>
      <c r="AB29" s="1539">
        <f t="shared" si="4"/>
        <v>1</v>
      </c>
      <c r="AC29" s="1539">
        <f t="shared" si="5"/>
        <v>1</v>
      </c>
    </row>
    <row r="30" spans="1:29" ht="15" hidden="1">
      <c r="A30" s="387"/>
      <c r="B30" s="1295"/>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24"/>
      <c r="Q30" s="1538">
        <f t="shared" si="11"/>
        <v>0</v>
      </c>
      <c r="R30" s="714" t="s">
        <v>17</v>
      </c>
      <c r="S30" s="715">
        <f t="shared" si="12"/>
        <v>100</v>
      </c>
      <c r="T30" s="714" t="s">
        <v>17</v>
      </c>
      <c r="U30" s="715">
        <f t="shared" si="13"/>
        <v>100</v>
      </c>
      <c r="V30" s="714" t="s">
        <v>17</v>
      </c>
      <c r="W30" s="715">
        <f t="shared" si="14"/>
        <v>100</v>
      </c>
      <c r="X30" s="1541"/>
      <c r="Y30" s="3317"/>
      <c r="Z30" s="1542">
        <f t="shared" si="15"/>
        <v>0</v>
      </c>
      <c r="AA30" s="1539">
        <f t="shared" si="3"/>
        <v>1</v>
      </c>
      <c r="AB30" s="1539">
        <f t="shared" si="4"/>
        <v>1</v>
      </c>
      <c r="AC30" s="1539">
        <f t="shared" si="5"/>
        <v>1</v>
      </c>
    </row>
    <row r="31" spans="1:29" ht="15.6" hidden="1" thickBot="1">
      <c r="A31" s="395"/>
      <c r="B31" s="1295"/>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24"/>
      <c r="Q31" s="1538">
        <f t="shared" si="11"/>
        <v>0</v>
      </c>
      <c r="R31" s="714" t="s">
        <v>17</v>
      </c>
      <c r="S31" s="715">
        <f t="shared" si="12"/>
        <v>100</v>
      </c>
      <c r="T31" s="714" t="s">
        <v>17</v>
      </c>
      <c r="U31" s="715">
        <f t="shared" si="13"/>
        <v>100</v>
      </c>
      <c r="V31" s="714" t="s">
        <v>17</v>
      </c>
      <c r="W31" s="715">
        <f t="shared" si="14"/>
        <v>100</v>
      </c>
      <c r="X31" s="1541"/>
      <c r="Y31" s="3317"/>
      <c r="Z31" s="1542">
        <f t="shared" si="15"/>
        <v>0</v>
      </c>
      <c r="AA31" s="1539">
        <f t="shared" si="3"/>
        <v>1</v>
      </c>
      <c r="AB31" s="1539">
        <f t="shared" si="4"/>
        <v>1</v>
      </c>
      <c r="AC31" s="1539">
        <f t="shared" si="5"/>
        <v>1</v>
      </c>
    </row>
    <row r="32" spans="1:29" ht="15">
      <c r="A32" s="399" t="s">
        <v>2385</v>
      </c>
      <c r="B32" s="67" t="s">
        <v>2482</v>
      </c>
      <c r="C32" s="2098" t="s">
        <v>3082</v>
      </c>
      <c r="D32" s="426">
        <v>100</v>
      </c>
      <c r="E32" s="2098" t="s">
        <v>3082</v>
      </c>
      <c r="F32" s="420">
        <f>SUMIF(100:100,E32,101:101)-SUMIF(100:100,C32,101:101)+100</f>
        <v>100</v>
      </c>
      <c r="G32" s="2098" t="s">
        <v>3082</v>
      </c>
      <c r="H32" s="394">
        <f>SUMIF(100:100,G32,101:101)-SUMIF(100:100,C32,101:101)+100</f>
        <v>100</v>
      </c>
      <c r="I32" s="2098" t="s">
        <v>3082</v>
      </c>
      <c r="J32" s="426">
        <f>SUMIF(100:100,I32,101:101)-SUMIF(100:100,C32,101:101)+100</f>
        <v>100</v>
      </c>
      <c r="K32" s="569"/>
      <c r="L32" s="2950"/>
      <c r="M32" s="2944"/>
      <c r="N32" s="2944"/>
      <c r="O32" s="2944"/>
      <c r="P32" s="3318" t="s">
        <v>2387</v>
      </c>
      <c r="Q32" s="1538" t="str">
        <f t="shared" si="11"/>
        <v>商业类型</v>
      </c>
      <c r="R32" s="714" t="s">
        <v>17</v>
      </c>
      <c r="S32" s="715">
        <f t="shared" si="12"/>
        <v>100</v>
      </c>
      <c r="T32" s="714" t="s">
        <v>17</v>
      </c>
      <c r="U32" s="715">
        <f t="shared" si="13"/>
        <v>100</v>
      </c>
      <c r="V32" s="714" t="s">
        <v>17</v>
      </c>
      <c r="W32" s="715">
        <f t="shared" si="14"/>
        <v>100</v>
      </c>
      <c r="X32" s="1541"/>
      <c r="Y32" s="3321" t="s">
        <v>2387</v>
      </c>
      <c r="Z32" s="1542" t="str">
        <f t="shared" si="15"/>
        <v>商业类型</v>
      </c>
      <c r="AA32" s="1539">
        <f t="shared" si="3"/>
        <v>1</v>
      </c>
      <c r="AB32" s="1539">
        <f t="shared" si="4"/>
        <v>1</v>
      </c>
      <c r="AC32" s="1539">
        <f t="shared" si="5"/>
        <v>1</v>
      </c>
    </row>
    <row r="33" spans="1:29" s="430" customFormat="1" ht="15">
      <c r="A33" s="427"/>
      <c r="B33" s="381" t="s">
        <v>2388</v>
      </c>
      <c r="C33" s="428">
        <f>'数据-汇总表'!F19</f>
        <v>116.2</v>
      </c>
      <c r="D33" s="132">
        <v>100</v>
      </c>
      <c r="E33" s="389">
        <v>157.94</v>
      </c>
      <c r="F33" s="384">
        <f>LOOKUP(E33,103:103,104:104)-LOOKUP(C33,103:103,104:104)+100</f>
        <v>100</v>
      </c>
      <c r="G33" s="388">
        <v>148</v>
      </c>
      <c r="H33" s="132">
        <f>LOOKUP(G33,103:103,104:104)-LOOKUP(C33,103:103,104:104)+100</f>
        <v>100</v>
      </c>
      <c r="I33" s="388">
        <v>50</v>
      </c>
      <c r="J33" s="132">
        <f>LOOKUP(I33,103:103,104:104)-LOOKUP(C33,103:103,104:104)+100</f>
        <v>101</v>
      </c>
      <c r="K33" s="570"/>
      <c r="L33" s="2949"/>
      <c r="M33" s="2951"/>
      <c r="N33" s="2951"/>
      <c r="O33" s="2951"/>
      <c r="P33" s="3319"/>
      <c r="Q33" s="716" t="str">
        <f t="shared" si="11"/>
        <v>项目建筑规模</v>
      </c>
      <c r="R33" s="717" t="s">
        <v>17</v>
      </c>
      <c r="S33" s="718">
        <f t="shared" si="12"/>
        <v>100</v>
      </c>
      <c r="T33" s="717" t="s">
        <v>17</v>
      </c>
      <c r="U33" s="718">
        <f t="shared" si="13"/>
        <v>100</v>
      </c>
      <c r="V33" s="717" t="s">
        <v>17</v>
      </c>
      <c r="W33" s="718">
        <f t="shared" si="14"/>
        <v>101</v>
      </c>
      <c r="X33" s="719"/>
      <c r="Y33" s="3321"/>
      <c r="Z33" s="720" t="str">
        <f t="shared" si="15"/>
        <v>项目建筑规模</v>
      </c>
      <c r="AA33" s="1539">
        <f t="shared" si="3"/>
        <v>1</v>
      </c>
      <c r="AB33" s="1539">
        <f t="shared" si="4"/>
        <v>1</v>
      </c>
      <c r="AC33" s="1539">
        <f t="shared" si="5"/>
        <v>0.99009900990099009</v>
      </c>
    </row>
    <row r="34" spans="1:29" ht="15">
      <c r="A34" s="431"/>
      <c r="B34" s="381" t="s">
        <v>2389</v>
      </c>
      <c r="C34" s="3050" t="s">
        <v>3113</v>
      </c>
      <c r="D34" s="394">
        <v>100</v>
      </c>
      <c r="E34" s="3050" t="s">
        <v>3113</v>
      </c>
      <c r="F34" s="420">
        <f>SUMIF(105:105,E34,106:106)-SUMIF(105:105,C34,106:106)+100</f>
        <v>100</v>
      </c>
      <c r="G34" s="3050" t="s">
        <v>3113</v>
      </c>
      <c r="H34" s="394">
        <f>SUMIF(105:105,G34,106:106)-SUMIF(105:105,C34,106:106)+100</f>
        <v>100</v>
      </c>
      <c r="I34" s="3050" t="s">
        <v>3113</v>
      </c>
      <c r="J34" s="394">
        <f>SUMIF(105:105,I34,106:106)-SUMIF(105:105,C34,106:106)+100</f>
        <v>100</v>
      </c>
      <c r="K34" s="569"/>
      <c r="L34" s="2950"/>
      <c r="M34" s="2944"/>
      <c r="N34" s="2944"/>
      <c r="O34" s="2944"/>
      <c r="P34" s="3319"/>
      <c r="Q34" s="1538" t="str">
        <f t="shared" si="11"/>
        <v>建筑结构</v>
      </c>
      <c r="R34" s="714" t="s">
        <v>17</v>
      </c>
      <c r="S34" s="715">
        <f t="shared" si="12"/>
        <v>100</v>
      </c>
      <c r="T34" s="714" t="s">
        <v>17</v>
      </c>
      <c r="U34" s="715">
        <f t="shared" si="13"/>
        <v>100</v>
      </c>
      <c r="V34" s="714" t="s">
        <v>17</v>
      </c>
      <c r="W34" s="715">
        <f t="shared" si="14"/>
        <v>100</v>
      </c>
      <c r="X34" s="1541"/>
      <c r="Y34" s="3321"/>
      <c r="Z34" s="1542" t="str">
        <f t="shared" si="15"/>
        <v>建筑结构</v>
      </c>
      <c r="AA34" s="1539">
        <f t="shared" si="3"/>
        <v>1</v>
      </c>
      <c r="AB34" s="1539">
        <f t="shared" si="4"/>
        <v>1</v>
      </c>
      <c r="AC34" s="1539">
        <f t="shared" si="5"/>
        <v>1</v>
      </c>
    </row>
    <row r="35" spans="1:29" ht="15">
      <c r="A35" s="431"/>
      <c r="B35" s="381" t="s">
        <v>2483</v>
      </c>
      <c r="C35" s="3051" t="s">
        <v>3114</v>
      </c>
      <c r="D35" s="394">
        <v>100</v>
      </c>
      <c r="E35" s="3051" t="s">
        <v>3114</v>
      </c>
      <c r="F35" s="420">
        <f>SUMIF(107:107,E35,108:108)-SUMIF(107:107,C35,108:108)+100</f>
        <v>100</v>
      </c>
      <c r="G35" s="3051" t="s">
        <v>3114</v>
      </c>
      <c r="H35" s="394">
        <f>SUMIF(107:107,G35,108:108)-SUMIF(107:107,C35,108:108)+100</f>
        <v>100</v>
      </c>
      <c r="I35" s="3051" t="s">
        <v>3114</v>
      </c>
      <c r="J35" s="394">
        <f>SUMIF(107:107,I35,108:108)-SUMIF(107:107,C35,108:108)+100</f>
        <v>100</v>
      </c>
      <c r="K35" s="569"/>
      <c r="L35" s="2950"/>
      <c r="M35" s="2944"/>
      <c r="N35" s="2944"/>
      <c r="O35" s="2944"/>
      <c r="P35" s="3319"/>
      <c r="Q35" s="1538" t="str">
        <f t="shared" si="11"/>
        <v>公共部分装修</v>
      </c>
      <c r="R35" s="714" t="s">
        <v>17</v>
      </c>
      <c r="S35" s="715">
        <f t="shared" si="12"/>
        <v>100</v>
      </c>
      <c r="T35" s="714" t="s">
        <v>17</v>
      </c>
      <c r="U35" s="715">
        <f t="shared" si="13"/>
        <v>100</v>
      </c>
      <c r="V35" s="714" t="s">
        <v>17</v>
      </c>
      <c r="W35" s="715">
        <f t="shared" si="14"/>
        <v>100</v>
      </c>
      <c r="X35" s="1541"/>
      <c r="Y35" s="3321"/>
      <c r="Z35" s="1542" t="str">
        <f t="shared" si="15"/>
        <v>公共部分装修</v>
      </c>
      <c r="AA35" s="1539">
        <f t="shared" si="3"/>
        <v>1</v>
      </c>
      <c r="AB35" s="1539">
        <f t="shared" si="4"/>
        <v>1</v>
      </c>
      <c r="AC35" s="1539">
        <f t="shared" si="5"/>
        <v>1</v>
      </c>
    </row>
    <row r="36" spans="1:29" ht="15">
      <c r="A36" s="431"/>
      <c r="B36" s="381" t="s">
        <v>2484</v>
      </c>
      <c r="C36" s="433">
        <v>0.77</v>
      </c>
      <c r="D36" s="394">
        <v>100</v>
      </c>
      <c r="E36" s="433">
        <v>0.75</v>
      </c>
      <c r="F36" s="420">
        <f>LOOKUP(E36,110:110,111:111)-LOOKUP(C36,110:110,111:111)+100</f>
        <v>100</v>
      </c>
      <c r="G36" s="433">
        <v>0.75</v>
      </c>
      <c r="H36" s="420">
        <f>LOOKUP(G36,110:110,111:111)-LOOKUP(C36,110:110,111:111)+100</f>
        <v>100</v>
      </c>
      <c r="I36" s="433">
        <v>0.75</v>
      </c>
      <c r="J36" s="394">
        <f>LOOKUP(I36,110:110,111:111)-LOOKUP(C36,110:110,111:111)+100</f>
        <v>100</v>
      </c>
      <c r="K36" s="569">
        <v>1</v>
      </c>
      <c r="L36" s="2950"/>
      <c r="M36" s="2944"/>
      <c r="N36" s="2944"/>
      <c r="O36" s="2944"/>
      <c r="P36" s="3319"/>
      <c r="Q36" s="1538" t="str">
        <f t="shared" si="11"/>
        <v>成新度</v>
      </c>
      <c r="R36" s="714" t="s">
        <v>17</v>
      </c>
      <c r="S36" s="715">
        <f t="shared" si="12"/>
        <v>100</v>
      </c>
      <c r="T36" s="714" t="s">
        <v>17</v>
      </c>
      <c r="U36" s="715">
        <f t="shared" si="13"/>
        <v>100</v>
      </c>
      <c r="V36" s="714" t="s">
        <v>17</v>
      </c>
      <c r="W36" s="715">
        <f t="shared" si="14"/>
        <v>100</v>
      </c>
      <c r="X36" s="1541"/>
      <c r="Y36" s="3321"/>
      <c r="Z36" s="1542" t="str">
        <f t="shared" si="15"/>
        <v>成新度</v>
      </c>
      <c r="AA36" s="1539">
        <f t="shared" si="3"/>
        <v>1</v>
      </c>
      <c r="AB36" s="1539">
        <f t="shared" si="4"/>
        <v>1</v>
      </c>
      <c r="AC36" s="1539">
        <f t="shared" si="5"/>
        <v>1</v>
      </c>
    </row>
    <row r="37" spans="1:29" s="113" customFormat="1" ht="15">
      <c r="A37" s="432"/>
      <c r="B37" s="381" t="s">
        <v>2485</v>
      </c>
      <c r="C37" s="3051" t="s">
        <v>3115</v>
      </c>
      <c r="D37" s="132">
        <v>100</v>
      </c>
      <c r="E37" s="3051" t="s">
        <v>3116</v>
      </c>
      <c r="F37" s="420">
        <f>SUMIF(112:112,E37,113:113)-SUMIF(112:112,C37,113:113)+100</f>
        <v>102</v>
      </c>
      <c r="G37" s="3051" t="s">
        <v>3116</v>
      </c>
      <c r="H37" s="394">
        <f>SUMIF(112:112,G37,113:113)-SUMIF(112:112,C37,113:113)+100</f>
        <v>102</v>
      </c>
      <c r="I37" s="3051" t="s">
        <v>3116</v>
      </c>
      <c r="J37" s="394">
        <f>SUMIF(112:112,I37,113:113)-SUMIF(112:112,C37,113:113)+100</f>
        <v>102</v>
      </c>
      <c r="K37" s="569">
        <v>2</v>
      </c>
      <c r="L37" s="2945"/>
      <c r="M37" s="2946"/>
      <c r="N37" s="2946"/>
      <c r="O37" s="2946"/>
      <c r="P37" s="3319"/>
      <c r="Q37" s="1529" t="str">
        <f t="shared" si="11"/>
        <v>市政基础设施</v>
      </c>
      <c r="R37" s="710" t="s">
        <v>17</v>
      </c>
      <c r="S37" s="711">
        <f t="shared" si="12"/>
        <v>102</v>
      </c>
      <c r="T37" s="710" t="s">
        <v>17</v>
      </c>
      <c r="U37" s="711">
        <f t="shared" si="13"/>
        <v>102</v>
      </c>
      <c r="V37" s="710" t="s">
        <v>17</v>
      </c>
      <c r="W37" s="711">
        <f t="shared" si="14"/>
        <v>102</v>
      </c>
      <c r="X37" s="712"/>
      <c r="Y37" s="3321"/>
      <c r="Z37" s="55" t="str">
        <f t="shared" si="15"/>
        <v>市政基础设施</v>
      </c>
      <c r="AA37" s="713">
        <f t="shared" si="3"/>
        <v>0.98039215686274506</v>
      </c>
      <c r="AB37" s="713">
        <f t="shared" si="4"/>
        <v>0.98039215686274506</v>
      </c>
      <c r="AC37" s="713">
        <f t="shared" si="5"/>
        <v>0.98039215686274506</v>
      </c>
    </row>
    <row r="38" spans="1:29" ht="15">
      <c r="A38" s="431"/>
      <c r="B38" s="381" t="s">
        <v>2486</v>
      </c>
      <c r="C38" s="3067" t="s">
        <v>3168</v>
      </c>
      <c r="D38" s="394">
        <v>100</v>
      </c>
      <c r="E38" s="3067" t="s">
        <v>3166</v>
      </c>
      <c r="F38" s="420">
        <f>SUMIF(114:114,E38,115:115)-SUMIF(114:114,C38,115:115)+100</f>
        <v>101</v>
      </c>
      <c r="G38" s="3067" t="s">
        <v>3166</v>
      </c>
      <c r="H38" s="394">
        <f>SUMIF(114:114,G38,115:115)-SUMIF(114:114,C38,115:115)+100</f>
        <v>101</v>
      </c>
      <c r="I38" s="3067" t="s">
        <v>3166</v>
      </c>
      <c r="J38" s="394">
        <f>SUMIF(114:114,I38,115:115)-SUMIF(114:114,C38,115:115)+100</f>
        <v>101</v>
      </c>
      <c r="K38" s="569">
        <v>1</v>
      </c>
      <c r="L38" s="2950"/>
      <c r="M38" s="2944"/>
      <c r="N38" s="2944"/>
      <c r="O38" s="2944"/>
      <c r="P38" s="3319" t="s">
        <v>2387</v>
      </c>
      <c r="Q38" s="1538" t="str">
        <f t="shared" si="11"/>
        <v>业态</v>
      </c>
      <c r="R38" s="714" t="s">
        <v>17</v>
      </c>
      <c r="S38" s="715">
        <f t="shared" si="12"/>
        <v>101</v>
      </c>
      <c r="T38" s="714" t="s">
        <v>17</v>
      </c>
      <c r="U38" s="715">
        <f t="shared" si="13"/>
        <v>101</v>
      </c>
      <c r="V38" s="714" t="s">
        <v>17</v>
      </c>
      <c r="W38" s="715">
        <f t="shared" si="14"/>
        <v>101</v>
      </c>
      <c r="X38" s="1541"/>
      <c r="Y38" s="3321" t="s">
        <v>2387</v>
      </c>
      <c r="Z38" s="1542" t="str">
        <f t="shared" si="15"/>
        <v>业态</v>
      </c>
      <c r="AA38" s="1539">
        <f t="shared" si="3"/>
        <v>0.99009900990099009</v>
      </c>
      <c r="AB38" s="1539">
        <f t="shared" si="4"/>
        <v>0.99009900990099009</v>
      </c>
      <c r="AC38" s="1539">
        <f t="shared" si="5"/>
        <v>0.99009900990099009</v>
      </c>
    </row>
    <row r="39" spans="1:29" ht="15">
      <c r="A39" s="431"/>
      <c r="B39" s="381" t="s">
        <v>2487</v>
      </c>
      <c r="C39" s="2094" t="s">
        <v>3118</v>
      </c>
      <c r="D39" s="394">
        <v>100</v>
      </c>
      <c r="E39" s="2094" t="s">
        <v>3118</v>
      </c>
      <c r="F39" s="420">
        <f>SUMIF(116:116,E39,117:117)-SUMIF(116:116,C39,117:117)+100</f>
        <v>100</v>
      </c>
      <c r="G39" s="2094" t="s">
        <v>3118</v>
      </c>
      <c r="H39" s="394">
        <f>SUMIF(116:116,G39,117:117)-SUMIF(116:116,C39,117:117)+100</f>
        <v>100</v>
      </c>
      <c r="I39" s="2094" t="s">
        <v>3120</v>
      </c>
      <c r="J39" s="394">
        <f>SUMIF(116:116,I39,117:117)-SUMIF(116:116,C39,117:117)+100</f>
        <v>101</v>
      </c>
      <c r="K39" s="569">
        <v>1</v>
      </c>
      <c r="L39" s="2950"/>
      <c r="M39" s="2944"/>
      <c r="N39" s="2944"/>
      <c r="O39" s="2944"/>
      <c r="P39" s="3319"/>
      <c r="Q39" s="1538" t="str">
        <f t="shared" si="11"/>
        <v>层高</v>
      </c>
      <c r="R39" s="714" t="s">
        <v>17</v>
      </c>
      <c r="S39" s="715">
        <f t="shared" si="12"/>
        <v>100</v>
      </c>
      <c r="T39" s="714" t="s">
        <v>17</v>
      </c>
      <c r="U39" s="715">
        <f t="shared" si="13"/>
        <v>100</v>
      </c>
      <c r="V39" s="714" t="s">
        <v>17</v>
      </c>
      <c r="W39" s="715">
        <f t="shared" si="14"/>
        <v>101</v>
      </c>
      <c r="X39" s="1541"/>
      <c r="Y39" s="3321"/>
      <c r="Z39" s="1542" t="str">
        <f t="shared" si="15"/>
        <v>层高</v>
      </c>
      <c r="AA39" s="1539">
        <f t="shared" si="3"/>
        <v>1</v>
      </c>
      <c r="AB39" s="1539">
        <f t="shared" si="4"/>
        <v>1</v>
      </c>
      <c r="AC39" s="1539">
        <f t="shared" si="5"/>
        <v>0.99009900990099009</v>
      </c>
    </row>
    <row r="40" spans="1:29" ht="15" hidden="1">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19"/>
      <c r="Q40" s="1538" t="str">
        <f t="shared" si="11"/>
        <v>单套建筑面积</v>
      </c>
      <c r="R40" s="714" t="s">
        <v>17</v>
      </c>
      <c r="S40" s="715">
        <f t="shared" si="12"/>
        <v>100</v>
      </c>
      <c r="T40" s="714" t="s">
        <v>17</v>
      </c>
      <c r="U40" s="715">
        <f t="shared" si="13"/>
        <v>100</v>
      </c>
      <c r="V40" s="714" t="s">
        <v>17</v>
      </c>
      <c r="W40" s="715">
        <f t="shared" si="14"/>
        <v>100</v>
      </c>
      <c r="X40" s="1541"/>
      <c r="Y40" s="3321"/>
      <c r="Z40" s="1542" t="str">
        <f t="shared" si="15"/>
        <v>单套建筑面积</v>
      </c>
      <c r="AA40" s="1539">
        <f t="shared" si="3"/>
        <v>1</v>
      </c>
      <c r="AB40" s="1539">
        <f t="shared" si="4"/>
        <v>1</v>
      </c>
      <c r="AC40" s="1539">
        <f t="shared" si="5"/>
        <v>1</v>
      </c>
    </row>
    <row r="41" spans="1:29" s="430" customFormat="1" ht="15" hidden="1">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19"/>
      <c r="Q41" s="716" t="str">
        <f t="shared" si="11"/>
        <v>进深比</v>
      </c>
      <c r="R41" s="717" t="s">
        <v>17</v>
      </c>
      <c r="S41" s="718">
        <f t="shared" si="12"/>
        <v>100</v>
      </c>
      <c r="T41" s="717" t="s">
        <v>17</v>
      </c>
      <c r="U41" s="718">
        <f t="shared" si="13"/>
        <v>100</v>
      </c>
      <c r="V41" s="717" t="s">
        <v>17</v>
      </c>
      <c r="W41" s="718">
        <f t="shared" si="14"/>
        <v>100</v>
      </c>
      <c r="X41" s="719"/>
      <c r="Y41" s="3321"/>
      <c r="Z41" s="720" t="str">
        <f t="shared" si="15"/>
        <v>进深比</v>
      </c>
      <c r="AA41" s="1539">
        <f t="shared" si="3"/>
        <v>1</v>
      </c>
      <c r="AB41" s="1539">
        <f t="shared" si="4"/>
        <v>1</v>
      </c>
      <c r="AC41" s="1539">
        <f t="shared" si="5"/>
        <v>1</v>
      </c>
    </row>
    <row r="42" spans="1:29" ht="15">
      <c r="A42" s="431"/>
      <c r="B42" s="381" t="s">
        <v>2490</v>
      </c>
      <c r="C42" s="2094" t="s">
        <v>3196</v>
      </c>
      <c r="D42" s="394">
        <v>100</v>
      </c>
      <c r="E42" s="2094" t="s">
        <v>3196</v>
      </c>
      <c r="F42" s="420">
        <f>SUMIF(122:122,E42,123:123)-SUMIF(122:122,C42,123:123)+100</f>
        <v>100</v>
      </c>
      <c r="G42" s="2094" t="s">
        <v>3196</v>
      </c>
      <c r="H42" s="394">
        <f>SUMIF(122:122,G42,123:123)-SUMIF(122:122,C42,123:123)+100</f>
        <v>100</v>
      </c>
      <c r="I42" s="2094" t="s">
        <v>3196</v>
      </c>
      <c r="J42" s="394">
        <f>SUMIF(122:122,I42,123:123)-SUMIF(122:122,C42,123:123)+100</f>
        <v>100</v>
      </c>
      <c r="K42" s="569">
        <v>2</v>
      </c>
      <c r="L42" s="2950"/>
      <c r="M42" s="2944"/>
      <c r="N42" s="2944"/>
      <c r="O42" s="2944"/>
      <c r="P42" s="3319"/>
      <c r="Q42" s="1538" t="str">
        <f t="shared" si="11"/>
        <v>内部装修</v>
      </c>
      <c r="R42" s="714" t="s">
        <v>17</v>
      </c>
      <c r="S42" s="715">
        <f t="shared" si="12"/>
        <v>100</v>
      </c>
      <c r="T42" s="714" t="s">
        <v>17</v>
      </c>
      <c r="U42" s="715">
        <f t="shared" si="13"/>
        <v>100</v>
      </c>
      <c r="V42" s="714" t="s">
        <v>17</v>
      </c>
      <c r="W42" s="715">
        <f t="shared" si="14"/>
        <v>100</v>
      </c>
      <c r="X42" s="1541"/>
      <c r="Y42" s="3321"/>
      <c r="Z42" s="1542" t="str">
        <f t="shared" si="15"/>
        <v>内部装修</v>
      </c>
      <c r="AA42" s="1539">
        <f t="shared" si="3"/>
        <v>1</v>
      </c>
      <c r="AB42" s="1539">
        <f t="shared" si="4"/>
        <v>1</v>
      </c>
      <c r="AC42" s="1539">
        <f t="shared" si="5"/>
        <v>1</v>
      </c>
    </row>
    <row r="43" spans="1:29" ht="28.8">
      <c r="A43" s="431"/>
      <c r="B43" s="381" t="s">
        <v>2398</v>
      </c>
      <c r="C43" s="2094" t="s">
        <v>3096</v>
      </c>
      <c r="D43" s="394">
        <v>100</v>
      </c>
      <c r="E43" s="2094" t="s">
        <v>3096</v>
      </c>
      <c r="F43" s="420">
        <f>SUMIF(124:124,E43,125:125)-SUMIF(124:124,C43,125:125)+100</f>
        <v>100</v>
      </c>
      <c r="G43" s="2094" t="s">
        <v>3096</v>
      </c>
      <c r="H43" s="394">
        <f>SUMIF(124:124,G43,125:125)-SUMIF(124:124,C43,125:125)+100</f>
        <v>100</v>
      </c>
      <c r="I43" s="2094" t="s">
        <v>3096</v>
      </c>
      <c r="J43" s="394">
        <f>SUMIF(124:124,I43,125:125)-SUMIF(124:124,C43,125:125)+100</f>
        <v>100</v>
      </c>
      <c r="K43" s="569"/>
      <c r="L43" s="2950"/>
      <c r="M43" s="2944"/>
      <c r="N43" s="2944"/>
      <c r="O43" s="2944"/>
      <c r="P43" s="3319"/>
      <c r="Q43" s="1538" t="str">
        <f t="shared" si="11"/>
        <v>内部装修维护情况</v>
      </c>
      <c r="R43" s="714" t="s">
        <v>17</v>
      </c>
      <c r="S43" s="715">
        <f t="shared" si="12"/>
        <v>100</v>
      </c>
      <c r="T43" s="714" t="s">
        <v>17</v>
      </c>
      <c r="U43" s="715">
        <f t="shared" si="13"/>
        <v>100</v>
      </c>
      <c r="V43" s="714" t="s">
        <v>17</v>
      </c>
      <c r="W43" s="715">
        <f t="shared" si="14"/>
        <v>100</v>
      </c>
      <c r="X43" s="1541"/>
      <c r="Y43" s="3321"/>
      <c r="Z43" s="1542" t="str">
        <f t="shared" si="15"/>
        <v>内部装修维护情况</v>
      </c>
      <c r="AA43" s="1539">
        <f t="shared" si="3"/>
        <v>1</v>
      </c>
      <c r="AB43" s="1539">
        <f t="shared" si="4"/>
        <v>1</v>
      </c>
      <c r="AC43" s="1539">
        <f t="shared" si="5"/>
        <v>1</v>
      </c>
    </row>
    <row r="44" spans="1:29" s="113" customFormat="1" ht="15">
      <c r="A44" s="432"/>
      <c r="B44" s="3071" t="s">
        <v>3186</v>
      </c>
      <c r="C44" s="3072" t="s">
        <v>3188</v>
      </c>
      <c r="D44" s="132">
        <v>100</v>
      </c>
      <c r="E44" s="3049" t="s">
        <v>3187</v>
      </c>
      <c r="F44" s="384">
        <f>SUMIF(126:126,E44,127:127)-SUMIF(126:126,C44,127:127)+100</f>
        <v>105</v>
      </c>
      <c r="G44" s="3049" t="s">
        <v>3187</v>
      </c>
      <c r="H44" s="132">
        <f>SUMIF(126:126,G44,127:127)-SUMIF(126:126,C44,127:127)+100</f>
        <v>105</v>
      </c>
      <c r="I44" s="3049" t="s">
        <v>3187</v>
      </c>
      <c r="J44" s="132">
        <f>SUMIF(126:126,I44,127:127)-SUMIF(126:126,C44,127:127)+100</f>
        <v>105</v>
      </c>
      <c r="K44" s="570"/>
      <c r="L44" s="2945"/>
      <c r="M44" s="2946"/>
      <c r="N44" s="2946"/>
      <c r="O44" s="2946"/>
      <c r="P44" s="3319"/>
      <c r="Q44" s="1529" t="str">
        <f t="shared" si="11"/>
        <v>是否含地下室</v>
      </c>
      <c r="R44" s="710" t="s">
        <v>17</v>
      </c>
      <c r="S44" s="711">
        <f t="shared" si="12"/>
        <v>105</v>
      </c>
      <c r="T44" s="710" t="s">
        <v>17</v>
      </c>
      <c r="U44" s="711">
        <f t="shared" si="13"/>
        <v>105</v>
      </c>
      <c r="V44" s="710" t="s">
        <v>17</v>
      </c>
      <c r="W44" s="711">
        <f t="shared" si="14"/>
        <v>105</v>
      </c>
      <c r="X44" s="712"/>
      <c r="Y44" s="3321"/>
      <c r="Z44" s="55" t="str">
        <f t="shared" si="15"/>
        <v>是否含地下室</v>
      </c>
      <c r="AA44" s="713">
        <f t="shared" si="3"/>
        <v>0.95238095238095233</v>
      </c>
      <c r="AB44" s="713">
        <f t="shared" si="4"/>
        <v>0.95238095238095233</v>
      </c>
      <c r="AC44" s="713">
        <f t="shared" si="5"/>
        <v>0.95238095238095233</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19"/>
      <c r="Q45" s="1538">
        <f t="shared" si="11"/>
        <v>111</v>
      </c>
      <c r="R45" s="714" t="s">
        <v>17</v>
      </c>
      <c r="S45" s="715">
        <f t="shared" si="12"/>
        <v>100</v>
      </c>
      <c r="T45" s="714" t="s">
        <v>17</v>
      </c>
      <c r="U45" s="715">
        <f t="shared" si="13"/>
        <v>100</v>
      </c>
      <c r="V45" s="714" t="s">
        <v>17</v>
      </c>
      <c r="W45" s="715">
        <f t="shared" si="14"/>
        <v>100</v>
      </c>
      <c r="X45" s="1541"/>
      <c r="Y45" s="3321"/>
      <c r="Z45" s="1542">
        <f t="shared" si="15"/>
        <v>111</v>
      </c>
      <c r="AA45" s="1539">
        <f t="shared" si="3"/>
        <v>1</v>
      </c>
      <c r="AB45" s="1539">
        <f t="shared" si="4"/>
        <v>1</v>
      </c>
      <c r="AC45" s="1539">
        <f t="shared" si="5"/>
        <v>1</v>
      </c>
    </row>
    <row r="46" spans="1:29" ht="15.6"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20"/>
      <c r="Q46" s="1538">
        <f t="shared" si="11"/>
        <v>111</v>
      </c>
      <c r="R46" s="714" t="s">
        <v>17</v>
      </c>
      <c r="S46" s="715">
        <f t="shared" si="12"/>
        <v>100</v>
      </c>
      <c r="T46" s="714" t="s">
        <v>17</v>
      </c>
      <c r="U46" s="715">
        <f t="shared" si="13"/>
        <v>100</v>
      </c>
      <c r="V46" s="714" t="s">
        <v>17</v>
      </c>
      <c r="W46" s="715">
        <f t="shared" si="14"/>
        <v>100</v>
      </c>
      <c r="X46" s="1541"/>
      <c r="Y46" s="3322"/>
      <c r="Z46" s="1542">
        <f t="shared" si="15"/>
        <v>111</v>
      </c>
      <c r="AA46" s="1539">
        <f t="shared" si="3"/>
        <v>1</v>
      </c>
      <c r="AB46" s="1539">
        <f t="shared" si="4"/>
        <v>1</v>
      </c>
      <c r="AC46" s="1539">
        <f t="shared" si="5"/>
        <v>1</v>
      </c>
    </row>
    <row r="47" spans="1:29" ht="14.4">
      <c r="A47" s="438" t="s">
        <v>2399</v>
      </c>
      <c r="B47" s="439"/>
      <c r="C47" s="1316" t="s">
        <v>1</v>
      </c>
      <c r="D47" s="1317"/>
      <c r="E47" s="1318">
        <v>31658</v>
      </c>
      <c r="F47" s="1319"/>
      <c r="G47" s="1320">
        <v>33719</v>
      </c>
      <c r="H47" s="1321"/>
      <c r="I47" s="1318">
        <v>40000</v>
      </c>
      <c r="J47" s="1321"/>
      <c r="K47" s="723"/>
      <c r="L47" s="2952"/>
      <c r="M47" s="2953"/>
      <c r="N47" s="2944"/>
      <c r="O47" s="2953"/>
      <c r="P47" s="3314" t="str">
        <f>A47</f>
        <v>成交单价（元/平方米）</v>
      </c>
      <c r="Q47" s="3314"/>
      <c r="R47" s="3345">
        <f>E47</f>
        <v>31658</v>
      </c>
      <c r="S47" s="3345"/>
      <c r="T47" s="3345">
        <f>G47</f>
        <v>33719</v>
      </c>
      <c r="U47" s="3345"/>
      <c r="V47" s="3345">
        <f>I47</f>
        <v>40000</v>
      </c>
      <c r="W47" s="3345"/>
      <c r="X47" s="699"/>
      <c r="Y47" s="721"/>
      <c r="Z47" s="699"/>
      <c r="AA47" s="699"/>
      <c r="AB47" s="699"/>
      <c r="AC47" s="699"/>
    </row>
    <row r="48" spans="1:29" ht="15" thickBot="1">
      <c r="A48" s="445" t="s">
        <v>2491</v>
      </c>
      <c r="B48" s="446"/>
      <c r="C48" s="1322">
        <f>R49</f>
        <v>32473</v>
      </c>
      <c r="D48" s="2539" t="s">
        <v>2879</v>
      </c>
      <c r="E48" s="1323">
        <f>R48</f>
        <v>27873</v>
      </c>
      <c r="F48" s="2540"/>
      <c r="G48" s="1322">
        <f>T48</f>
        <v>36029</v>
      </c>
      <c r="H48" s="2540"/>
      <c r="I48" s="1323">
        <f>V48</f>
        <v>33518</v>
      </c>
      <c r="J48" s="2540"/>
      <c r="K48" s="2542">
        <f>F48+H48+J48</f>
        <v>0</v>
      </c>
      <c r="L48" s="2952"/>
      <c r="M48" s="2953"/>
      <c r="N48" s="2944"/>
      <c r="O48" s="2953"/>
      <c r="P48" s="3314" t="str">
        <f>A48</f>
        <v>比较价值（元/平方米）</v>
      </c>
      <c r="Q48" s="3314"/>
      <c r="R48" s="3315">
        <f>IF(F1="售价",ROUND(PRODUCT(R47,AA7:AA46),0),ROUND(PRODUCT(R47,AA7:AA46),1))</f>
        <v>27873</v>
      </c>
      <c r="S48" s="3315"/>
      <c r="T48" s="3315">
        <f>IF(F1="售价",ROUND(PRODUCT(T47,AB7:AB46),0),ROUND(PRODUCT(T47,AB7:AB46),1))</f>
        <v>36029</v>
      </c>
      <c r="U48" s="3315"/>
      <c r="V48" s="3315">
        <f>IF(F1="售价",ROUND(PRODUCT(V47,AC7:AC46),0),ROUND(PRODUCT(V47,AC7:AC46),1))</f>
        <v>33518</v>
      </c>
      <c r="W48" s="3315"/>
      <c r="X48" s="699"/>
      <c r="Y48" s="699"/>
      <c r="Z48" s="699"/>
      <c r="AA48" s="699"/>
      <c r="AB48" s="699"/>
      <c r="AC48" s="699"/>
    </row>
    <row r="49" spans="1:29" ht="15" thickBot="1">
      <c r="A49" s="449" t="s">
        <v>2492</v>
      </c>
      <c r="B49" s="450"/>
      <c r="C49" s="1325">
        <f>R49</f>
        <v>32473</v>
      </c>
      <c r="D49" s="1325"/>
      <c r="E49" s="1325"/>
      <c r="F49" s="1325"/>
      <c r="G49" s="1325"/>
      <c r="H49" s="1325"/>
      <c r="I49" s="1325"/>
      <c r="J49" s="1325"/>
      <c r="K49" s="724"/>
      <c r="L49" s="2952"/>
      <c r="M49" s="2953"/>
      <c r="N49" s="2944"/>
      <c r="O49" s="2953"/>
      <c r="P49" s="3311" t="str">
        <f>A49</f>
        <v>估价对象XX用房的比较价值（楼面单价，元/平方米）</v>
      </c>
      <c r="Q49" s="3312"/>
      <c r="R49" s="3313">
        <f>IF(F1="售价",ROUND(IF(D48="简单平均",AVERAGE(R48:V48),R48*F48+T48*H48+V48*J48),0),ROUND(IF(D48="简单平均",AVERAGE(R48:V48),R48*F48+T48*H48+V48*J48),1))</f>
        <v>32473</v>
      </c>
      <c r="S49" s="3313"/>
      <c r="T49" s="3313"/>
      <c r="U49" s="3313"/>
      <c r="V49" s="3313"/>
      <c r="W49" s="3313"/>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2493</v>
      </c>
      <c r="D52" s="455"/>
      <c r="E52" s="456">
        <f>IF(E47&lt;E48,E48/E47-1,E47/E48-1)</f>
        <v>0.13579449646611419</v>
      </c>
      <c r="F52" s="457" t="str">
        <f>IF(OR(E52&gt;=0.3,E52&lt;=-0.3),"超过30%","")</f>
        <v/>
      </c>
      <c r="G52" s="456">
        <f>IF(G47&lt;G48,G48/G47-1,G47/G48-1)</f>
        <v>6.8507369732198509E-2</v>
      </c>
      <c r="H52" s="457" t="str">
        <f>IF(OR(G52&gt;=0.3,G52&lt;=-0.3),"超过30%","")</f>
        <v/>
      </c>
      <c r="I52" s="456">
        <f>IF(I47&lt;I48,I48/I47-1,I47/I48-1)</f>
        <v>0.19338862700638471</v>
      </c>
      <c r="J52" s="457"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2494</v>
      </c>
      <c r="D53" s="458"/>
      <c r="E53" s="456">
        <f>IF(E48&lt;G48,G48/E48-1,E48/G48-1)</f>
        <v>0.29261292290029783</v>
      </c>
      <c r="F53" s="457" t="str">
        <f>IF(OR(E53&gt;=0.2,E53&lt;=-0.2),"超过20%","")</f>
        <v>超过20%</v>
      </c>
      <c r="G53" s="456">
        <f>IF(G48&lt;I48,I48/G48-1,G48/I48-1)</f>
        <v>7.4914971060325852E-2</v>
      </c>
      <c r="H53" s="457" t="str">
        <f>IF(OR(G53&gt;=0.2,G53&lt;=-0.2),"超过20%","")</f>
        <v/>
      </c>
      <c r="I53" s="456">
        <f>IF(I48&lt;E48,E48/I48-1,I48/E48-1)</f>
        <v>0.20252574175725613</v>
      </c>
      <c r="J53" s="457" t="str">
        <f>IF(OR(I53&gt;=0.2,I53&lt;=-0.2),"超过20%","")</f>
        <v>超过20%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2495</v>
      </c>
      <c r="D54" s="458"/>
      <c r="E54" s="456">
        <f>IF(E47&lt;G47,G47/E47-1,E47/G47-1)</f>
        <v>6.5102027923431782E-2</v>
      </c>
      <c r="F54" s="457" t="str">
        <f>IF(OR(E54&gt;=0.3,E54&lt;=-0.3),"超过30%","")</f>
        <v/>
      </c>
      <c r="G54" s="456">
        <f>IF(G47&lt;I47,I47/G47-1,G47/I47-1)</f>
        <v>0.18627480055754919</v>
      </c>
      <c r="H54" s="457" t="str">
        <f>IF(OR(G54&gt;=0.3,G54&lt;=-0.3),"超过30%","")</f>
        <v/>
      </c>
      <c r="I54" s="456">
        <f>IF(I47&lt;E47,E47/I47-1,I47/E47-1)</f>
        <v>0.26350369574831012</v>
      </c>
      <c r="J54" s="457"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2.2" thickBot="1">
      <c r="A57" s="703" t="s">
        <v>2496</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4.4">
      <c r="A58" s="462" t="s">
        <v>2370</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68"/>
      <c r="Q58" s="2969"/>
      <c r="R58" s="2969"/>
      <c r="S58" s="2969"/>
      <c r="T58" s="2969"/>
      <c r="U58" s="2969"/>
      <c r="V58" s="2969"/>
      <c r="W58" s="2969"/>
      <c r="X58" s="2969"/>
      <c r="Y58" s="2969"/>
      <c r="Z58" s="2969"/>
      <c r="AA58" s="2969"/>
      <c r="AB58" s="2969"/>
      <c r="AC58" s="2969"/>
    </row>
    <row r="59" spans="1:29" s="113" customFormat="1">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 thickBot="1">
      <c r="A60" s="472" t="s">
        <v>2407</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4.4">
      <c r="A61" s="478" t="s">
        <v>2372</v>
      </c>
      <c r="B61" s="467"/>
      <c r="C61" s="479" t="s">
        <v>2474</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4.4"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ht="14.4">
      <c r="A63" s="484" t="s">
        <v>2410</v>
      </c>
      <c r="B63" s="485" t="s">
        <v>2376</v>
      </c>
      <c r="C63" s="486" t="str">
        <f>C9</f>
        <v>办公</v>
      </c>
      <c r="D63" s="3046" t="s">
        <v>3165</v>
      </c>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4.4" thickBot="1">
      <c r="A64" s="491"/>
      <c r="B64" s="492"/>
      <c r="C64" s="493">
        <v>100</v>
      </c>
      <c r="D64" s="493">
        <v>105</v>
      </c>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9.4" thickTop="1">
      <c r="A65" s="491"/>
      <c r="B65" s="495" t="s">
        <v>2379</v>
      </c>
      <c r="C65" s="496" t="s">
        <v>2411</v>
      </c>
      <c r="D65" s="496" t="s">
        <v>2412</v>
      </c>
      <c r="E65" s="496" t="s">
        <v>2413</v>
      </c>
      <c r="F65" s="496" t="s">
        <v>2414</v>
      </c>
      <c r="G65" s="496" t="s">
        <v>2415</v>
      </c>
      <c r="H65" s="496" t="s">
        <v>2416</v>
      </c>
      <c r="I65" s="496" t="s">
        <v>2417</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4.4" thickBot="1">
      <c r="A66" s="491"/>
      <c r="B66" s="500"/>
      <c r="C66" s="501" t="s">
        <v>24</v>
      </c>
      <c r="D66" s="501" t="s">
        <v>25</v>
      </c>
      <c r="E66" s="501" t="s">
        <v>26</v>
      </c>
      <c r="F66" s="501">
        <v>100</v>
      </c>
      <c r="G66" s="501">
        <f>F66-$K10</f>
        <v>99</v>
      </c>
      <c r="H66" s="501">
        <f>G66-$K10</f>
        <v>98</v>
      </c>
      <c r="I66" s="501">
        <f>H66-$K10</f>
        <v>97</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 thickTop="1">
      <c r="A67" s="491"/>
      <c r="B67" s="503" t="s">
        <v>2380</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c r="A68" s="491"/>
      <c r="B68" s="505"/>
      <c r="C68" s="506">
        <v>0</v>
      </c>
      <c r="D68" s="506">
        <v>1</v>
      </c>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4.4"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4.4"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4.4"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4.4"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4.4"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4.4"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ht="14.4">
      <c r="A76" s="484" t="s">
        <v>2381</v>
      </c>
      <c r="B76" s="485" t="s">
        <v>2418</v>
      </c>
      <c r="C76" s="530" t="s">
        <v>2419</v>
      </c>
      <c r="D76" s="530" t="s">
        <v>2420</v>
      </c>
      <c r="E76" s="530" t="s">
        <v>2421</v>
      </c>
      <c r="F76" s="530" t="s">
        <v>2422</v>
      </c>
      <c r="G76" s="530" t="s">
        <v>2423</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4.4" thickBot="1">
      <c r="A77" s="491"/>
      <c r="B77" s="500"/>
      <c r="C77" s="501">
        <v>100</v>
      </c>
      <c r="D77" s="501">
        <f>C77-$K15</f>
        <v>97</v>
      </c>
      <c r="E77" s="501">
        <f>D77-$K15</f>
        <v>94</v>
      </c>
      <c r="F77" s="501">
        <f>E77-$K15</f>
        <v>91</v>
      </c>
      <c r="G77" s="501">
        <f>F77-$K15</f>
        <v>88</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 thickTop="1">
      <c r="A78" s="491"/>
      <c r="B78" s="495" t="s">
        <v>2424</v>
      </c>
      <c r="C78" s="535" t="s">
        <v>2419</v>
      </c>
      <c r="D78" s="535" t="s">
        <v>2420</v>
      </c>
      <c r="E78" s="535" t="s">
        <v>2421</v>
      </c>
      <c r="F78" s="535" t="s">
        <v>2422</v>
      </c>
      <c r="G78" s="535" t="s">
        <v>2423</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4.4" thickBot="1">
      <c r="A79" s="491"/>
      <c r="B79" s="500"/>
      <c r="C79" s="501">
        <v>100</v>
      </c>
      <c r="D79" s="501">
        <f>C79-$K17</f>
        <v>97</v>
      </c>
      <c r="E79" s="501">
        <f>D79-$K17</f>
        <v>94</v>
      </c>
      <c r="F79" s="501">
        <f>E79-$K17</f>
        <v>91</v>
      </c>
      <c r="G79" s="501">
        <f>F79-$K17</f>
        <v>88</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 thickTop="1">
      <c r="A80" s="491"/>
      <c r="B80" s="495" t="s">
        <v>2425</v>
      </c>
      <c r="C80" s="535" t="s">
        <v>2419</v>
      </c>
      <c r="D80" s="535" t="s">
        <v>2420</v>
      </c>
      <c r="E80" s="535" t="s">
        <v>2421</v>
      </c>
      <c r="F80" s="535" t="s">
        <v>2422</v>
      </c>
      <c r="G80" s="535" t="s">
        <v>2423</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4.4" thickBot="1">
      <c r="A81" s="491"/>
      <c r="B81" s="500"/>
      <c r="C81" s="501">
        <v>100</v>
      </c>
      <c r="D81" s="501">
        <f>C81-$K19</f>
        <v>98</v>
      </c>
      <c r="E81" s="501">
        <f>D81-$K19</f>
        <v>96</v>
      </c>
      <c r="F81" s="501">
        <f>E81-$K19</f>
        <v>94</v>
      </c>
      <c r="G81" s="501">
        <f>F81-$K19</f>
        <v>92</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 thickTop="1">
      <c r="A82" s="491"/>
      <c r="B82" s="503" t="s">
        <v>2477</v>
      </c>
      <c r="C82" s="616" t="s">
        <v>2497</v>
      </c>
      <c r="D82" s="616" t="s">
        <v>2498</v>
      </c>
      <c r="E82" s="616" t="s">
        <v>2499</v>
      </c>
      <c r="F82" s="616" t="s">
        <v>2500</v>
      </c>
      <c r="G82" s="616" t="s">
        <v>2501</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4.4"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 thickTop="1">
      <c r="A84" s="491"/>
      <c r="B84" s="495" t="s">
        <v>2431</v>
      </c>
      <c r="C84" s="535" t="s">
        <v>2419</v>
      </c>
      <c r="D84" s="535" t="s">
        <v>2420</v>
      </c>
      <c r="E84" s="535" t="s">
        <v>2421</v>
      </c>
      <c r="F84" s="535" t="s">
        <v>2422</v>
      </c>
      <c r="G84" s="535" t="s">
        <v>2423</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4.4" thickBot="1">
      <c r="A85" s="491"/>
      <c r="B85" s="500"/>
      <c r="C85" s="501">
        <v>100</v>
      </c>
      <c r="D85" s="501">
        <f>C85-$K23</f>
        <v>98</v>
      </c>
      <c r="E85" s="501">
        <f>D85-$K23</f>
        <v>96</v>
      </c>
      <c r="F85" s="501">
        <f>E85-$K23</f>
        <v>94</v>
      </c>
      <c r="G85" s="501">
        <f>F85-$K23</f>
        <v>92</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 thickTop="1">
      <c r="A86" s="536"/>
      <c r="B86" s="495" t="s">
        <v>2502</v>
      </c>
      <c r="C86" s="3048" t="s">
        <v>3100</v>
      </c>
      <c r="D86" s="3048" t="s">
        <v>3099</v>
      </c>
      <c r="E86" s="3048" t="s">
        <v>3106</v>
      </c>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4.4"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2"/>
      <c r="O87" s="2982"/>
      <c r="P87" s="2972"/>
      <c r="Q87" s="2967"/>
      <c r="R87" s="2887"/>
      <c r="S87" s="2887"/>
      <c r="T87" s="2887"/>
      <c r="U87" s="2887"/>
      <c r="V87" s="2887"/>
      <c r="W87" s="2887"/>
      <c r="X87" s="2887"/>
      <c r="Y87" s="2887"/>
      <c r="Z87" s="2887"/>
      <c r="AA87" s="2887"/>
      <c r="AB87" s="2887"/>
      <c r="AC87" s="2887"/>
    </row>
    <row r="88" spans="1:29" s="113" customFormat="1" ht="15" thickTop="1">
      <c r="A88" s="536"/>
      <c r="B88" s="495" t="str">
        <f>B26</f>
        <v>平面位置/可视性</v>
      </c>
      <c r="C88" s="3048" t="s">
        <v>3105</v>
      </c>
      <c r="D88" s="3048" t="s">
        <v>3102</v>
      </c>
      <c r="E88" s="3048" t="s">
        <v>3104</v>
      </c>
      <c r="F88" s="2115"/>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4.4" thickBot="1">
      <c r="A89" s="536"/>
      <c r="B89" s="500"/>
      <c r="C89" s="517">
        <v>100</v>
      </c>
      <c r="D89" s="493">
        <v>98</v>
      </c>
      <c r="E89" s="493">
        <v>96</v>
      </c>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 thickTop="1">
      <c r="A90" s="510"/>
      <c r="B90" s="495" t="str">
        <f>B27</f>
        <v>人流量</v>
      </c>
      <c r="C90" s="3048" t="s">
        <v>3103</v>
      </c>
      <c r="D90" s="3048" t="s">
        <v>3102</v>
      </c>
      <c r="E90" s="3048" t="s">
        <v>3101</v>
      </c>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4.4" thickBot="1">
      <c r="A91" s="510"/>
      <c r="B91" s="500"/>
      <c r="C91" s="539">
        <v>100</v>
      </c>
      <c r="D91" s="501">
        <f>C91-$K27</f>
        <v>97</v>
      </c>
      <c r="E91" s="501">
        <f t="shared" ref="E91:M91" si="21">D91-$K27</f>
        <v>94</v>
      </c>
      <c r="F91" s="501">
        <f t="shared" si="21"/>
        <v>91</v>
      </c>
      <c r="G91" s="501">
        <f t="shared" si="21"/>
        <v>88</v>
      </c>
      <c r="H91" s="501">
        <f t="shared" si="21"/>
        <v>85</v>
      </c>
      <c r="I91" s="501">
        <f t="shared" si="21"/>
        <v>82</v>
      </c>
      <c r="J91" s="501">
        <f t="shared" si="21"/>
        <v>79</v>
      </c>
      <c r="K91" s="501">
        <f t="shared" si="21"/>
        <v>76</v>
      </c>
      <c r="L91" s="501">
        <f t="shared" si="21"/>
        <v>73</v>
      </c>
      <c r="M91" s="501">
        <f t="shared" si="21"/>
        <v>70</v>
      </c>
      <c r="N91" s="2983"/>
      <c r="O91" s="2983"/>
      <c r="P91" s="2973"/>
      <c r="Q91" s="2974"/>
      <c r="R91" s="2975"/>
      <c r="S91" s="2975"/>
      <c r="T91" s="2975"/>
      <c r="U91" s="2975"/>
      <c r="V91" s="2975"/>
      <c r="W91" s="2975"/>
      <c r="X91" s="2975"/>
      <c r="Y91" s="2975"/>
      <c r="Z91" s="2975"/>
      <c r="AA91" s="2975"/>
      <c r="AB91" s="2975"/>
      <c r="AC91" s="2975"/>
    </row>
    <row r="92" spans="1:29" ht="15" thickTop="1">
      <c r="A92" s="491"/>
      <c r="B92" s="495" t="str">
        <f>B28</f>
        <v>楼层</v>
      </c>
      <c r="C92" s="3048" t="s">
        <v>3109</v>
      </c>
      <c r="D92" s="3048" t="s">
        <v>3110</v>
      </c>
      <c r="E92" s="3048" t="s">
        <v>3111</v>
      </c>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4.4" thickBot="1">
      <c r="A93" s="491"/>
      <c r="B93" s="500"/>
      <c r="C93" s="493">
        <v>100</v>
      </c>
      <c r="D93" s="493">
        <v>80</v>
      </c>
      <c r="E93" s="493">
        <v>60</v>
      </c>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4.4" thickTop="1">
      <c r="A94" s="491"/>
      <c r="B94" s="495">
        <f>B29</f>
        <v>0</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4.4"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4.4" thickTop="1">
      <c r="A96" s="491"/>
      <c r="B96" s="495">
        <f>B30</f>
        <v>0</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4.4"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4.4" thickTop="1">
      <c r="A98" s="491"/>
      <c r="B98" s="503">
        <f>B31</f>
        <v>0</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4.4" thickBot="1">
      <c r="A99" s="2116"/>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ht="14.4">
      <c r="A100" s="484" t="s">
        <v>2385</v>
      </c>
      <c r="B100" s="485" t="s">
        <v>2503</v>
      </c>
      <c r="C100" s="3046" t="s">
        <v>3112</v>
      </c>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 thickTop="1">
      <c r="A102" s="491"/>
      <c r="B102" s="495" t="s">
        <v>2435</v>
      </c>
      <c r="C102" s="535" t="str">
        <f>C103&amp;"(含)"&amp;"-"&amp;D103</f>
        <v>0(含)-100</v>
      </c>
      <c r="D102" s="535" t="str">
        <f t="shared" ref="D102:L102" si="23">D103&amp;"(含)"&amp;"-"&amp;E103</f>
        <v>100(含)-200</v>
      </c>
      <c r="E102" s="535" t="str">
        <f t="shared" si="23"/>
        <v>200(含)-300</v>
      </c>
      <c r="F102" s="535" t="str">
        <f t="shared" si="23"/>
        <v>300(含)-200</v>
      </c>
      <c r="G102" s="535" t="str">
        <f t="shared" si="23"/>
        <v>200(含)-250</v>
      </c>
      <c r="H102" s="535" t="str">
        <f t="shared" si="23"/>
        <v>250(含)-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v>0</v>
      </c>
      <c r="D103" s="552">
        <v>100</v>
      </c>
      <c r="E103" s="552">
        <v>200</v>
      </c>
      <c r="F103" s="552">
        <v>300</v>
      </c>
      <c r="G103" s="552">
        <v>200</v>
      </c>
      <c r="H103" s="552">
        <v>250</v>
      </c>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4.4" thickBot="1">
      <c r="A104" s="510"/>
      <c r="B104" s="500"/>
      <c r="C104" s="517">
        <v>100</v>
      </c>
      <c r="D104" s="493">
        <v>99</v>
      </c>
      <c r="E104" s="493">
        <v>98</v>
      </c>
      <c r="F104" s="493">
        <v>97</v>
      </c>
      <c r="G104" s="493">
        <v>96</v>
      </c>
      <c r="H104" s="493">
        <v>95</v>
      </c>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2436</v>
      </c>
      <c r="C105" s="3048" t="s">
        <v>3113</v>
      </c>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2438</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4.4" thickBot="1">
      <c r="A111" s="491"/>
      <c r="B111" s="500"/>
      <c r="C111" s="539">
        <v>100</v>
      </c>
      <c r="D111" s="501">
        <f>C111+$K36</f>
        <v>101</v>
      </c>
      <c r="E111" s="501">
        <f t="shared" ref="E111:M111" si="26">D111+$K36</f>
        <v>102</v>
      </c>
      <c r="F111" s="501">
        <f t="shared" si="26"/>
        <v>103</v>
      </c>
      <c r="G111" s="501">
        <f t="shared" si="26"/>
        <v>104</v>
      </c>
      <c r="H111" s="501">
        <f t="shared" si="26"/>
        <v>105</v>
      </c>
      <c r="I111" s="501">
        <f t="shared" si="26"/>
        <v>106</v>
      </c>
      <c r="J111" s="501">
        <f t="shared" si="26"/>
        <v>107</v>
      </c>
      <c r="K111" s="501">
        <f t="shared" si="26"/>
        <v>108</v>
      </c>
      <c r="L111" s="501">
        <f t="shared" si="26"/>
        <v>109</v>
      </c>
      <c r="M111" s="501">
        <f t="shared" si="26"/>
        <v>110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2440</v>
      </c>
      <c r="C112" s="3048" t="s">
        <v>3116</v>
      </c>
      <c r="D112" s="3048" t="s">
        <v>3117</v>
      </c>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4.4"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2504</v>
      </c>
      <c r="C114" s="3048" t="s">
        <v>3167</v>
      </c>
      <c r="D114" s="3048" t="s">
        <v>3169</v>
      </c>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4.4" thickBot="1">
      <c r="A115" s="491"/>
      <c r="B115" s="500"/>
      <c r="C115" s="501">
        <v>100</v>
      </c>
      <c r="D115" s="501">
        <f t="shared" ref="D115:M115" si="28">C115-$K38</f>
        <v>99</v>
      </c>
      <c r="E115" s="501">
        <f t="shared" si="28"/>
        <v>98</v>
      </c>
      <c r="F115" s="501">
        <f t="shared" si="28"/>
        <v>97</v>
      </c>
      <c r="G115" s="501">
        <f t="shared" si="28"/>
        <v>96</v>
      </c>
      <c r="H115" s="501">
        <f t="shared" si="28"/>
        <v>95</v>
      </c>
      <c r="I115" s="501">
        <f t="shared" si="28"/>
        <v>94</v>
      </c>
      <c r="J115" s="501">
        <f t="shared" si="28"/>
        <v>93</v>
      </c>
      <c r="K115" s="501">
        <f t="shared" si="28"/>
        <v>92</v>
      </c>
      <c r="L115" s="501">
        <f t="shared" si="28"/>
        <v>91</v>
      </c>
      <c r="M115" s="502">
        <f t="shared" si="28"/>
        <v>90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2505</v>
      </c>
      <c r="C116" s="3048" t="s">
        <v>3121</v>
      </c>
      <c r="D116" s="3048" t="s">
        <v>3119</v>
      </c>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4.4" thickBot="1">
      <c r="A117" s="491"/>
      <c r="B117" s="500"/>
      <c r="C117" s="501">
        <v>100</v>
      </c>
      <c r="D117" s="501">
        <f>C117-$K39</f>
        <v>99</v>
      </c>
      <c r="E117" s="501">
        <f>D117-$K39</f>
        <v>98</v>
      </c>
      <c r="F117" s="501">
        <f>E117-$K39</f>
        <v>97</v>
      </c>
      <c r="G117" s="501">
        <f>F117-$K39</f>
        <v>96</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2506</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4.4"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2507</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2442</v>
      </c>
      <c r="C122" s="3048" t="s">
        <v>3122</v>
      </c>
      <c r="D122" s="3048" t="s">
        <v>3123</v>
      </c>
      <c r="E122" s="3048" t="s">
        <v>3124</v>
      </c>
      <c r="F122" s="3052" t="s">
        <v>3125</v>
      </c>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4.4"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2"/>
      <c r="O123" s="2982"/>
      <c r="P123" s="2972"/>
      <c r="Q123" s="2967"/>
      <c r="R123" s="2953"/>
      <c r="S123" s="2953"/>
      <c r="T123" s="2953"/>
      <c r="U123" s="2953"/>
      <c r="V123" s="2953"/>
      <c r="W123" s="2953"/>
      <c r="X123" s="2953"/>
      <c r="Y123" s="2953"/>
      <c r="Z123" s="2953"/>
      <c r="AA123" s="2953"/>
      <c r="AB123" s="2953"/>
      <c r="AC123" s="2953"/>
    </row>
    <row r="124" spans="1:29" ht="29.4" thickTop="1">
      <c r="A124" s="556"/>
      <c r="B124" s="495" t="s">
        <v>2443</v>
      </c>
      <c r="C124" s="535" t="s">
        <v>2419</v>
      </c>
      <c r="D124" s="535" t="s">
        <v>2420</v>
      </c>
      <c r="E124" s="535" t="s">
        <v>2421</v>
      </c>
      <c r="F124" s="535" t="s">
        <v>2422</v>
      </c>
      <c r="G124" s="535" t="s">
        <v>2423</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t="str">
        <f>B44</f>
        <v>是否含地下室</v>
      </c>
      <c r="C126" s="3048" t="s">
        <v>3187</v>
      </c>
      <c r="D126" s="3048" t="s">
        <v>3188</v>
      </c>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4.4" thickBot="1">
      <c r="A127" s="510"/>
      <c r="B127" s="500"/>
      <c r="C127" s="517">
        <v>105</v>
      </c>
      <c r="D127" s="493">
        <v>100</v>
      </c>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4.4"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4.4"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4.4"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4.4" thickBot="1">
      <c r="A131" s="2116"/>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2" stopIfTrue="1" operator="containsText" text="超过">
      <formula>NOT(ISERROR(SEARCH("超过",F52)))</formula>
    </cfRule>
  </conditionalFormatting>
  <conditionalFormatting sqref="H54">
    <cfRule type="containsText" dxfId="136" priority="20" stopIfTrue="1" operator="containsText" text="超过">
      <formula>NOT(ISERROR(SEARCH("超过",H54)))</formula>
    </cfRule>
  </conditionalFormatting>
  <conditionalFormatting sqref="F54">
    <cfRule type="containsText" dxfId="135" priority="19" stopIfTrue="1" operator="containsText" text="超过">
      <formula>NOT(ISERROR(SEARCH("超过",F54)))</formula>
    </cfRule>
  </conditionalFormatting>
  <conditionalFormatting sqref="F53 H53">
    <cfRule type="containsText" dxfId="134" priority="18" stopIfTrue="1" operator="containsText" text="超过">
      <formula>NOT(ISERROR(SEARCH("超过",F53)))</formula>
    </cfRule>
  </conditionalFormatting>
  <conditionalFormatting sqref="E52">
    <cfRule type="expression" dxfId="133" priority="17" stopIfTrue="1">
      <formula>$F$52="超过30%"</formula>
    </cfRule>
  </conditionalFormatting>
  <conditionalFormatting sqref="E53">
    <cfRule type="expression" dxfId="132" priority="16" stopIfTrue="1">
      <formula>$F$53="超过20%"</formula>
    </cfRule>
  </conditionalFormatting>
  <conditionalFormatting sqref="E54">
    <cfRule type="expression" dxfId="131" priority="15" stopIfTrue="1">
      <formula>$F$54="超过30%"</formula>
    </cfRule>
  </conditionalFormatting>
  <conditionalFormatting sqref="G54">
    <cfRule type="expression" dxfId="130" priority="14" stopIfTrue="1">
      <formula>$H$54="超过30%"</formula>
    </cfRule>
  </conditionalFormatting>
  <conditionalFormatting sqref="G52">
    <cfRule type="expression" dxfId="129" priority="13" stopIfTrue="1">
      <formula>$H$52="超过30%"</formula>
    </cfRule>
  </conditionalFormatting>
  <conditionalFormatting sqref="G53">
    <cfRule type="expression" dxfId="128" priority="12" stopIfTrue="1">
      <formula>$H$53="超过20%"</formula>
    </cfRule>
  </conditionalFormatting>
  <conditionalFormatting sqref="J52">
    <cfRule type="containsText" dxfId="127" priority="11" stopIfTrue="1" operator="containsText" text="超过">
      <formula>NOT(ISERROR(SEARCH("超过",J52)))</formula>
    </cfRule>
  </conditionalFormatting>
  <conditionalFormatting sqref="J54">
    <cfRule type="containsText" dxfId="126" priority="10" stopIfTrue="1" operator="containsText" text="超过">
      <formula>NOT(ISERROR(SEARCH("超过",J54)))</formula>
    </cfRule>
  </conditionalFormatting>
  <conditionalFormatting sqref="J53">
    <cfRule type="containsText" dxfId="125" priority="9" stopIfTrue="1" operator="containsText" text="超过">
      <formula>NOT(ISERROR(SEARCH("超过",J53)))</formula>
    </cfRule>
  </conditionalFormatting>
  <conditionalFormatting sqref="I52">
    <cfRule type="expression" dxfId="124" priority="8" stopIfTrue="1">
      <formula>$J$52="超过30%"</formula>
    </cfRule>
  </conditionalFormatting>
  <conditionalFormatting sqref="I53">
    <cfRule type="expression" dxfId="123" priority="7" stopIfTrue="1">
      <formula>$J$53="超过20%"</formula>
    </cfRule>
  </conditionalFormatting>
  <conditionalFormatting sqref="I54">
    <cfRule type="expression" dxfId="122" priority="6" stopIfTrue="1">
      <formula>$J$54="超过30%"</formula>
    </cfRule>
  </conditionalFormatting>
  <conditionalFormatting sqref="F48">
    <cfRule type="expression" dxfId="121" priority="5">
      <formula>$D$48="简单平均"</formula>
    </cfRule>
  </conditionalFormatting>
  <conditionalFormatting sqref="H48">
    <cfRule type="expression" dxfId="120" priority="4">
      <formula>$D$48="简单平均"</formula>
    </cfRule>
  </conditionalFormatting>
  <conditionalFormatting sqref="J48">
    <cfRule type="expression" dxfId="119" priority="3">
      <formula>$D$48="简单平均"</formula>
    </cfRule>
  </conditionalFormatting>
  <conditionalFormatting sqref="H7:H46 J7:J46 F7:F46">
    <cfRule type="cellIs" dxfId="118" priority="2"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4" zoomScaleNormal="70" zoomScaleSheetLayoutView="100" workbookViewId="0">
      <selection activeCell="C35" sqref="C35"/>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2350</v>
      </c>
      <c r="B1" s="2145" t="s">
        <v>2508</v>
      </c>
      <c r="C1" s="1392" t="s">
        <v>2352</v>
      </c>
      <c r="D1" s="1393" t="s">
        <v>3083</v>
      </c>
      <c r="E1" s="1402"/>
      <c r="F1" s="2067" t="s">
        <v>3142</v>
      </c>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f>IF(C2="——",ROUND(C50*D3/10000,0),ROUND(C50*D3/10000,0)-D2)</f>
        <v>0</v>
      </c>
      <c r="C2" s="2069" t="s">
        <v>70</v>
      </c>
      <c r="D2" s="1275" t="e">
        <f ca="1">SUMIF(INDIRECT("'"&amp;F2&amp;"'"&amp;"!A:A"),"承租人权益价值",INDIRECT("'"&amp;F2&amp;"'"&amp;"!c:c"))</f>
        <v>#REF!</v>
      </c>
      <c r="E2" s="2070" t="s">
        <v>2150</v>
      </c>
      <c r="F2" s="2071" t="s">
        <v>3143</v>
      </c>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5.8</v>
      </c>
      <c r="C3" s="360" t="s">
        <v>2466</v>
      </c>
      <c r="D3" s="359">
        <f>IF(D1="",'数据-汇总表'!E3,SUMIF('数据-汇总表'!$C19:$C33,D1,'数据-汇总表'!$E19:$E33))</f>
        <v>116.2</v>
      </c>
      <c r="E3" s="2142"/>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4.4">
      <c r="A4" s="361" t="s">
        <v>2467</v>
      </c>
      <c r="B4" s="362"/>
      <c r="C4" s="3329" t="s">
        <v>2468</v>
      </c>
      <c r="D4" s="3330"/>
      <c r="E4" s="3331" t="s">
        <v>2469</v>
      </c>
      <c r="F4" s="3332"/>
      <c r="G4" s="3329" t="s">
        <v>2470</v>
      </c>
      <c r="H4" s="3330"/>
      <c r="I4" s="3329" t="s">
        <v>2471</v>
      </c>
      <c r="J4" s="3330"/>
      <c r="K4" s="567" t="s">
        <v>2472</v>
      </c>
      <c r="L4" s="2943"/>
      <c r="M4" s="2944"/>
      <c r="N4" s="2944"/>
      <c r="O4" s="2944"/>
      <c r="P4" s="3369" t="s">
        <v>2473</v>
      </c>
      <c r="Q4" s="3370"/>
      <c r="R4" s="3373" t="s">
        <v>2469</v>
      </c>
      <c r="S4" s="3374"/>
      <c r="T4" s="3373" t="s">
        <v>2470</v>
      </c>
      <c r="U4" s="3374"/>
      <c r="V4" s="3375" t="s">
        <v>2471</v>
      </c>
      <c r="W4" s="3375"/>
      <c r="X4" s="2146"/>
      <c r="Y4" s="3373" t="s">
        <v>2473</v>
      </c>
      <c r="Z4" s="3374"/>
      <c r="AA4" s="3377" t="s">
        <v>2469</v>
      </c>
      <c r="AB4" s="3377" t="s">
        <v>2470</v>
      </c>
      <c r="AC4" s="3366" t="s">
        <v>2471</v>
      </c>
    </row>
    <row r="5" spans="1:29">
      <c r="A5" s="364"/>
      <c r="B5" s="365"/>
      <c r="C5" s="3348" t="s">
        <v>2364</v>
      </c>
      <c r="D5" s="3349"/>
      <c r="E5" s="3355" t="s">
        <v>2365</v>
      </c>
      <c r="F5" s="3356"/>
      <c r="G5" s="3348" t="s">
        <v>2366</v>
      </c>
      <c r="H5" s="3349"/>
      <c r="I5" s="3348" t="s">
        <v>2367</v>
      </c>
      <c r="J5" s="3349"/>
      <c r="K5" s="567"/>
      <c r="L5" s="2943"/>
      <c r="M5" s="2944"/>
      <c r="N5" s="2944"/>
      <c r="O5" s="2944"/>
      <c r="P5" s="3371"/>
      <c r="Q5" s="3336"/>
      <c r="R5" s="3341"/>
      <c r="S5" s="3342"/>
      <c r="T5" s="3341"/>
      <c r="U5" s="3342"/>
      <c r="V5" s="3345"/>
      <c r="W5" s="3345"/>
      <c r="X5" s="1541"/>
      <c r="Y5" s="3341"/>
      <c r="Z5" s="3342"/>
      <c r="AA5" s="3327"/>
      <c r="AB5" s="3327"/>
      <c r="AC5" s="3367"/>
    </row>
    <row r="6" spans="1:29" ht="15" thickBot="1">
      <c r="A6" s="366"/>
      <c r="B6" s="367"/>
      <c r="C6" s="3346" t="s">
        <v>2368</v>
      </c>
      <c r="D6" s="3347"/>
      <c r="E6" s="3353" t="s">
        <v>2368</v>
      </c>
      <c r="F6" s="3354"/>
      <c r="G6" s="3346" t="s">
        <v>2368</v>
      </c>
      <c r="H6" s="3347"/>
      <c r="I6" s="3346" t="s">
        <v>2368</v>
      </c>
      <c r="J6" s="3347"/>
      <c r="K6" s="567" t="s">
        <v>2369</v>
      </c>
      <c r="L6" s="2943"/>
      <c r="M6" s="2944"/>
      <c r="N6" s="2944"/>
      <c r="O6" s="2944"/>
      <c r="P6" s="3372"/>
      <c r="Q6" s="3338"/>
      <c r="R6" s="3341"/>
      <c r="S6" s="3342"/>
      <c r="T6" s="3343"/>
      <c r="U6" s="3344"/>
      <c r="V6" s="3345"/>
      <c r="W6" s="3345"/>
      <c r="X6" s="1541"/>
      <c r="Y6" s="3343"/>
      <c r="Z6" s="3344"/>
      <c r="AA6" s="3328"/>
      <c r="AB6" s="3328"/>
      <c r="AC6" s="3368"/>
    </row>
    <row r="7" spans="1:29" s="113" customFormat="1" ht="15" thickBot="1">
      <c r="A7" s="368" t="s">
        <v>2370</v>
      </c>
      <c r="B7" s="369"/>
      <c r="C7" s="370">
        <f>'数据-取费表'!B2</f>
        <v>44209</v>
      </c>
      <c r="D7" s="371">
        <v>100</v>
      </c>
      <c r="E7" s="372">
        <f>C7</f>
        <v>44209</v>
      </c>
      <c r="F7" s="373">
        <f>SUMIF(59:59,YEAR(E7)&amp;"-"&amp;MONTH(E7),60:60)</f>
        <v>100</v>
      </c>
      <c r="G7" s="372">
        <f>C7</f>
        <v>44209</v>
      </c>
      <c r="H7" s="371">
        <f>SUMIF(59:59,YEAR(G7)&amp;"-"&amp;MONTH(G7),60:60)</f>
        <v>100</v>
      </c>
      <c r="I7" s="372">
        <f>C7</f>
        <v>44209</v>
      </c>
      <c r="J7" s="371">
        <f>SUMIF(59:59,YEAR(I7)&amp;"-"&amp;MONTH(I7),60:60)</f>
        <v>100</v>
      </c>
      <c r="K7" s="568"/>
      <c r="L7" s="2945"/>
      <c r="M7" s="2946"/>
      <c r="N7" s="2946"/>
      <c r="O7" s="2946"/>
      <c r="P7" s="3376" t="s">
        <v>2371</v>
      </c>
      <c r="Q7" s="3352"/>
      <c r="R7" s="710" t="s">
        <v>17</v>
      </c>
      <c r="S7" s="711">
        <f t="shared" ref="S7:S15" si="0">F7</f>
        <v>100</v>
      </c>
      <c r="T7" s="710" t="s">
        <v>17</v>
      </c>
      <c r="U7" s="711">
        <f t="shared" ref="U7:U15" si="1">H7</f>
        <v>100</v>
      </c>
      <c r="V7" s="710" t="s">
        <v>17</v>
      </c>
      <c r="W7" s="711">
        <f t="shared" ref="W7:W15" si="2">J7</f>
        <v>100</v>
      </c>
      <c r="X7" s="712"/>
      <c r="Y7" s="3350" t="s">
        <v>2371</v>
      </c>
      <c r="Z7" s="3351"/>
      <c r="AA7" s="713">
        <f>D7/F7</f>
        <v>1</v>
      </c>
      <c r="AB7" s="713">
        <f>D7/H7</f>
        <v>1</v>
      </c>
      <c r="AC7" s="2147">
        <f>D7/J7</f>
        <v>1</v>
      </c>
    </row>
    <row r="8" spans="1:29" s="113" customFormat="1" ht="15" thickBot="1">
      <c r="A8" s="368" t="s">
        <v>2372</v>
      </c>
      <c r="B8" s="369"/>
      <c r="C8" s="374" t="s">
        <v>2474</v>
      </c>
      <c r="D8" s="371">
        <v>100</v>
      </c>
      <c r="E8" s="374" t="s">
        <v>2409</v>
      </c>
      <c r="F8" s="373">
        <f>SUMIF(62:62,E8,63:63)-SUMIF(62:62,C8,63:63)+100</f>
        <v>100</v>
      </c>
      <c r="G8" s="374" t="s">
        <v>2409</v>
      </c>
      <c r="H8" s="371">
        <f>SUMIF(62:62,G8,63:63)-SUMIF(62:62,C8,63:63)+100</f>
        <v>100</v>
      </c>
      <c r="I8" s="374" t="s">
        <v>2409</v>
      </c>
      <c r="J8" s="371">
        <f>SUMIF(62:62,I8,63:63)-SUMIF(62:62,C8,63:63)+100</f>
        <v>100</v>
      </c>
      <c r="K8" s="568"/>
      <c r="L8" s="2945"/>
      <c r="M8" s="2946"/>
      <c r="N8" s="2946"/>
      <c r="O8" s="2946"/>
      <c r="P8" s="3376" t="s">
        <v>2374</v>
      </c>
      <c r="Q8" s="3351"/>
      <c r="R8" s="710" t="s">
        <v>17</v>
      </c>
      <c r="S8" s="711">
        <f t="shared" si="0"/>
        <v>100</v>
      </c>
      <c r="T8" s="710" t="s">
        <v>17</v>
      </c>
      <c r="U8" s="711">
        <f t="shared" si="1"/>
        <v>100</v>
      </c>
      <c r="V8" s="710" t="s">
        <v>17</v>
      </c>
      <c r="W8" s="711">
        <f t="shared" si="2"/>
        <v>100</v>
      </c>
      <c r="X8" s="712"/>
      <c r="Y8" s="3350" t="s">
        <v>2374</v>
      </c>
      <c r="Z8" s="3351"/>
      <c r="AA8" s="713">
        <f t="shared" ref="AA8:AA47" si="3">D8/F8</f>
        <v>1</v>
      </c>
      <c r="AB8" s="713">
        <f t="shared" ref="AB8:AB47" si="4">D8/H8</f>
        <v>1</v>
      </c>
      <c r="AC8" s="2147">
        <f t="shared" ref="AC8:AC47" si="5">D8/J8</f>
        <v>1</v>
      </c>
    </row>
    <row r="9" spans="1:29" s="113" customFormat="1" ht="14.4">
      <c r="A9" s="375" t="s">
        <v>2375</v>
      </c>
      <c r="B9" s="67" t="s">
        <v>2376</v>
      </c>
      <c r="C9" s="3047" t="s">
        <v>3144</v>
      </c>
      <c r="D9" s="131">
        <v>100</v>
      </c>
      <c r="E9" s="3068" t="s">
        <v>1343</v>
      </c>
      <c r="F9" s="131">
        <f>SUMIF(64:64,E9,65:65)-SUMIF(64:64,C9,65:65)+100</f>
        <v>105</v>
      </c>
      <c r="G9" s="3066" t="s">
        <v>1343</v>
      </c>
      <c r="H9" s="131">
        <f>SUMIF(64:64,G9,65:65)-SUMIF(64:64,C9,65:65)+100</f>
        <v>105</v>
      </c>
      <c r="I9" s="3066" t="s">
        <v>1343</v>
      </c>
      <c r="J9" s="131">
        <f>SUMIF(64:64,I9,65:65)-SUMIF(64:64,C9,65:65)+100</f>
        <v>105</v>
      </c>
      <c r="K9" s="568"/>
      <c r="L9" s="2945"/>
      <c r="M9" s="2946"/>
      <c r="N9" s="2946"/>
      <c r="O9" s="2946"/>
      <c r="P9" s="3325" t="s">
        <v>2377</v>
      </c>
      <c r="Q9" s="1529" t="str">
        <f t="shared" ref="Q9:Q15" si="6">B9</f>
        <v>用途</v>
      </c>
      <c r="R9" s="710" t="s">
        <v>17</v>
      </c>
      <c r="S9" s="711">
        <f t="shared" si="0"/>
        <v>105</v>
      </c>
      <c r="T9" s="710" t="s">
        <v>17</v>
      </c>
      <c r="U9" s="711">
        <f t="shared" si="1"/>
        <v>105</v>
      </c>
      <c r="V9" s="710" t="s">
        <v>17</v>
      </c>
      <c r="W9" s="711">
        <f t="shared" si="2"/>
        <v>105</v>
      </c>
      <c r="X9" s="712"/>
      <c r="Y9" s="3184" t="s">
        <v>2378</v>
      </c>
      <c r="Z9" s="55" t="str">
        <f t="shared" ref="Z9:Z15" si="7">Q9</f>
        <v>用途</v>
      </c>
      <c r="AA9" s="713">
        <f t="shared" si="3"/>
        <v>0.95238095238095233</v>
      </c>
      <c r="AB9" s="713">
        <f t="shared" si="4"/>
        <v>0.95238095238095233</v>
      </c>
      <c r="AC9" s="2147">
        <f t="shared" si="5"/>
        <v>0.95238095238095233</v>
      </c>
    </row>
    <row r="10" spans="1:29" s="386" customFormat="1" ht="28.8">
      <c r="A10" s="380"/>
      <c r="B10" s="381" t="s">
        <v>2379</v>
      </c>
      <c r="C10" s="382" t="s">
        <v>3094</v>
      </c>
      <c r="D10" s="132">
        <v>100</v>
      </c>
      <c r="E10" s="382" t="s">
        <v>3094</v>
      </c>
      <c r="F10" s="132">
        <f>SUMIF(66:66,E10,67:67)-SUMIF(66:66,C10,67:67)+100</f>
        <v>100</v>
      </c>
      <c r="G10" s="383" t="s">
        <v>3094</v>
      </c>
      <c r="H10" s="132">
        <f>SUMIF(66:66,G10,67:67)-SUMIF(66:66,C10,67:67)+100</f>
        <v>100</v>
      </c>
      <c r="I10" s="382" t="s">
        <v>3094</v>
      </c>
      <c r="J10" s="132">
        <f>SUMIF(66:66,I10,67:67)-SUMIF(66:66,C10,67:67)+100</f>
        <v>100</v>
      </c>
      <c r="K10" s="569">
        <v>1</v>
      </c>
      <c r="L10" s="2947"/>
      <c r="M10" s="2948"/>
      <c r="N10" s="2948"/>
      <c r="O10" s="2948"/>
      <c r="P10" s="3325"/>
      <c r="Q10" s="1529" t="str">
        <f t="shared" si="6"/>
        <v>土地使用年限（年）</v>
      </c>
      <c r="R10" s="710" t="s">
        <v>17</v>
      </c>
      <c r="S10" s="711">
        <f t="shared" si="0"/>
        <v>100</v>
      </c>
      <c r="T10" s="710" t="s">
        <v>17</v>
      </c>
      <c r="U10" s="711">
        <f t="shared" si="1"/>
        <v>100</v>
      </c>
      <c r="V10" s="710" t="s">
        <v>17</v>
      </c>
      <c r="W10" s="711">
        <f t="shared" si="2"/>
        <v>100</v>
      </c>
      <c r="X10" s="712"/>
      <c r="Y10" s="3184"/>
      <c r="Z10" s="55" t="str">
        <f t="shared" si="7"/>
        <v>土地使用年限（年）</v>
      </c>
      <c r="AA10" s="713">
        <f t="shared" si="3"/>
        <v>1</v>
      </c>
      <c r="AB10" s="713">
        <f t="shared" si="4"/>
        <v>1</v>
      </c>
      <c r="AC10" s="2147">
        <f t="shared" si="5"/>
        <v>1</v>
      </c>
    </row>
    <row r="11" spans="1:29" ht="15">
      <c r="A11" s="387"/>
      <c r="B11" s="381" t="s">
        <v>2380</v>
      </c>
      <c r="C11" s="388">
        <v>1</v>
      </c>
      <c r="D11" s="132">
        <v>100</v>
      </c>
      <c r="E11" s="388">
        <v>1</v>
      </c>
      <c r="F11" s="132">
        <f>LOOKUP(E11,69:69,70:70)-LOOKUP(C11,69:69,70:70)+100</f>
        <v>100</v>
      </c>
      <c r="G11" s="389">
        <v>1</v>
      </c>
      <c r="H11" s="132">
        <f>LOOKUP(G11,69:69,70:70)-LOOKUP(C11,69:69,70:70)+100</f>
        <v>100</v>
      </c>
      <c r="I11" s="388">
        <v>1</v>
      </c>
      <c r="J11" s="132">
        <f>LOOKUP(I11,69:69,70:70)-LOOKUP(C11,69:69,70:70)+100</f>
        <v>100</v>
      </c>
      <c r="K11" s="569">
        <v>1</v>
      </c>
      <c r="L11" s="2949"/>
      <c r="M11" s="2944"/>
      <c r="N11" s="2944"/>
      <c r="O11" s="2944"/>
      <c r="P11" s="3325"/>
      <c r="Q11" s="1529" t="str">
        <f t="shared" si="6"/>
        <v>容积率</v>
      </c>
      <c r="R11" s="710" t="s">
        <v>17</v>
      </c>
      <c r="S11" s="711">
        <f t="shared" si="0"/>
        <v>100</v>
      </c>
      <c r="T11" s="710" t="s">
        <v>17</v>
      </c>
      <c r="U11" s="711">
        <f t="shared" si="1"/>
        <v>100</v>
      </c>
      <c r="V11" s="710" t="s">
        <v>17</v>
      </c>
      <c r="W11" s="711">
        <f t="shared" si="2"/>
        <v>100</v>
      </c>
      <c r="X11" s="712"/>
      <c r="Y11" s="3184"/>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5"/>
      <c r="M12" s="2946"/>
      <c r="N12" s="2946"/>
      <c r="O12" s="2946"/>
      <c r="P12" s="3325"/>
      <c r="Q12" s="1529">
        <f t="shared" si="6"/>
        <v>111</v>
      </c>
      <c r="R12" s="710" t="s">
        <v>17</v>
      </c>
      <c r="S12" s="711">
        <f t="shared" si="0"/>
        <v>100</v>
      </c>
      <c r="T12" s="710" t="s">
        <v>17</v>
      </c>
      <c r="U12" s="711">
        <f t="shared" si="1"/>
        <v>100</v>
      </c>
      <c r="V12" s="710" t="s">
        <v>17</v>
      </c>
      <c r="W12" s="711">
        <f t="shared" si="2"/>
        <v>100</v>
      </c>
      <c r="X12" s="712"/>
      <c r="Y12" s="3184"/>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0"/>
      <c r="M13" s="2944"/>
      <c r="N13" s="2944"/>
      <c r="O13" s="2944"/>
      <c r="P13" s="3325"/>
      <c r="Q13" s="1529">
        <f t="shared" si="6"/>
        <v>111</v>
      </c>
      <c r="R13" s="710" t="s">
        <v>17</v>
      </c>
      <c r="S13" s="711">
        <f t="shared" si="0"/>
        <v>100</v>
      </c>
      <c r="T13" s="710" t="s">
        <v>17</v>
      </c>
      <c r="U13" s="711">
        <f t="shared" si="1"/>
        <v>100</v>
      </c>
      <c r="V13" s="710" t="s">
        <v>17</v>
      </c>
      <c r="W13" s="711">
        <f t="shared" si="2"/>
        <v>100</v>
      </c>
      <c r="X13" s="712"/>
      <c r="Y13" s="3184"/>
      <c r="Z13" s="55">
        <f t="shared" si="7"/>
        <v>111</v>
      </c>
      <c r="AA13" s="713">
        <f t="shared" si="3"/>
        <v>1</v>
      </c>
      <c r="AB13" s="713">
        <f t="shared" si="4"/>
        <v>1</v>
      </c>
      <c r="AC13" s="2147">
        <f t="shared" si="5"/>
        <v>1</v>
      </c>
    </row>
    <row r="14" spans="1:29" ht="15.6"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0"/>
      <c r="M14" s="2944"/>
      <c r="N14" s="2944"/>
      <c r="O14" s="2944"/>
      <c r="P14" s="3325"/>
      <c r="Q14" s="1529">
        <f t="shared" si="6"/>
        <v>111</v>
      </c>
      <c r="R14" s="710" t="s">
        <v>17</v>
      </c>
      <c r="S14" s="711">
        <f t="shared" si="0"/>
        <v>100</v>
      </c>
      <c r="T14" s="710" t="s">
        <v>17</v>
      </c>
      <c r="U14" s="711">
        <f t="shared" si="1"/>
        <v>100</v>
      </c>
      <c r="V14" s="710" t="s">
        <v>17</v>
      </c>
      <c r="W14" s="711">
        <f t="shared" si="2"/>
        <v>100</v>
      </c>
      <c r="X14" s="712"/>
      <c r="Y14" s="3184"/>
      <c r="Z14" s="55">
        <f t="shared" si="7"/>
        <v>111</v>
      </c>
      <c r="AA14" s="713">
        <f t="shared" si="3"/>
        <v>1</v>
      </c>
      <c r="AB14" s="713">
        <f t="shared" si="4"/>
        <v>1</v>
      </c>
      <c r="AC14" s="2147">
        <f t="shared" si="5"/>
        <v>1</v>
      </c>
    </row>
    <row r="15" spans="1:29" ht="69">
      <c r="A15" s="399" t="s">
        <v>2381</v>
      </c>
      <c r="B15" s="585" t="s">
        <v>2509</v>
      </c>
      <c r="C15" s="2149" t="str">
        <f>估价对象房地状况!C5</f>
        <v>估价对象位于XX商圈，周边办公楼项目较多，入驻率高，办公集聚程度较好</v>
      </c>
      <c r="D15" s="400">
        <v>100</v>
      </c>
      <c r="E15" s="403"/>
      <c r="F15" s="400">
        <f>SUMIF(77:77,E16,78:78)-SUMIF(77:77,C16,78:78)+100</f>
        <v>102</v>
      </c>
      <c r="G15" s="401"/>
      <c r="H15" s="400">
        <f>SUMIF(77:77,G16,78:78)-SUMIF(77:77,C16,78:78)+100</f>
        <v>102</v>
      </c>
      <c r="I15" s="401"/>
      <c r="J15" s="400">
        <f>SUMIF(77:77,I16,78:78)-SUMIF(77:77,C16,78:78)+100</f>
        <v>102</v>
      </c>
      <c r="K15" s="571">
        <v>2</v>
      </c>
      <c r="L15" s="2950"/>
      <c r="M15" s="2944"/>
      <c r="N15" s="2944"/>
      <c r="O15" s="2944"/>
      <c r="P15" s="3323" t="s">
        <v>2382</v>
      </c>
      <c r="Q15" s="1538" t="str">
        <f t="shared" si="6"/>
        <v>办公集聚程度</v>
      </c>
      <c r="R15" s="714" t="s">
        <v>17</v>
      </c>
      <c r="S15" s="715">
        <f t="shared" si="0"/>
        <v>102</v>
      </c>
      <c r="T15" s="714" t="s">
        <v>17</v>
      </c>
      <c r="U15" s="715">
        <f t="shared" si="1"/>
        <v>102</v>
      </c>
      <c r="V15" s="714" t="s">
        <v>17</v>
      </c>
      <c r="W15" s="715">
        <f t="shared" si="2"/>
        <v>102</v>
      </c>
      <c r="X15" s="1541"/>
      <c r="Y15" s="3316" t="s">
        <v>2382</v>
      </c>
      <c r="Z15" s="1542" t="str">
        <f t="shared" si="7"/>
        <v>办公集聚程度</v>
      </c>
      <c r="AA15" s="1539">
        <f t="shared" si="3"/>
        <v>0.98039215686274506</v>
      </c>
      <c r="AB15" s="1539">
        <f t="shared" si="4"/>
        <v>0.98039215686274506</v>
      </c>
      <c r="AC15" s="2150">
        <f t="shared" si="5"/>
        <v>0.98039215686274506</v>
      </c>
    </row>
    <row r="16" spans="1:29" ht="15">
      <c r="A16" s="387"/>
      <c r="B16" s="586"/>
      <c r="C16" s="2092" t="s">
        <v>3095</v>
      </c>
      <c r="D16" s="407"/>
      <c r="E16" s="406" t="s">
        <v>3096</v>
      </c>
      <c r="F16" s="407"/>
      <c r="G16" s="2092" t="s">
        <v>3096</v>
      </c>
      <c r="H16" s="409"/>
      <c r="I16" s="406" t="s">
        <v>3096</v>
      </c>
      <c r="J16" s="407"/>
      <c r="K16" s="572"/>
      <c r="L16" s="2950"/>
      <c r="M16" s="2944"/>
      <c r="N16" s="2944"/>
      <c r="O16" s="2944"/>
      <c r="P16" s="3324"/>
      <c r="Q16" s="1538"/>
      <c r="R16" s="714"/>
      <c r="S16" s="715"/>
      <c r="T16" s="714"/>
      <c r="U16" s="715"/>
      <c r="V16" s="714"/>
      <c r="W16" s="715"/>
      <c r="X16" s="1541"/>
      <c r="Y16" s="3317"/>
      <c r="Z16" s="1542"/>
      <c r="AA16" s="1539">
        <v>1</v>
      </c>
      <c r="AB16" s="1539">
        <v>1</v>
      </c>
      <c r="AC16" s="2150">
        <v>1</v>
      </c>
    </row>
    <row r="17" spans="1:29" ht="82.8">
      <c r="A17" s="387"/>
      <c r="B17" s="587" t="s">
        <v>1946</v>
      </c>
      <c r="C17" s="2151" t="str">
        <f>估价对象房地状况!C6</f>
        <v>估价对象周边道路状况、公共交通通达情况、停车便捷程度，综合评价交通便捷度较好</v>
      </c>
      <c r="D17" s="409">
        <v>100</v>
      </c>
      <c r="E17" s="413"/>
      <c r="F17" s="409">
        <f>SUMIF(79:79,E18,80:80)-SUMIF(79:79,C18,80:80)+100</f>
        <v>102</v>
      </c>
      <c r="G17" s="411"/>
      <c r="H17" s="414">
        <f>SUMIF(79:79,G18,80:80)-SUMIF(79:79,C18,80:80)+100</f>
        <v>102</v>
      </c>
      <c r="I17" s="411"/>
      <c r="J17" s="414">
        <f>SUMIF(79:79,I18,80:80)-SUMIF(79:79,C18,80:80)+100</f>
        <v>102</v>
      </c>
      <c r="K17" s="571">
        <v>2</v>
      </c>
      <c r="L17" s="2950"/>
      <c r="M17" s="2944"/>
      <c r="N17" s="2944"/>
      <c r="O17" s="2944"/>
      <c r="P17" s="3324"/>
      <c r="Q17" s="1538" t="str">
        <f>B17</f>
        <v>交通便捷度</v>
      </c>
      <c r="R17" s="714" t="s">
        <v>17</v>
      </c>
      <c r="S17" s="715">
        <f>F17</f>
        <v>102</v>
      </c>
      <c r="T17" s="714" t="s">
        <v>17</v>
      </c>
      <c r="U17" s="715">
        <f>H17</f>
        <v>102</v>
      </c>
      <c r="V17" s="714" t="s">
        <v>17</v>
      </c>
      <c r="W17" s="715">
        <f>J17</f>
        <v>102</v>
      </c>
      <c r="X17" s="1541"/>
      <c r="Y17" s="3317"/>
      <c r="Z17" s="1542" t="str">
        <f>Q17</f>
        <v>交通便捷度</v>
      </c>
      <c r="AA17" s="1539">
        <f t="shared" si="3"/>
        <v>0.98039215686274506</v>
      </c>
      <c r="AB17" s="1539">
        <f t="shared" si="4"/>
        <v>0.98039215686274506</v>
      </c>
      <c r="AC17" s="2150">
        <f t="shared" si="5"/>
        <v>0.98039215686274506</v>
      </c>
    </row>
    <row r="18" spans="1:29" ht="15">
      <c r="A18" s="387"/>
      <c r="B18" s="588"/>
      <c r="C18" s="2152" t="s">
        <v>3095</v>
      </c>
      <c r="D18" s="409"/>
      <c r="E18" s="2090" t="s">
        <v>3096</v>
      </c>
      <c r="F18" s="409"/>
      <c r="G18" s="2091" t="s">
        <v>3096</v>
      </c>
      <c r="H18" s="407"/>
      <c r="I18" s="2091" t="s">
        <v>3096</v>
      </c>
      <c r="J18" s="407"/>
      <c r="K18" s="572"/>
      <c r="L18" s="2950"/>
      <c r="M18" s="2944"/>
      <c r="N18" s="2944"/>
      <c r="O18" s="2944"/>
      <c r="P18" s="3324"/>
      <c r="Q18" s="1538"/>
      <c r="R18" s="714"/>
      <c r="S18" s="715"/>
      <c r="T18" s="714"/>
      <c r="U18" s="715"/>
      <c r="V18" s="714"/>
      <c r="W18" s="715"/>
      <c r="X18" s="1541"/>
      <c r="Y18" s="3317"/>
      <c r="Z18" s="1542"/>
      <c r="AA18" s="1539">
        <v>1</v>
      </c>
      <c r="AB18" s="1539">
        <v>1</v>
      </c>
      <c r="AC18" s="2150">
        <v>1</v>
      </c>
    </row>
    <row r="19" spans="1:29" ht="41.4">
      <c r="A19" s="387"/>
      <c r="B19" s="587" t="s">
        <v>2510</v>
      </c>
      <c r="C19" s="2151" t="str">
        <f>估价对象房地状况!C7</f>
        <v>估价对象所在区域公共配套设施齐备情况</v>
      </c>
      <c r="D19" s="414">
        <v>100</v>
      </c>
      <c r="E19" s="418"/>
      <c r="F19" s="414">
        <f>SUMIF(81:81,E20,82:82)-SUMIF(81:81,C20,82:82)+100</f>
        <v>102</v>
      </c>
      <c r="G19" s="416"/>
      <c r="H19" s="409">
        <f>SUMIF(81:81,G20,82:82)-SUMIF(81:81,C20,82:82)+100</f>
        <v>102</v>
      </c>
      <c r="I19" s="416"/>
      <c r="J19" s="409">
        <f>SUMIF(81:81,I20,82:82)-SUMIF(81:81,C20,82:82)+100</f>
        <v>102</v>
      </c>
      <c r="K19" s="571">
        <v>2</v>
      </c>
      <c r="L19" s="2950"/>
      <c r="M19" s="2944"/>
      <c r="N19" s="2944"/>
      <c r="O19" s="2944"/>
      <c r="P19" s="3324"/>
      <c r="Q19" s="1538" t="str">
        <f>B19</f>
        <v>公共配套设施</v>
      </c>
      <c r="R19" s="714" t="s">
        <v>17</v>
      </c>
      <c r="S19" s="715">
        <f>F19</f>
        <v>102</v>
      </c>
      <c r="T19" s="714" t="s">
        <v>17</v>
      </c>
      <c r="U19" s="715">
        <f>H19</f>
        <v>102</v>
      </c>
      <c r="V19" s="714" t="s">
        <v>17</v>
      </c>
      <c r="W19" s="715">
        <f>J19</f>
        <v>102</v>
      </c>
      <c r="X19" s="1541"/>
      <c r="Y19" s="3317"/>
      <c r="Z19" s="1542" t="str">
        <f>Q19</f>
        <v>公共配套设施</v>
      </c>
      <c r="AA19" s="1539">
        <f t="shared" si="3"/>
        <v>0.98039215686274506</v>
      </c>
      <c r="AB19" s="1539">
        <f t="shared" si="4"/>
        <v>0.98039215686274506</v>
      </c>
      <c r="AC19" s="2150">
        <f t="shared" si="5"/>
        <v>0.98039215686274506</v>
      </c>
    </row>
    <row r="20" spans="1:29" ht="15">
      <c r="A20" s="387"/>
      <c r="B20" s="588"/>
      <c r="C20" s="2092" t="s">
        <v>3095</v>
      </c>
      <c r="D20" s="407"/>
      <c r="E20" s="2085" t="s">
        <v>3096</v>
      </c>
      <c r="F20" s="407"/>
      <c r="G20" s="2086" t="s">
        <v>3096</v>
      </c>
      <c r="H20" s="407"/>
      <c r="I20" s="2086" t="s">
        <v>3096</v>
      </c>
      <c r="J20" s="407"/>
      <c r="K20" s="572"/>
      <c r="L20" s="2950"/>
      <c r="M20" s="2944"/>
      <c r="N20" s="2944"/>
      <c r="O20" s="2944"/>
      <c r="P20" s="3324"/>
      <c r="Q20" s="1538"/>
      <c r="R20" s="714"/>
      <c r="S20" s="715"/>
      <c r="T20" s="714"/>
      <c r="U20" s="715"/>
      <c r="V20" s="714"/>
      <c r="W20" s="715"/>
      <c r="X20" s="1541"/>
      <c r="Y20" s="3317"/>
      <c r="Z20" s="1542"/>
      <c r="AA20" s="1539">
        <v>1</v>
      </c>
      <c r="AB20" s="1539">
        <v>1</v>
      </c>
      <c r="AC20" s="2150">
        <v>1</v>
      </c>
    </row>
    <row r="21" spans="1:29" ht="27.6">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0"/>
      <c r="M21" s="2944"/>
      <c r="N21" s="2944"/>
      <c r="O21" s="2944"/>
      <c r="P21" s="3324"/>
      <c r="Q21" s="1538" t="str">
        <f>B21</f>
        <v>基础设施水平</v>
      </c>
      <c r="R21" s="714" t="s">
        <v>17</v>
      </c>
      <c r="S21" s="715">
        <f>F21</f>
        <v>100</v>
      </c>
      <c r="T21" s="714" t="s">
        <v>17</v>
      </c>
      <c r="U21" s="715">
        <f>H21</f>
        <v>100</v>
      </c>
      <c r="V21" s="714" t="s">
        <v>17</v>
      </c>
      <c r="W21" s="715">
        <f>J21</f>
        <v>100</v>
      </c>
      <c r="X21" s="1541"/>
      <c r="Y21" s="3317"/>
      <c r="Z21" s="1542" t="str">
        <f>Q21</f>
        <v>基础设施水平</v>
      </c>
      <c r="AA21" s="1539">
        <f t="shared" ref="AA21" si="8">D21/F21</f>
        <v>1</v>
      </c>
      <c r="AB21" s="1539">
        <f t="shared" ref="AB21" si="9">D21/H21</f>
        <v>1</v>
      </c>
      <c r="AC21" s="2150">
        <f t="shared" ref="AC21" si="10">D21/J21</f>
        <v>1</v>
      </c>
    </row>
    <row r="22" spans="1:29" ht="15">
      <c r="A22" s="387"/>
      <c r="B22" s="589"/>
      <c r="C22" s="2152" t="s">
        <v>3097</v>
      </c>
      <c r="D22" s="407"/>
      <c r="E22" s="406" t="s">
        <v>3097</v>
      </c>
      <c r="F22" s="407"/>
      <c r="G22" s="2092" t="s">
        <v>3097</v>
      </c>
      <c r="H22" s="407"/>
      <c r="I22" s="2092" t="s">
        <v>3097</v>
      </c>
      <c r="J22" s="407"/>
      <c r="K22" s="1292"/>
      <c r="L22" s="2950"/>
      <c r="M22" s="2944"/>
      <c r="N22" s="2944"/>
      <c r="O22" s="2944"/>
      <c r="P22" s="3324"/>
      <c r="Q22" s="1538"/>
      <c r="R22" s="714"/>
      <c r="S22" s="715"/>
      <c r="T22" s="714"/>
      <c r="U22" s="715"/>
      <c r="V22" s="714"/>
      <c r="W22" s="715"/>
      <c r="X22" s="1541"/>
      <c r="Y22" s="3317"/>
      <c r="Z22" s="1542"/>
      <c r="AA22" s="1539">
        <v>1</v>
      </c>
      <c r="AB22" s="1539">
        <v>1</v>
      </c>
      <c r="AC22" s="2150">
        <v>1</v>
      </c>
    </row>
    <row r="23" spans="1:29" ht="55.2">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0"/>
      <c r="M23" s="2944"/>
      <c r="N23" s="2944"/>
      <c r="O23" s="2944"/>
      <c r="P23" s="3324"/>
      <c r="Q23" s="1538" t="str">
        <f>B23</f>
        <v>环境质量</v>
      </c>
      <c r="R23" s="714" t="s">
        <v>17</v>
      </c>
      <c r="S23" s="715">
        <f>F23</f>
        <v>100</v>
      </c>
      <c r="T23" s="714" t="s">
        <v>17</v>
      </c>
      <c r="U23" s="715">
        <f>H23</f>
        <v>100</v>
      </c>
      <c r="V23" s="714" t="s">
        <v>17</v>
      </c>
      <c r="W23" s="715">
        <f>J23</f>
        <v>100</v>
      </c>
      <c r="X23" s="1541"/>
      <c r="Y23" s="3317"/>
      <c r="Z23" s="1542" t="str">
        <f>Q23</f>
        <v>环境质量</v>
      </c>
      <c r="AA23" s="1539">
        <f t="shared" si="3"/>
        <v>1</v>
      </c>
      <c r="AB23" s="1539">
        <f t="shared" si="4"/>
        <v>1</v>
      </c>
      <c r="AC23" s="2150">
        <f t="shared" si="5"/>
        <v>1</v>
      </c>
    </row>
    <row r="24" spans="1:29" ht="15">
      <c r="A24" s="387"/>
      <c r="B24" s="589"/>
      <c r="C24" s="2092" t="s">
        <v>3095</v>
      </c>
      <c r="D24" s="407"/>
      <c r="E24" s="2085" t="s">
        <v>3095</v>
      </c>
      <c r="F24" s="407"/>
      <c r="G24" s="2086" t="s">
        <v>3095</v>
      </c>
      <c r="H24" s="407"/>
      <c r="I24" s="2086" t="s">
        <v>3095</v>
      </c>
      <c r="J24" s="407"/>
      <c r="K24" s="572"/>
      <c r="L24" s="2950"/>
      <c r="M24" s="2944"/>
      <c r="N24" s="2944"/>
      <c r="O24" s="2944"/>
      <c r="P24" s="3324"/>
      <c r="Q24" s="1538"/>
      <c r="R24" s="714"/>
      <c r="S24" s="715"/>
      <c r="T24" s="714"/>
      <c r="U24" s="715"/>
      <c r="V24" s="714"/>
      <c r="W24" s="715"/>
      <c r="X24" s="1541"/>
      <c r="Y24" s="3317"/>
      <c r="Z24" s="1542"/>
      <c r="AA24" s="1539">
        <v>1</v>
      </c>
      <c r="AB24" s="1539">
        <v>1</v>
      </c>
      <c r="AC24" s="2150">
        <v>1</v>
      </c>
    </row>
    <row r="25" spans="1:29" ht="28.8">
      <c r="A25" s="364"/>
      <c r="B25" s="587" t="s">
        <v>2513</v>
      </c>
      <c r="C25" s="2096"/>
      <c r="D25" s="394">
        <v>100</v>
      </c>
      <c r="E25" s="393"/>
      <c r="F25" s="394">
        <f>SUMIF(87:87,E26,88:88)-SUMIF(87:87,C26,88:88)+100</f>
        <v>100</v>
      </c>
      <c r="G25" s="2096"/>
      <c r="H25" s="394">
        <f>SUMIF(87:87,G26,88:88)-SUMIF(87:87,C26,88:88)+100</f>
        <v>102</v>
      </c>
      <c r="I25" s="393"/>
      <c r="J25" s="394">
        <f>SUMIF(87:87,I26,88:88)-SUMIF(87:87,C26,88:88)+100</f>
        <v>100</v>
      </c>
      <c r="K25" s="571">
        <v>2</v>
      </c>
      <c r="L25" s="2950"/>
      <c r="M25" s="2944"/>
      <c r="N25" s="2944"/>
      <c r="O25" s="2944"/>
      <c r="P25" s="3324"/>
      <c r="Q25" s="1538" t="str">
        <f>B25</f>
        <v>毗邻道路的类型与等级</v>
      </c>
      <c r="R25" s="714" t="s">
        <v>17</v>
      </c>
      <c r="S25" s="715">
        <f>F25</f>
        <v>100</v>
      </c>
      <c r="T25" s="714" t="s">
        <v>17</v>
      </c>
      <c r="U25" s="715">
        <f>H25</f>
        <v>102</v>
      </c>
      <c r="V25" s="714" t="s">
        <v>17</v>
      </c>
      <c r="W25" s="715">
        <f>J25</f>
        <v>100</v>
      </c>
      <c r="X25" s="1541"/>
      <c r="Y25" s="3317"/>
      <c r="Z25" s="1542" t="str">
        <f>Q25</f>
        <v>毗邻道路的类型与等级</v>
      </c>
      <c r="AA25" s="1539">
        <f t="shared" si="3"/>
        <v>1</v>
      </c>
      <c r="AB25" s="1539">
        <f t="shared" si="4"/>
        <v>0.98039215686274506</v>
      </c>
      <c r="AC25" s="2150">
        <f t="shared" si="5"/>
        <v>1</v>
      </c>
    </row>
    <row r="26" spans="1:29" ht="15">
      <c r="A26" s="364"/>
      <c r="B26" s="588"/>
      <c r="C26" s="590" t="s">
        <v>3150</v>
      </c>
      <c r="D26" s="394"/>
      <c r="E26" s="573" t="s">
        <v>3150</v>
      </c>
      <c r="F26" s="394"/>
      <c r="G26" s="590" t="s">
        <v>3148</v>
      </c>
      <c r="H26" s="394"/>
      <c r="I26" s="573" t="s">
        <v>3150</v>
      </c>
      <c r="J26" s="394"/>
      <c r="K26" s="572"/>
      <c r="L26" s="2950"/>
      <c r="M26" s="2944"/>
      <c r="N26" s="2944"/>
      <c r="O26" s="2944"/>
      <c r="P26" s="3324"/>
      <c r="Q26" s="1538"/>
      <c r="R26" s="714"/>
      <c r="S26" s="715"/>
      <c r="T26" s="714"/>
      <c r="U26" s="715"/>
      <c r="V26" s="714"/>
      <c r="W26" s="715"/>
      <c r="X26" s="1541"/>
      <c r="Y26" s="3317"/>
      <c r="Z26" s="1542"/>
      <c r="AA26" s="1539">
        <v>1</v>
      </c>
      <c r="AB26" s="1539">
        <v>1</v>
      </c>
      <c r="AC26" s="2150">
        <v>1</v>
      </c>
    </row>
    <row r="27" spans="1:29" ht="15">
      <c r="A27" s="387"/>
      <c r="B27" s="588" t="s">
        <v>2481</v>
      </c>
      <c r="C27" s="590" t="s">
        <v>3108</v>
      </c>
      <c r="D27" s="394">
        <v>100</v>
      </c>
      <c r="E27" s="590" t="s">
        <v>3108</v>
      </c>
      <c r="F27" s="394">
        <f>SUMIF(89:89,E27,90:90)-SUMIF(89:89,C27,90:90)+100</f>
        <v>100</v>
      </c>
      <c r="G27" s="590" t="s">
        <v>3108</v>
      </c>
      <c r="H27" s="394">
        <f>SUMIF(89:89,G27,90:90)-SUMIF(89:89,C27,90:90)+100</f>
        <v>100</v>
      </c>
      <c r="I27" s="590" t="s">
        <v>3108</v>
      </c>
      <c r="J27" s="394">
        <f>SUMIF(89:89,I27,90:90)-SUMIF(89:89,C27,90:90)+100</f>
        <v>100</v>
      </c>
      <c r="K27" s="569"/>
      <c r="L27" s="2950"/>
      <c r="M27" s="2944"/>
      <c r="N27" s="2944"/>
      <c r="O27" s="2944"/>
      <c r="P27" s="3324"/>
      <c r="Q27" s="1538" t="str">
        <f t="shared" ref="Q27:Q47" si="11">B27</f>
        <v>楼层</v>
      </c>
      <c r="R27" s="714" t="s">
        <v>17</v>
      </c>
      <c r="S27" s="715">
        <f>F27</f>
        <v>100</v>
      </c>
      <c r="T27" s="714" t="s">
        <v>17</v>
      </c>
      <c r="U27" s="715">
        <f>H27</f>
        <v>100</v>
      </c>
      <c r="V27" s="714" t="s">
        <v>17</v>
      </c>
      <c r="W27" s="715">
        <f>J27</f>
        <v>100</v>
      </c>
      <c r="X27" s="1541"/>
      <c r="Y27" s="3317"/>
      <c r="Z27" s="1542" t="str">
        <f>Q27</f>
        <v>楼层</v>
      </c>
      <c r="AA27" s="1539">
        <f t="shared" si="3"/>
        <v>1</v>
      </c>
      <c r="AB27" s="1539">
        <f t="shared" si="4"/>
        <v>1</v>
      </c>
      <c r="AC27" s="2150">
        <f t="shared" si="5"/>
        <v>1</v>
      </c>
    </row>
    <row r="28" spans="1:29" s="113" customFormat="1" ht="15">
      <c r="A28" s="390"/>
      <c r="B28" s="587" t="s">
        <v>2514</v>
      </c>
      <c r="C28" s="3062" t="s">
        <v>3156</v>
      </c>
      <c r="D28" s="421">
        <v>100</v>
      </c>
      <c r="E28" s="3062" t="s">
        <v>3156</v>
      </c>
      <c r="F28" s="421">
        <f>SUMIF(91:91,E28,92:92)-SUMIF(91:91,C28,92:92)+100</f>
        <v>100</v>
      </c>
      <c r="G28" s="3062" t="s">
        <v>3156</v>
      </c>
      <c r="H28" s="421">
        <f>SUMIF(91:91,G28,92:92)-SUMIF(91:91,C28,92:92)+100</f>
        <v>100</v>
      </c>
      <c r="I28" s="3062" t="s">
        <v>3156</v>
      </c>
      <c r="J28" s="421">
        <f>SUMIF(91:91,I28,92:92)-SUMIF(91:91,C28,92:92)+100</f>
        <v>100</v>
      </c>
      <c r="K28" s="569"/>
      <c r="L28" s="2945"/>
      <c r="M28" s="2946"/>
      <c r="N28" s="2946"/>
      <c r="O28" s="2946"/>
      <c r="P28" s="3324"/>
      <c r="Q28" s="1529" t="str">
        <f t="shared" si="11"/>
        <v>朝向</v>
      </c>
      <c r="R28" s="710" t="s">
        <v>17</v>
      </c>
      <c r="S28" s="711">
        <f>F28</f>
        <v>100</v>
      </c>
      <c r="T28" s="710" t="s">
        <v>17</v>
      </c>
      <c r="U28" s="711">
        <f>H28</f>
        <v>100</v>
      </c>
      <c r="V28" s="710" t="s">
        <v>17</v>
      </c>
      <c r="W28" s="711">
        <f>J28</f>
        <v>100</v>
      </c>
      <c r="X28" s="712"/>
      <c r="Y28" s="3317"/>
      <c r="Z28" s="55" t="str">
        <f>Q28</f>
        <v>朝向</v>
      </c>
      <c r="AA28" s="1539">
        <f>D28/F28</f>
        <v>1</v>
      </c>
      <c r="AB28" s="1539">
        <f>D28/H28</f>
        <v>1</v>
      </c>
      <c r="AC28" s="2150">
        <f>D28/J28</f>
        <v>1</v>
      </c>
    </row>
    <row r="29" spans="1:29" ht="15">
      <c r="A29" s="387"/>
      <c r="B29" s="2153">
        <v>111</v>
      </c>
      <c r="C29" s="2096"/>
      <c r="D29" s="394">
        <v>100</v>
      </c>
      <c r="E29" s="391"/>
      <c r="F29" s="394">
        <f>SUMIF(93:93,E29,94:94)-SUMIF(93:93,C29,94:94)+100</f>
        <v>100</v>
      </c>
      <c r="G29" s="2148"/>
      <c r="H29" s="394">
        <f>SUMIF(93:93,G29,94:94)-SUMIF(93:93,C29,94:94)+100</f>
        <v>100</v>
      </c>
      <c r="I29" s="391"/>
      <c r="J29" s="394">
        <f>SUMIF(93:93,I29,94:94)-SUMIF(93:93,C29,94:94)+100</f>
        <v>100</v>
      </c>
      <c r="K29" s="570"/>
      <c r="L29" s="2950"/>
      <c r="M29" s="2944"/>
      <c r="N29" s="2944"/>
      <c r="O29" s="2944"/>
      <c r="P29" s="3324"/>
      <c r="Q29" s="1538">
        <f t="shared" si="11"/>
        <v>111</v>
      </c>
      <c r="R29" s="714" t="s">
        <v>17</v>
      </c>
      <c r="S29" s="715">
        <f t="shared" ref="S29:S47" si="12">F29</f>
        <v>100</v>
      </c>
      <c r="T29" s="714" t="s">
        <v>17</v>
      </c>
      <c r="U29" s="715">
        <f t="shared" ref="U29:U47" si="13">H29</f>
        <v>100</v>
      </c>
      <c r="V29" s="714" t="s">
        <v>17</v>
      </c>
      <c r="W29" s="715">
        <f t="shared" ref="W29:W47" si="14">J29</f>
        <v>100</v>
      </c>
      <c r="X29" s="1541"/>
      <c r="Y29" s="3317"/>
      <c r="Z29" s="1542">
        <f t="shared" ref="Z29:Z47" si="15">Q29</f>
        <v>111</v>
      </c>
      <c r="AA29" s="1539">
        <f t="shared" si="3"/>
        <v>1</v>
      </c>
      <c r="AB29" s="1539">
        <f t="shared" si="4"/>
        <v>1</v>
      </c>
      <c r="AC29" s="2150">
        <f t="shared" si="5"/>
        <v>1</v>
      </c>
    </row>
    <row r="30" spans="1:29" ht="15">
      <c r="A30" s="387"/>
      <c r="B30" s="2153">
        <v>111</v>
      </c>
      <c r="C30" s="2096"/>
      <c r="D30" s="394">
        <v>100</v>
      </c>
      <c r="E30" s="391"/>
      <c r="F30" s="394">
        <f>SUMIF(95:95,E30,96:96)-SUMIF(95:95,C30,96:96)+100</f>
        <v>100</v>
      </c>
      <c r="G30" s="2148"/>
      <c r="H30" s="394">
        <f>SUMIF(95:95,G30,96:96)-SUMIF(95:95,C30,96:96)+100</f>
        <v>100</v>
      </c>
      <c r="I30" s="391"/>
      <c r="J30" s="394">
        <f>SUMIF(95:95,I30,96:96)-SUMIF(95:95,C30,96:96)+100</f>
        <v>100</v>
      </c>
      <c r="K30" s="570"/>
      <c r="L30" s="2950"/>
      <c r="M30" s="2944"/>
      <c r="N30" s="2944"/>
      <c r="O30" s="2944"/>
      <c r="P30" s="3324"/>
      <c r="Q30" s="1538">
        <f t="shared" si="11"/>
        <v>111</v>
      </c>
      <c r="R30" s="714" t="s">
        <v>17</v>
      </c>
      <c r="S30" s="715">
        <f t="shared" si="12"/>
        <v>100</v>
      </c>
      <c r="T30" s="714" t="s">
        <v>17</v>
      </c>
      <c r="U30" s="715">
        <f t="shared" si="13"/>
        <v>100</v>
      </c>
      <c r="V30" s="714" t="s">
        <v>17</v>
      </c>
      <c r="W30" s="715">
        <f t="shared" si="14"/>
        <v>100</v>
      </c>
      <c r="X30" s="1541"/>
      <c r="Y30" s="3317"/>
      <c r="Z30" s="1542">
        <f t="shared" si="15"/>
        <v>111</v>
      </c>
      <c r="AA30" s="1539">
        <f t="shared" si="3"/>
        <v>1</v>
      </c>
      <c r="AB30" s="1539">
        <f t="shared" si="4"/>
        <v>1</v>
      </c>
      <c r="AC30" s="2150">
        <f t="shared" si="5"/>
        <v>1</v>
      </c>
    </row>
    <row r="31" spans="1:29" ht="15">
      <c r="A31" s="387"/>
      <c r="B31" s="2153">
        <v>111</v>
      </c>
      <c r="C31" s="2096"/>
      <c r="D31" s="394">
        <v>100</v>
      </c>
      <c r="E31" s="391"/>
      <c r="F31" s="394">
        <f>SUMIF(97:97,E31,98:98)-SUMIF(97:97,C31,98:98)+100</f>
        <v>100</v>
      </c>
      <c r="G31" s="2148"/>
      <c r="H31" s="394">
        <f>SUMIF(97:97,G31,98:98)-SUMIF(97:97,C31,98:98)+100</f>
        <v>100</v>
      </c>
      <c r="I31" s="391"/>
      <c r="J31" s="394">
        <f>SUMIF(97:97,I31,98:98)-SUMIF(97:97,C31,98:98)+100</f>
        <v>100</v>
      </c>
      <c r="K31" s="570"/>
      <c r="L31" s="2950"/>
      <c r="M31" s="2944"/>
      <c r="N31" s="2944"/>
      <c r="O31" s="2944"/>
      <c r="P31" s="3324"/>
      <c r="Q31" s="1538">
        <f t="shared" si="11"/>
        <v>111</v>
      </c>
      <c r="R31" s="714" t="s">
        <v>17</v>
      </c>
      <c r="S31" s="715">
        <f t="shared" si="12"/>
        <v>100</v>
      </c>
      <c r="T31" s="714" t="s">
        <v>17</v>
      </c>
      <c r="U31" s="715">
        <f t="shared" si="13"/>
        <v>100</v>
      </c>
      <c r="V31" s="714" t="s">
        <v>17</v>
      </c>
      <c r="W31" s="715">
        <f t="shared" si="14"/>
        <v>100</v>
      </c>
      <c r="X31" s="1541"/>
      <c r="Y31" s="3317"/>
      <c r="Z31" s="1542">
        <f t="shared" si="15"/>
        <v>111</v>
      </c>
      <c r="AA31" s="1539">
        <f t="shared" si="3"/>
        <v>1</v>
      </c>
      <c r="AB31" s="1539">
        <f t="shared" si="4"/>
        <v>1</v>
      </c>
      <c r="AC31" s="2150">
        <f t="shared" si="5"/>
        <v>1</v>
      </c>
    </row>
    <row r="32" spans="1:29" ht="15.6"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0"/>
      <c r="M32" s="2944"/>
      <c r="N32" s="2944"/>
      <c r="O32" s="2944"/>
      <c r="P32" s="3324"/>
      <c r="Q32" s="1538">
        <f t="shared" si="11"/>
        <v>111</v>
      </c>
      <c r="R32" s="714" t="s">
        <v>17</v>
      </c>
      <c r="S32" s="715">
        <f t="shared" si="12"/>
        <v>100</v>
      </c>
      <c r="T32" s="714" t="s">
        <v>17</v>
      </c>
      <c r="U32" s="715">
        <f t="shared" si="13"/>
        <v>100</v>
      </c>
      <c r="V32" s="714" t="s">
        <v>17</v>
      </c>
      <c r="W32" s="715">
        <f t="shared" si="14"/>
        <v>100</v>
      </c>
      <c r="X32" s="1541"/>
      <c r="Y32" s="3317"/>
      <c r="Z32" s="1542">
        <f t="shared" si="15"/>
        <v>111</v>
      </c>
      <c r="AA32" s="1539">
        <f t="shared" si="3"/>
        <v>1</v>
      </c>
      <c r="AB32" s="1539">
        <f t="shared" si="4"/>
        <v>1</v>
      </c>
      <c r="AC32" s="2150">
        <f t="shared" si="5"/>
        <v>1</v>
      </c>
    </row>
    <row r="33" spans="1:29" ht="15">
      <c r="A33" s="399" t="s">
        <v>2385</v>
      </c>
      <c r="B33" s="67" t="s">
        <v>2515</v>
      </c>
      <c r="C33" s="2154" t="s">
        <v>3082</v>
      </c>
      <c r="D33" s="426">
        <v>100</v>
      </c>
      <c r="E33" s="2154" t="s">
        <v>3082</v>
      </c>
      <c r="F33" s="420">
        <f>SUMIF(101:101,E33,102:102)-SUMIF(101:101,C33,102:102)+100</f>
        <v>100</v>
      </c>
      <c r="G33" s="2154" t="s">
        <v>3082</v>
      </c>
      <c r="H33" s="394">
        <f>SUMIF(101:101,G33,102:102)-SUMIF(101:101,C33,102:102)+100</f>
        <v>100</v>
      </c>
      <c r="I33" s="2154" t="s">
        <v>3082</v>
      </c>
      <c r="J33" s="426">
        <f>SUMIF(101:101,I33,102:102)-SUMIF(101:101,C33,102:102)+100</f>
        <v>100</v>
      </c>
      <c r="K33" s="569"/>
      <c r="L33" s="2950"/>
      <c r="M33" s="2944"/>
      <c r="N33" s="2944"/>
      <c r="O33" s="2944"/>
      <c r="P33" s="3318" t="s">
        <v>2387</v>
      </c>
      <c r="Q33" s="1538" t="str">
        <f t="shared" si="11"/>
        <v>建筑类型</v>
      </c>
      <c r="R33" s="714" t="s">
        <v>17</v>
      </c>
      <c r="S33" s="715">
        <f t="shared" si="12"/>
        <v>100</v>
      </c>
      <c r="T33" s="714" t="s">
        <v>17</v>
      </c>
      <c r="U33" s="715">
        <f t="shared" si="13"/>
        <v>100</v>
      </c>
      <c r="V33" s="714" t="s">
        <v>17</v>
      </c>
      <c r="W33" s="715">
        <f t="shared" si="14"/>
        <v>100</v>
      </c>
      <c r="X33" s="1541"/>
      <c r="Y33" s="3321" t="s">
        <v>2387</v>
      </c>
      <c r="Z33" s="1542" t="str">
        <f t="shared" si="15"/>
        <v>建筑类型</v>
      </c>
      <c r="AA33" s="1539">
        <f t="shared" si="3"/>
        <v>1</v>
      </c>
      <c r="AB33" s="1539">
        <f t="shared" si="4"/>
        <v>1</v>
      </c>
      <c r="AC33" s="2150">
        <f t="shared" si="5"/>
        <v>1</v>
      </c>
    </row>
    <row r="34" spans="1:29" s="430" customFormat="1" ht="15">
      <c r="A34" s="427"/>
      <c r="B34" s="381" t="s">
        <v>2388</v>
      </c>
      <c r="C34" s="428">
        <f>'数据-基础表'!I18</f>
        <v>116.2</v>
      </c>
      <c r="D34" s="132">
        <v>100</v>
      </c>
      <c r="E34" s="389">
        <v>450</v>
      </c>
      <c r="F34" s="384">
        <f>LOOKUP(E34,104:104,105:105)-LOOKUP(C34,104:104,105:105)+100</f>
        <v>98</v>
      </c>
      <c r="G34" s="388">
        <v>35</v>
      </c>
      <c r="H34" s="132">
        <f>LOOKUP(G34,104:104,105:105)-LOOKUP(C34,104:104,105:105)+100</f>
        <v>101</v>
      </c>
      <c r="I34" s="388">
        <v>96</v>
      </c>
      <c r="J34" s="132">
        <f>LOOKUP(I34,104:104,105:105)-LOOKUP(C34,104:104,105:105)+100</f>
        <v>101</v>
      </c>
      <c r="K34" s="570"/>
      <c r="L34" s="2949"/>
      <c r="M34" s="2951"/>
      <c r="N34" s="2951"/>
      <c r="O34" s="2951"/>
      <c r="P34" s="3319"/>
      <c r="Q34" s="716" t="str">
        <f t="shared" si="11"/>
        <v>项目建筑规模</v>
      </c>
      <c r="R34" s="717" t="s">
        <v>17</v>
      </c>
      <c r="S34" s="718">
        <f t="shared" si="12"/>
        <v>98</v>
      </c>
      <c r="T34" s="717" t="s">
        <v>17</v>
      </c>
      <c r="U34" s="718">
        <f t="shared" si="13"/>
        <v>101</v>
      </c>
      <c r="V34" s="717" t="s">
        <v>17</v>
      </c>
      <c r="W34" s="718">
        <f t="shared" si="14"/>
        <v>101</v>
      </c>
      <c r="X34" s="719"/>
      <c r="Y34" s="3321"/>
      <c r="Z34" s="720" t="str">
        <f t="shared" si="15"/>
        <v>项目建筑规模</v>
      </c>
      <c r="AA34" s="1539">
        <f t="shared" si="3"/>
        <v>1.0204081632653061</v>
      </c>
      <c r="AB34" s="1539">
        <f t="shared" si="4"/>
        <v>0.99009900990099009</v>
      </c>
      <c r="AC34" s="2150">
        <f t="shared" si="5"/>
        <v>0.99009900990099009</v>
      </c>
    </row>
    <row r="35" spans="1:29" ht="15">
      <c r="A35" s="431"/>
      <c r="B35" s="381" t="s">
        <v>2389</v>
      </c>
      <c r="C35" s="3063" t="s">
        <v>3172</v>
      </c>
      <c r="D35" s="394">
        <v>100</v>
      </c>
      <c r="E35" s="3063" t="s">
        <v>3172</v>
      </c>
      <c r="F35" s="420">
        <f>SUMIF(106:106,E35,107:107)-SUMIF(106:106,C35,107:107)+100</f>
        <v>100</v>
      </c>
      <c r="G35" s="3063" t="s">
        <v>3172</v>
      </c>
      <c r="H35" s="394">
        <f>SUMIF(106:106,G35,107:107)-SUMIF(106:106,C35,107:107)+100</f>
        <v>100</v>
      </c>
      <c r="I35" s="3063" t="s">
        <v>3172</v>
      </c>
      <c r="J35" s="394">
        <f>SUMIF(106:106,I35,107:107)-SUMIF(106:106,C35,107:107)+100</f>
        <v>100</v>
      </c>
      <c r="K35" s="569">
        <v>1</v>
      </c>
      <c r="L35" s="2950"/>
      <c r="M35" s="2944"/>
      <c r="N35" s="2944"/>
      <c r="O35" s="2944"/>
      <c r="P35" s="3319"/>
      <c r="Q35" s="1538" t="str">
        <f t="shared" si="11"/>
        <v>建筑结构</v>
      </c>
      <c r="R35" s="714" t="s">
        <v>17</v>
      </c>
      <c r="S35" s="715">
        <f t="shared" si="12"/>
        <v>100</v>
      </c>
      <c r="T35" s="714" t="s">
        <v>17</v>
      </c>
      <c r="U35" s="715">
        <f t="shared" si="13"/>
        <v>100</v>
      </c>
      <c r="V35" s="714" t="s">
        <v>17</v>
      </c>
      <c r="W35" s="715">
        <f t="shared" si="14"/>
        <v>100</v>
      </c>
      <c r="X35" s="1541"/>
      <c r="Y35" s="3321"/>
      <c r="Z35" s="1542" t="str">
        <f t="shared" si="15"/>
        <v>建筑结构</v>
      </c>
      <c r="AA35" s="1539">
        <f t="shared" si="3"/>
        <v>1</v>
      </c>
      <c r="AB35" s="1539">
        <f t="shared" si="4"/>
        <v>1</v>
      </c>
      <c r="AC35" s="2150">
        <f t="shared" si="5"/>
        <v>1</v>
      </c>
    </row>
    <row r="36" spans="1:29" ht="15">
      <c r="A36" s="431"/>
      <c r="B36" s="381" t="s">
        <v>2483</v>
      </c>
      <c r="C36" s="3063" t="s">
        <v>3157</v>
      </c>
      <c r="D36" s="394">
        <v>100</v>
      </c>
      <c r="E36" s="3063" t="s">
        <v>3157</v>
      </c>
      <c r="F36" s="420">
        <f>SUMIF(108:108,E36,109:109)-SUMIF(108:108,C36,109:109)+100</f>
        <v>100</v>
      </c>
      <c r="G36" s="3063" t="s">
        <v>3157</v>
      </c>
      <c r="H36" s="394">
        <f>SUMIF(108:108,G36,109:109)-SUMIF(108:108,C36,109:109)+100</f>
        <v>100</v>
      </c>
      <c r="I36" s="3063" t="s">
        <v>3157</v>
      </c>
      <c r="J36" s="394">
        <f>SUMIF(108:108,I36,109:109)-SUMIF(108:108,C36,109:109)+100</f>
        <v>100</v>
      </c>
      <c r="K36" s="569">
        <v>1</v>
      </c>
      <c r="L36" s="2950"/>
      <c r="M36" s="2944"/>
      <c r="N36" s="2944"/>
      <c r="O36" s="2944"/>
      <c r="P36" s="3319"/>
      <c r="Q36" s="1538" t="str">
        <f t="shared" si="11"/>
        <v>公共部分装修</v>
      </c>
      <c r="R36" s="714" t="s">
        <v>17</v>
      </c>
      <c r="S36" s="715">
        <f t="shared" si="12"/>
        <v>100</v>
      </c>
      <c r="T36" s="714" t="s">
        <v>17</v>
      </c>
      <c r="U36" s="715">
        <f t="shared" si="13"/>
        <v>100</v>
      </c>
      <c r="V36" s="714" t="s">
        <v>17</v>
      </c>
      <c r="W36" s="715">
        <f t="shared" si="14"/>
        <v>100</v>
      </c>
      <c r="X36" s="1541"/>
      <c r="Y36" s="3321"/>
      <c r="Z36" s="1542" t="str">
        <f t="shared" si="15"/>
        <v>公共部分装修</v>
      </c>
      <c r="AA36" s="1539">
        <f t="shared" si="3"/>
        <v>1</v>
      </c>
      <c r="AB36" s="1539">
        <f t="shared" si="4"/>
        <v>1</v>
      </c>
      <c r="AC36" s="2150">
        <f t="shared" si="5"/>
        <v>1</v>
      </c>
    </row>
    <row r="37" spans="1:29" ht="15">
      <c r="A37" s="431"/>
      <c r="B37" s="381" t="s">
        <v>2484</v>
      </c>
      <c r="C37" s="433">
        <v>0.77</v>
      </c>
      <c r="D37" s="394">
        <v>100</v>
      </c>
      <c r="E37" s="433">
        <v>0.8</v>
      </c>
      <c r="F37" s="420">
        <f>LOOKUP(E37,111:111,112:112)-LOOKUP(C37,111:111,112:112)+100</f>
        <v>101</v>
      </c>
      <c r="G37" s="433">
        <v>0.8</v>
      </c>
      <c r="H37" s="420">
        <f>LOOKUP(G37,111:111,112:112)-LOOKUP(C37,111:111,112:112)+100</f>
        <v>101</v>
      </c>
      <c r="I37" s="433">
        <v>0.8</v>
      </c>
      <c r="J37" s="394">
        <f>LOOKUP(I37,111:111,112:112)-LOOKUP(C37,111:111,112:112)+100</f>
        <v>101</v>
      </c>
      <c r="K37" s="569">
        <v>1</v>
      </c>
      <c r="L37" s="2950"/>
      <c r="M37" s="2944"/>
      <c r="N37" s="2944"/>
      <c r="O37" s="2944"/>
      <c r="P37" s="3319"/>
      <c r="Q37" s="1538" t="str">
        <f t="shared" si="11"/>
        <v>成新度</v>
      </c>
      <c r="R37" s="714" t="s">
        <v>17</v>
      </c>
      <c r="S37" s="715">
        <f t="shared" si="12"/>
        <v>101</v>
      </c>
      <c r="T37" s="714" t="s">
        <v>17</v>
      </c>
      <c r="U37" s="715">
        <f t="shared" si="13"/>
        <v>101</v>
      </c>
      <c r="V37" s="714" t="s">
        <v>17</v>
      </c>
      <c r="W37" s="715">
        <f t="shared" si="14"/>
        <v>101</v>
      </c>
      <c r="X37" s="1541"/>
      <c r="Y37" s="3321"/>
      <c r="Z37" s="1542" t="str">
        <f t="shared" si="15"/>
        <v>成新度</v>
      </c>
      <c r="AA37" s="1539">
        <f t="shared" si="3"/>
        <v>0.99009900990099009</v>
      </c>
      <c r="AB37" s="1539">
        <f t="shared" si="4"/>
        <v>0.99009900990099009</v>
      </c>
      <c r="AC37" s="2150">
        <f t="shared" si="5"/>
        <v>0.99009900990099009</v>
      </c>
    </row>
    <row r="38" spans="1:29" s="113" customFormat="1" ht="15">
      <c r="A38" s="432"/>
      <c r="B38" s="381" t="s">
        <v>2516</v>
      </c>
      <c r="C38" s="3063"/>
      <c r="D38" s="132">
        <v>100</v>
      </c>
      <c r="E38" s="3063"/>
      <c r="F38" s="420">
        <f>SUMIF(113:113,E38,114:114)-SUMIF(113:113,C38,114:114)+100</f>
        <v>100</v>
      </c>
      <c r="G38" s="3063"/>
      <c r="H38" s="394">
        <f>SUMIF(113:113,G38,114:114)-SUMIF(113:113,C38,114:114)+100</f>
        <v>100</v>
      </c>
      <c r="I38" s="3063"/>
      <c r="J38" s="394">
        <f>SUMIF(113:113,I38,114:114)-SUMIF(113:113,C38,114:114)+100</f>
        <v>100</v>
      </c>
      <c r="K38" s="569">
        <v>1</v>
      </c>
      <c r="L38" s="2945"/>
      <c r="M38" s="2946"/>
      <c r="N38" s="2946"/>
      <c r="O38" s="2946"/>
      <c r="P38" s="3319"/>
      <c r="Q38" s="1529" t="str">
        <f t="shared" si="11"/>
        <v>写字楼等级</v>
      </c>
      <c r="R38" s="710" t="s">
        <v>17</v>
      </c>
      <c r="S38" s="711">
        <f t="shared" si="12"/>
        <v>100</v>
      </c>
      <c r="T38" s="710" t="s">
        <v>17</v>
      </c>
      <c r="U38" s="711">
        <f t="shared" si="13"/>
        <v>100</v>
      </c>
      <c r="V38" s="710" t="s">
        <v>17</v>
      </c>
      <c r="W38" s="711">
        <f t="shared" si="14"/>
        <v>100</v>
      </c>
      <c r="X38" s="712"/>
      <c r="Y38" s="3321"/>
      <c r="Z38" s="55" t="str">
        <f t="shared" si="15"/>
        <v>写字楼等级</v>
      </c>
      <c r="AA38" s="713">
        <f t="shared" si="3"/>
        <v>1</v>
      </c>
      <c r="AB38" s="713">
        <f t="shared" si="4"/>
        <v>1</v>
      </c>
      <c r="AC38" s="2147">
        <f t="shared" si="5"/>
        <v>1</v>
      </c>
    </row>
    <row r="39" spans="1:29" ht="15">
      <c r="A39" s="431"/>
      <c r="B39" s="381" t="s">
        <v>2517</v>
      </c>
      <c r="C39" s="3063" t="s">
        <v>3158</v>
      </c>
      <c r="D39" s="394">
        <v>100</v>
      </c>
      <c r="E39" s="3063" t="s">
        <v>3158</v>
      </c>
      <c r="F39" s="420">
        <f>SUMIF(115:115,E39,116:116)-SUMIF(115:115,C39,116:116)+100</f>
        <v>100</v>
      </c>
      <c r="G39" s="3063" t="s">
        <v>3163</v>
      </c>
      <c r="H39" s="394">
        <f>SUMIF(115:115,G39,116:116)-SUMIF(115:115,C39,116:116)+100</f>
        <v>102</v>
      </c>
      <c r="I39" s="3063" t="s">
        <v>3158</v>
      </c>
      <c r="J39" s="394">
        <f>SUMIF(115:115,I39,116:116)-SUMIF(115:115,C39,116:116)+100</f>
        <v>100</v>
      </c>
      <c r="K39" s="569">
        <v>2</v>
      </c>
      <c r="L39" s="2950"/>
      <c r="M39" s="2944"/>
      <c r="N39" s="2944"/>
      <c r="O39" s="2944"/>
      <c r="P39" s="3319" t="s">
        <v>2387</v>
      </c>
      <c r="Q39" s="1538" t="str">
        <f t="shared" si="11"/>
        <v>物业管理</v>
      </c>
      <c r="R39" s="714" t="s">
        <v>17</v>
      </c>
      <c r="S39" s="715">
        <f t="shared" si="12"/>
        <v>100</v>
      </c>
      <c r="T39" s="714" t="s">
        <v>17</v>
      </c>
      <c r="U39" s="715">
        <f t="shared" si="13"/>
        <v>102</v>
      </c>
      <c r="V39" s="714" t="s">
        <v>17</v>
      </c>
      <c r="W39" s="715">
        <f t="shared" si="14"/>
        <v>100</v>
      </c>
      <c r="X39" s="1541"/>
      <c r="Y39" s="3321" t="s">
        <v>2387</v>
      </c>
      <c r="Z39" s="1542" t="str">
        <f t="shared" si="15"/>
        <v>物业管理</v>
      </c>
      <c r="AA39" s="1539">
        <f t="shared" si="3"/>
        <v>1</v>
      </c>
      <c r="AB39" s="1539">
        <f t="shared" si="4"/>
        <v>0.98039215686274506</v>
      </c>
      <c r="AC39" s="2150">
        <f t="shared" si="5"/>
        <v>1</v>
      </c>
    </row>
    <row r="40" spans="1:29" ht="15">
      <c r="A40" s="431"/>
      <c r="B40" s="381" t="s">
        <v>2485</v>
      </c>
      <c r="C40" s="3063" t="s">
        <v>3159</v>
      </c>
      <c r="D40" s="394">
        <v>100</v>
      </c>
      <c r="E40" s="3063" t="s">
        <v>3160</v>
      </c>
      <c r="F40" s="420">
        <f>SUMIF(117:117,E40,118:118)-SUMIF(117:117,C40,118:118)+100</f>
        <v>102</v>
      </c>
      <c r="G40" s="3063" t="s">
        <v>3145</v>
      </c>
      <c r="H40" s="394">
        <f>SUMIF(117:117,G40,118:118)-SUMIF(117:117,C40,118:118)+100</f>
        <v>100</v>
      </c>
      <c r="I40" s="3063" t="s">
        <v>3160</v>
      </c>
      <c r="J40" s="394">
        <f>SUMIF(117:117,I40,118:118)-SUMIF(117:117,C40,118:118)+100</f>
        <v>102</v>
      </c>
      <c r="K40" s="569">
        <v>2</v>
      </c>
      <c r="L40" s="2950"/>
      <c r="M40" s="2944"/>
      <c r="N40" s="2944"/>
      <c r="O40" s="2944"/>
      <c r="P40" s="3319"/>
      <c r="Q40" s="1538" t="str">
        <f t="shared" si="11"/>
        <v>市政基础设施</v>
      </c>
      <c r="R40" s="714" t="s">
        <v>17</v>
      </c>
      <c r="S40" s="715">
        <f t="shared" si="12"/>
        <v>102</v>
      </c>
      <c r="T40" s="714" t="s">
        <v>17</v>
      </c>
      <c r="U40" s="715">
        <f t="shared" si="13"/>
        <v>100</v>
      </c>
      <c r="V40" s="714" t="s">
        <v>17</v>
      </c>
      <c r="W40" s="715">
        <f t="shared" si="14"/>
        <v>102</v>
      </c>
      <c r="X40" s="1541"/>
      <c r="Y40" s="3321"/>
      <c r="Z40" s="1542" t="str">
        <f t="shared" si="15"/>
        <v>市政基础设施</v>
      </c>
      <c r="AA40" s="1539">
        <f t="shared" si="3"/>
        <v>0.98039215686274506</v>
      </c>
      <c r="AB40" s="1539">
        <f t="shared" si="4"/>
        <v>1</v>
      </c>
      <c r="AC40" s="2150">
        <f t="shared" si="5"/>
        <v>0.98039215686274506</v>
      </c>
    </row>
    <row r="41" spans="1:29" ht="15">
      <c r="A41" s="431"/>
      <c r="B41" s="381" t="s">
        <v>2487</v>
      </c>
      <c r="C41" s="3064" t="s">
        <v>3161</v>
      </c>
      <c r="D41" s="394">
        <v>100</v>
      </c>
      <c r="E41" s="3064" t="s">
        <v>3161</v>
      </c>
      <c r="F41" s="420">
        <f>SUMIF(119:119,E41,120:120)-SUMIF(119:119,C41,120:120)+100</f>
        <v>100</v>
      </c>
      <c r="G41" s="3064" t="s">
        <v>3161</v>
      </c>
      <c r="H41" s="394">
        <f>SUMIF(119:119,G41,120:120)-SUMIF(119:119,C41,120:120)+100</f>
        <v>100</v>
      </c>
      <c r="I41" s="3064" t="s">
        <v>3161</v>
      </c>
      <c r="J41" s="394">
        <f>SUMIF(119:119,I41,120:120)-SUMIF(119:119,C41,120:120)+100</f>
        <v>100</v>
      </c>
      <c r="K41" s="569"/>
      <c r="L41" s="2950"/>
      <c r="M41" s="2944"/>
      <c r="N41" s="2944"/>
      <c r="O41" s="2944"/>
      <c r="P41" s="3319"/>
      <c r="Q41" s="1538" t="str">
        <f t="shared" si="11"/>
        <v>层高</v>
      </c>
      <c r="R41" s="714" t="s">
        <v>17</v>
      </c>
      <c r="S41" s="715">
        <f t="shared" si="12"/>
        <v>100</v>
      </c>
      <c r="T41" s="714" t="s">
        <v>17</v>
      </c>
      <c r="U41" s="715">
        <f t="shared" si="13"/>
        <v>100</v>
      </c>
      <c r="V41" s="714" t="s">
        <v>17</v>
      </c>
      <c r="W41" s="715">
        <f t="shared" si="14"/>
        <v>100</v>
      </c>
      <c r="X41" s="1541"/>
      <c r="Y41" s="3321"/>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19"/>
      <c r="Q42" s="716" t="str">
        <f t="shared" si="11"/>
        <v>单套建筑面积</v>
      </c>
      <c r="R42" s="717" t="s">
        <v>17</v>
      </c>
      <c r="S42" s="718">
        <f t="shared" si="12"/>
        <v>100</v>
      </c>
      <c r="T42" s="717" t="s">
        <v>17</v>
      </c>
      <c r="U42" s="718">
        <f t="shared" si="13"/>
        <v>100</v>
      </c>
      <c r="V42" s="717" t="s">
        <v>17</v>
      </c>
      <c r="W42" s="718">
        <f t="shared" si="14"/>
        <v>100</v>
      </c>
      <c r="X42" s="719"/>
      <c r="Y42" s="3321"/>
      <c r="Z42" s="720" t="str">
        <f t="shared" si="15"/>
        <v>单套建筑面积</v>
      </c>
      <c r="AA42" s="1539">
        <f t="shared" si="3"/>
        <v>1</v>
      </c>
      <c r="AB42" s="1539">
        <f t="shared" si="4"/>
        <v>1</v>
      </c>
      <c r="AC42" s="2150">
        <f t="shared" si="5"/>
        <v>1</v>
      </c>
    </row>
    <row r="43" spans="1:29" ht="15">
      <c r="A43" s="431"/>
      <c r="B43" s="381" t="s">
        <v>2490</v>
      </c>
      <c r="C43" s="3063" t="s">
        <v>3157</v>
      </c>
      <c r="D43" s="394">
        <v>100</v>
      </c>
      <c r="E43" s="3063" t="s">
        <v>3157</v>
      </c>
      <c r="F43" s="420">
        <f>SUMIF(123:123,E43,124:124)-SUMIF(123:123,C43,124:124)+100</f>
        <v>100</v>
      </c>
      <c r="G43" s="3063" t="s">
        <v>3157</v>
      </c>
      <c r="H43" s="394">
        <f>SUMIF(123:123,G43,124:124)-SUMIF(123:123,C43,124:124)+100</f>
        <v>100</v>
      </c>
      <c r="I43" s="3063" t="s">
        <v>3157</v>
      </c>
      <c r="J43" s="394">
        <f>SUMIF(123:123,I43,124:124)-SUMIF(123:123,C43,124:124)+100</f>
        <v>100</v>
      </c>
      <c r="K43" s="569"/>
      <c r="L43" s="2950"/>
      <c r="M43" s="2944"/>
      <c r="N43" s="2944"/>
      <c r="O43" s="2944"/>
      <c r="P43" s="3319"/>
      <c r="Q43" s="1538" t="str">
        <f t="shared" si="11"/>
        <v>内部装修</v>
      </c>
      <c r="R43" s="714" t="s">
        <v>17</v>
      </c>
      <c r="S43" s="715">
        <f t="shared" si="12"/>
        <v>100</v>
      </c>
      <c r="T43" s="714" t="s">
        <v>17</v>
      </c>
      <c r="U43" s="715">
        <f t="shared" si="13"/>
        <v>100</v>
      </c>
      <c r="V43" s="714" t="s">
        <v>17</v>
      </c>
      <c r="W43" s="715">
        <f t="shared" si="14"/>
        <v>100</v>
      </c>
      <c r="X43" s="1541"/>
      <c r="Y43" s="3321"/>
      <c r="Z43" s="1542" t="str">
        <f t="shared" si="15"/>
        <v>内部装修</v>
      </c>
      <c r="AA43" s="1539">
        <f t="shared" si="3"/>
        <v>1</v>
      </c>
      <c r="AB43" s="1539">
        <f t="shared" si="4"/>
        <v>1</v>
      </c>
      <c r="AC43" s="2150">
        <f t="shared" si="5"/>
        <v>1</v>
      </c>
    </row>
    <row r="44" spans="1:29" ht="28.8">
      <c r="A44" s="431"/>
      <c r="B44" s="381" t="s">
        <v>2398</v>
      </c>
      <c r="C44" s="419" t="s">
        <v>3096</v>
      </c>
      <c r="D44" s="394">
        <v>100</v>
      </c>
      <c r="E44" s="419" t="s">
        <v>3096</v>
      </c>
      <c r="F44" s="420">
        <f>SUMIF(125:125,E44,126:126)-SUMIF(125:125,C44,126:126)+100</f>
        <v>100</v>
      </c>
      <c r="G44" s="419" t="s">
        <v>3096</v>
      </c>
      <c r="H44" s="394">
        <f>SUMIF(125:125,G44,126:126)-SUMIF(125:125,C44,126:126)+100</f>
        <v>100</v>
      </c>
      <c r="I44" s="419" t="s">
        <v>3096</v>
      </c>
      <c r="J44" s="394">
        <f>SUMIF(125:125,I44,126:126)-SUMIF(125:125,C44,126:126)+100</f>
        <v>100</v>
      </c>
      <c r="K44" s="569"/>
      <c r="L44" s="2950"/>
      <c r="M44" s="2944"/>
      <c r="N44" s="2944"/>
      <c r="O44" s="2944"/>
      <c r="P44" s="3319"/>
      <c r="Q44" s="1538" t="str">
        <f t="shared" si="11"/>
        <v>内部装修维护情况</v>
      </c>
      <c r="R44" s="714" t="s">
        <v>17</v>
      </c>
      <c r="S44" s="715">
        <f t="shared" si="12"/>
        <v>100</v>
      </c>
      <c r="T44" s="714" t="s">
        <v>17</v>
      </c>
      <c r="U44" s="715">
        <f t="shared" si="13"/>
        <v>100</v>
      </c>
      <c r="V44" s="714" t="s">
        <v>17</v>
      </c>
      <c r="W44" s="715">
        <f t="shared" si="14"/>
        <v>100</v>
      </c>
      <c r="X44" s="1541"/>
      <c r="Y44" s="3321"/>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19"/>
      <c r="Q45" s="1529">
        <f t="shared" si="11"/>
        <v>111</v>
      </c>
      <c r="R45" s="710" t="s">
        <v>17</v>
      </c>
      <c r="S45" s="711">
        <f t="shared" si="12"/>
        <v>100</v>
      </c>
      <c r="T45" s="710" t="s">
        <v>17</v>
      </c>
      <c r="U45" s="711">
        <f t="shared" si="13"/>
        <v>100</v>
      </c>
      <c r="V45" s="710" t="s">
        <v>17</v>
      </c>
      <c r="W45" s="711">
        <f t="shared" si="14"/>
        <v>100</v>
      </c>
      <c r="X45" s="712"/>
      <c r="Y45" s="3321"/>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19"/>
      <c r="Q46" s="1538">
        <f t="shared" si="11"/>
        <v>111</v>
      </c>
      <c r="R46" s="714" t="s">
        <v>17</v>
      </c>
      <c r="S46" s="715">
        <f t="shared" si="12"/>
        <v>100</v>
      </c>
      <c r="T46" s="714" t="s">
        <v>17</v>
      </c>
      <c r="U46" s="715">
        <f t="shared" si="13"/>
        <v>100</v>
      </c>
      <c r="V46" s="714" t="s">
        <v>17</v>
      </c>
      <c r="W46" s="715">
        <f t="shared" si="14"/>
        <v>100</v>
      </c>
      <c r="X46" s="1541"/>
      <c r="Y46" s="3321"/>
      <c r="Z46" s="1542">
        <f t="shared" si="15"/>
        <v>111</v>
      </c>
      <c r="AA46" s="1539">
        <f t="shared" si="3"/>
        <v>1</v>
      </c>
      <c r="AB46" s="1539">
        <f t="shared" si="4"/>
        <v>1</v>
      </c>
      <c r="AC46" s="2150">
        <f t="shared" si="5"/>
        <v>1</v>
      </c>
    </row>
    <row r="47" spans="1:29" ht="15.6"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20"/>
      <c r="Q47" s="1538">
        <f t="shared" si="11"/>
        <v>111</v>
      </c>
      <c r="R47" s="714" t="s">
        <v>17</v>
      </c>
      <c r="S47" s="715">
        <f t="shared" si="12"/>
        <v>100</v>
      </c>
      <c r="T47" s="714" t="s">
        <v>17</v>
      </c>
      <c r="U47" s="715">
        <f t="shared" si="13"/>
        <v>100</v>
      </c>
      <c r="V47" s="714" t="s">
        <v>17</v>
      </c>
      <c r="W47" s="715">
        <f t="shared" si="14"/>
        <v>100</v>
      </c>
      <c r="X47" s="1541"/>
      <c r="Y47" s="3322"/>
      <c r="Z47" s="1542">
        <f t="shared" si="15"/>
        <v>111</v>
      </c>
      <c r="AA47" s="1539">
        <f t="shared" si="3"/>
        <v>1</v>
      </c>
      <c r="AB47" s="1539">
        <f t="shared" si="4"/>
        <v>1</v>
      </c>
      <c r="AC47" s="2150">
        <f t="shared" si="5"/>
        <v>1</v>
      </c>
    </row>
    <row r="48" spans="1:29" ht="14.4">
      <c r="A48" s="438" t="s">
        <v>2399</v>
      </c>
      <c r="B48" s="439"/>
      <c r="C48" s="1316" t="s">
        <v>1</v>
      </c>
      <c r="D48" s="1317"/>
      <c r="E48" s="1318">
        <v>6.5</v>
      </c>
      <c r="F48" s="1319"/>
      <c r="G48" s="1320">
        <v>7.8</v>
      </c>
      <c r="H48" s="1321"/>
      <c r="I48" s="1318">
        <v>5.7</v>
      </c>
      <c r="J48" s="444"/>
      <c r="K48" s="723"/>
      <c r="L48" s="2952"/>
      <c r="M48" s="2944"/>
      <c r="N48" s="2944"/>
      <c r="O48" s="2944"/>
      <c r="P48" s="3325" t="str">
        <f>A48</f>
        <v>成交单价（元/平方米）</v>
      </c>
      <c r="Q48" s="3314"/>
      <c r="R48" s="3315">
        <f>E48</f>
        <v>6.5</v>
      </c>
      <c r="S48" s="3315"/>
      <c r="T48" s="3315">
        <f>G48</f>
        <v>7.8</v>
      </c>
      <c r="U48" s="3315"/>
      <c r="V48" s="3315">
        <f>I48</f>
        <v>5.7</v>
      </c>
      <c r="W48" s="3315"/>
      <c r="X48" s="405"/>
      <c r="Y48" s="721"/>
      <c r="Z48" s="405"/>
      <c r="AA48" s="405"/>
      <c r="AB48" s="405"/>
      <c r="AC48" s="586"/>
    </row>
    <row r="49" spans="1:29" ht="15" thickBot="1">
      <c r="A49" s="445" t="s">
        <v>2491</v>
      </c>
      <c r="B49" s="446"/>
      <c r="C49" s="1322">
        <f>R50</f>
        <v>5.8</v>
      </c>
      <c r="D49" s="2539" t="s">
        <v>2879</v>
      </c>
      <c r="E49" s="1323">
        <f>R49</f>
        <v>5.8</v>
      </c>
      <c r="F49" s="2540"/>
      <c r="G49" s="1322">
        <f>T49</f>
        <v>6.6</v>
      </c>
      <c r="H49" s="2540"/>
      <c r="I49" s="1323">
        <f>V49</f>
        <v>4.9000000000000004</v>
      </c>
      <c r="J49" s="2540"/>
      <c r="K49" s="2542">
        <f>F49+H49+J49</f>
        <v>0</v>
      </c>
      <c r="L49" s="2952"/>
      <c r="M49" s="2944"/>
      <c r="N49" s="2944"/>
      <c r="O49" s="2944"/>
      <c r="P49" s="3325" t="str">
        <f>A49</f>
        <v>比较价值（元/平方米）</v>
      </c>
      <c r="Q49" s="3314"/>
      <c r="R49" s="3315">
        <f>IF(F1="售价",ROUND(PRODUCT(R48,AA7:AA47),0),ROUND(PRODUCT(R48,AA7:AA47),1))</f>
        <v>5.8</v>
      </c>
      <c r="S49" s="3315"/>
      <c r="T49" s="3315">
        <f>IF(F1="售价",ROUND(PRODUCT(T48,AB7:AB47),0),ROUND(PRODUCT(T48,AB7:AB47),1))</f>
        <v>6.6</v>
      </c>
      <c r="U49" s="3315"/>
      <c r="V49" s="3315">
        <f>IF(F1="售价",ROUND(PRODUCT(V48,AC7:AC47),0),ROUND(PRODUCT(V48,AC7:AC47),1))</f>
        <v>4.9000000000000004</v>
      </c>
      <c r="W49" s="3315"/>
      <c r="X49" s="405"/>
      <c r="Y49" s="405"/>
      <c r="Z49" s="405"/>
      <c r="AA49" s="405"/>
      <c r="AB49" s="405"/>
      <c r="AC49" s="586"/>
    </row>
    <row r="50" spans="1:29" ht="15" thickBot="1">
      <c r="A50" s="449" t="s">
        <v>2492</v>
      </c>
      <c r="B50" s="450"/>
      <c r="C50" s="1325">
        <f>R50</f>
        <v>5.8</v>
      </c>
      <c r="D50" s="1325"/>
      <c r="E50" s="1325"/>
      <c r="F50" s="1325"/>
      <c r="G50" s="1325"/>
      <c r="H50" s="1325"/>
      <c r="I50" s="1325"/>
      <c r="J50" s="451"/>
      <c r="K50" s="724"/>
      <c r="L50" s="2952"/>
      <c r="M50" s="2944"/>
      <c r="N50" s="2944"/>
      <c r="O50" s="2944"/>
      <c r="P50" s="3363" t="str">
        <f>A50</f>
        <v>估价对象XX用房的比较价值（楼面单价，元/平方米）</v>
      </c>
      <c r="Q50" s="3364"/>
      <c r="R50" s="3365">
        <f>IF(F1="售价",ROUND(IF(D49="简单平均",AVERAGE(R49:V49),R49*F49+T49*H49+V49*J49),0),ROUND(IF(D49="简单平均",AVERAGE(R49:V49),R49*F49+T49*H49+V49*J49),1))</f>
        <v>5.8</v>
      </c>
      <c r="S50" s="3365"/>
      <c r="T50" s="3365"/>
      <c r="U50" s="3365"/>
      <c r="V50" s="3365"/>
      <c r="W50" s="3365"/>
      <c r="X50" s="2134"/>
      <c r="Y50" s="2134"/>
      <c r="Z50" s="2134"/>
      <c r="AA50" s="2134"/>
      <c r="AB50" s="2134"/>
      <c r="AC50" s="2135"/>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2493</v>
      </c>
      <c r="D53" s="455"/>
      <c r="E53" s="456">
        <f>IF(E48&lt;E49,E49/E48-1,E48/E49-1)</f>
        <v>0.12068965517241392</v>
      </c>
      <c r="F53" s="457" t="str">
        <f>IF(OR(E53&gt;=0.3,E53&lt;=-0.3),"超过30%","")</f>
        <v/>
      </c>
      <c r="G53" s="456">
        <f>IF(G48&lt;G49,G49/G48-1,G48/G49-1)</f>
        <v>0.18181818181818188</v>
      </c>
      <c r="H53" s="457" t="str">
        <f>IF(OR(G53&gt;=0.3,G53&lt;=-0.3),"超过30%","")</f>
        <v/>
      </c>
      <c r="I53" s="456">
        <f>IF(I48&lt;I49,I49/I48-1,I48/I49-1)</f>
        <v>0.16326530612244894</v>
      </c>
      <c r="J53" s="457" t="str">
        <f>IF(OR(I53&gt;=0.3,I53&lt;=-0.3),"超过30%","")</f>
        <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2494</v>
      </c>
      <c r="D54" s="458"/>
      <c r="E54" s="456">
        <f>IF(E49&lt;G49,G49/E49-1,E49/G49-1)</f>
        <v>0.13793103448275867</v>
      </c>
      <c r="F54" s="457" t="str">
        <f>IF(OR(E54&gt;=0.2,E54&lt;=-0.2),"超过20%","")</f>
        <v/>
      </c>
      <c r="G54" s="456">
        <f>IF(G49&lt;I49,I49/G49-1,G49/I49-1)</f>
        <v>0.3469387755102038</v>
      </c>
      <c r="H54" s="457" t="str">
        <f>IF(OR(G54&gt;=0.2,G54&lt;=-0.2),"超过20%","")</f>
        <v>超过20%</v>
      </c>
      <c r="I54" s="456">
        <f>IF(I49&lt;E49,E49/I49-1,I49/E49-1)</f>
        <v>0.18367346938775508</v>
      </c>
      <c r="J54" s="457" t="str">
        <f>IF(OR(I54&gt;=0.2,I54&lt;=-0.2),"超过20%","")</f>
        <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2495</v>
      </c>
      <c r="D55" s="458"/>
      <c r="E55" s="456">
        <f>IF(E48&lt;G48,G48/E48-1,E48/G48-1)</f>
        <v>0.19999999999999996</v>
      </c>
      <c r="F55" s="457" t="str">
        <f>IF(OR(E55&gt;=0.3,E55&lt;=-0.3),"超过30%","")</f>
        <v/>
      </c>
      <c r="G55" s="456">
        <f>IF(G48&lt;I48,I48/G48-1,G48/I48-1)</f>
        <v>0.36842105263157898</v>
      </c>
      <c r="H55" s="457" t="str">
        <f>IF(OR(G55&gt;=0.3,G55&lt;=-0.3),"超过30%","")</f>
        <v>超过30%</v>
      </c>
      <c r="I55" s="456">
        <f>IF(I48&lt;E48,E48/I48-1,I48/E48-1)</f>
        <v>0.14035087719298245</v>
      </c>
      <c r="J55" s="457" t="str">
        <f>IF(OR(I55&gt;=0.3,I55&lt;=-0.3),"超过30%","")</f>
        <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2.2" thickBot="1">
      <c r="A58" s="703" t="s">
        <v>2496</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4.4">
      <c r="A59" s="462" t="s">
        <v>2370</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87"/>
      <c r="Q59" s="2969"/>
      <c r="R59" s="2969"/>
      <c r="S59" s="2969"/>
      <c r="T59" s="2969"/>
      <c r="U59" s="2969"/>
      <c r="V59" s="2969"/>
      <c r="W59" s="2969"/>
      <c r="X59" s="2969"/>
      <c r="Y59" s="2969"/>
      <c r="Z59" s="2969"/>
      <c r="AA59" s="2969"/>
      <c r="AB59" s="2969"/>
      <c r="AC59" s="2969"/>
    </row>
    <row r="60" spans="1:29" s="113" customFormat="1">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 thickBot="1">
      <c r="A61" s="472" t="s">
        <v>2407</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4.4">
      <c r="A62" s="478" t="s">
        <v>2372</v>
      </c>
      <c r="B62" s="467"/>
      <c r="C62" s="479" t="s">
        <v>2474</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4.4"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ht="14.4">
      <c r="A64" s="484" t="s">
        <v>2410</v>
      </c>
      <c r="B64" s="485" t="s">
        <v>2376</v>
      </c>
      <c r="C64" s="486" t="str">
        <f>C9</f>
        <v>办公</v>
      </c>
      <c r="D64" s="3046" t="s">
        <v>3170</v>
      </c>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4.4" thickBot="1">
      <c r="A65" s="491"/>
      <c r="B65" s="492"/>
      <c r="C65" s="493">
        <v>100</v>
      </c>
      <c r="D65" s="493">
        <v>105</v>
      </c>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9.4" thickTop="1">
      <c r="A66" s="491"/>
      <c r="B66" s="495" t="s">
        <v>2379</v>
      </c>
      <c r="C66" s="496" t="s">
        <v>2411</v>
      </c>
      <c r="D66" s="496" t="s">
        <v>2412</v>
      </c>
      <c r="E66" s="496" t="s">
        <v>2413</v>
      </c>
      <c r="F66" s="496" t="s">
        <v>2414</v>
      </c>
      <c r="G66" s="496" t="s">
        <v>2415</v>
      </c>
      <c r="H66" s="496" t="s">
        <v>2416</v>
      </c>
      <c r="I66" s="496" t="s">
        <v>2417</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4.4" thickBot="1">
      <c r="A67" s="491"/>
      <c r="B67" s="500"/>
      <c r="C67" s="501" t="s">
        <v>24</v>
      </c>
      <c r="D67" s="501" t="s">
        <v>25</v>
      </c>
      <c r="E67" s="501">
        <v>100</v>
      </c>
      <c r="F67" s="501">
        <f>E67-$K10</f>
        <v>99</v>
      </c>
      <c r="G67" s="501">
        <f>F67-$K10</f>
        <v>98</v>
      </c>
      <c r="H67" s="501">
        <f>G67-$K10</f>
        <v>97</v>
      </c>
      <c r="I67" s="501">
        <f>H67-$K10</f>
        <v>96</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 thickTop="1">
      <c r="A68" s="491"/>
      <c r="B68" s="503" t="s">
        <v>2380</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c r="A69" s="491"/>
      <c r="B69" s="505"/>
      <c r="C69" s="506">
        <v>0</v>
      </c>
      <c r="D69" s="506">
        <v>1</v>
      </c>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4.4"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82"/>
      <c r="O70" s="2982"/>
      <c r="P70" s="2990"/>
      <c r="Q70" s="2967"/>
      <c r="R70" s="2953"/>
      <c r="S70" s="2953"/>
      <c r="T70" s="2953"/>
      <c r="U70" s="2953"/>
      <c r="V70" s="2953"/>
      <c r="W70" s="2953"/>
      <c r="X70" s="2953"/>
      <c r="Y70" s="2953"/>
      <c r="Z70" s="2953"/>
      <c r="AA70" s="2953"/>
      <c r="AB70" s="2953"/>
      <c r="AC70" s="2953"/>
    </row>
    <row r="71" spans="1:29" s="430" customFormat="1" ht="14.4"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4.4"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4.4"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4.4"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4.4"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4.4"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ht="14.4">
      <c r="A77" s="484" t="s">
        <v>2381</v>
      </c>
      <c r="B77" s="485" t="s">
        <v>2519</v>
      </c>
      <c r="C77" s="530" t="s">
        <v>2419</v>
      </c>
      <c r="D77" s="530" t="s">
        <v>2420</v>
      </c>
      <c r="E77" s="530" t="s">
        <v>2421</v>
      </c>
      <c r="F77" s="530" t="s">
        <v>2422</v>
      </c>
      <c r="G77" s="530" t="s">
        <v>2423</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4.4" thickBot="1">
      <c r="A78" s="491"/>
      <c r="B78" s="500"/>
      <c r="C78" s="501">
        <v>100</v>
      </c>
      <c r="D78" s="501">
        <f>C78-$K15</f>
        <v>98</v>
      </c>
      <c r="E78" s="501">
        <f>D78-$K15</f>
        <v>96</v>
      </c>
      <c r="F78" s="501">
        <f>E78-$K15</f>
        <v>94</v>
      </c>
      <c r="G78" s="501">
        <f>F78-$K15</f>
        <v>92</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 thickTop="1">
      <c r="A79" s="491"/>
      <c r="B79" s="495" t="s">
        <v>2424</v>
      </c>
      <c r="C79" s="535" t="s">
        <v>2419</v>
      </c>
      <c r="D79" s="535" t="s">
        <v>2420</v>
      </c>
      <c r="E79" s="535" t="s">
        <v>2421</v>
      </c>
      <c r="F79" s="535" t="s">
        <v>2422</v>
      </c>
      <c r="G79" s="535" t="s">
        <v>2423</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4.4" thickBot="1">
      <c r="A80" s="491"/>
      <c r="B80" s="500"/>
      <c r="C80" s="501">
        <v>100</v>
      </c>
      <c r="D80" s="501">
        <f>C80-$K17</f>
        <v>98</v>
      </c>
      <c r="E80" s="501">
        <f>D80-$K17</f>
        <v>96</v>
      </c>
      <c r="F80" s="501">
        <f>E80-$K17</f>
        <v>94</v>
      </c>
      <c r="G80" s="501">
        <f>F80-$K17</f>
        <v>92</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 thickTop="1">
      <c r="A81" s="491"/>
      <c r="B81" s="495" t="s">
        <v>2425</v>
      </c>
      <c r="C81" s="535" t="s">
        <v>2419</v>
      </c>
      <c r="D81" s="535" t="s">
        <v>2420</v>
      </c>
      <c r="E81" s="535" t="s">
        <v>2421</v>
      </c>
      <c r="F81" s="535" t="s">
        <v>2422</v>
      </c>
      <c r="G81" s="535" t="s">
        <v>2423</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4.4" thickBot="1">
      <c r="A82" s="491"/>
      <c r="B82" s="500"/>
      <c r="C82" s="501">
        <v>100</v>
      </c>
      <c r="D82" s="501">
        <f>C82-$K19</f>
        <v>98</v>
      </c>
      <c r="E82" s="501">
        <f>D82-$K19</f>
        <v>96</v>
      </c>
      <c r="F82" s="501">
        <f>E82-$K19</f>
        <v>94</v>
      </c>
      <c r="G82" s="501">
        <f>F82-$K19</f>
        <v>92</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 thickTop="1">
      <c r="A83" s="491"/>
      <c r="B83" s="503" t="s">
        <v>2511</v>
      </c>
      <c r="C83" s="616" t="s">
        <v>2497</v>
      </c>
      <c r="D83" s="616" t="s">
        <v>2498</v>
      </c>
      <c r="E83" s="616" t="s">
        <v>2499</v>
      </c>
      <c r="F83" s="616" t="s">
        <v>2500</v>
      </c>
      <c r="G83" s="616" t="s">
        <v>2501</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4.4" thickBot="1">
      <c r="A84" s="491"/>
      <c r="B84" s="503"/>
      <c r="C84" s="501">
        <v>100</v>
      </c>
      <c r="D84" s="501">
        <f>C84-$K21</f>
        <v>99</v>
      </c>
      <c r="E84" s="501">
        <f>D84-$K21</f>
        <v>98</v>
      </c>
      <c r="F84" s="501">
        <f>E84-$K21</f>
        <v>97</v>
      </c>
      <c r="G84" s="501">
        <f>F84-$K21</f>
        <v>96</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 thickTop="1">
      <c r="A85" s="491"/>
      <c r="B85" s="495" t="s">
        <v>2520</v>
      </c>
      <c r="C85" s="535" t="s">
        <v>2419</v>
      </c>
      <c r="D85" s="535" t="s">
        <v>2420</v>
      </c>
      <c r="E85" s="535" t="s">
        <v>2421</v>
      </c>
      <c r="F85" s="535" t="s">
        <v>2422</v>
      </c>
      <c r="G85" s="535" t="s">
        <v>2423</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4.4" thickBot="1">
      <c r="A86" s="491"/>
      <c r="B86" s="500"/>
      <c r="C86" s="501">
        <v>100</v>
      </c>
      <c r="D86" s="501">
        <f>C86-$K23</f>
        <v>98</v>
      </c>
      <c r="E86" s="501">
        <f>D86-$K23</f>
        <v>96</v>
      </c>
      <c r="F86" s="501">
        <f>E86-$K23</f>
        <v>94</v>
      </c>
      <c r="G86" s="501">
        <f>F86-$K23</f>
        <v>92</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9.4" thickTop="1">
      <c r="A87" s="536"/>
      <c r="B87" s="495" t="s">
        <v>2521</v>
      </c>
      <c r="C87" s="3048" t="s">
        <v>3146</v>
      </c>
      <c r="D87" s="3048" t="s">
        <v>3147</v>
      </c>
      <c r="E87" s="3048" t="s">
        <v>3149</v>
      </c>
      <c r="F87" s="3048" t="s">
        <v>3151</v>
      </c>
      <c r="G87" s="3048" t="s">
        <v>3152</v>
      </c>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4.4"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2"/>
      <c r="O88" s="2982"/>
      <c r="P88" s="2990"/>
      <c r="Q88" s="2967"/>
      <c r="R88" s="2887"/>
      <c r="S88" s="2887"/>
      <c r="T88" s="2887"/>
      <c r="U88" s="2887"/>
      <c r="V88" s="2887"/>
      <c r="W88" s="2887"/>
      <c r="X88" s="2887"/>
      <c r="Y88" s="2887"/>
      <c r="Z88" s="2887"/>
      <c r="AA88" s="2887"/>
      <c r="AB88" s="2887"/>
      <c r="AC88" s="2887"/>
    </row>
    <row r="89" spans="1:29" s="113" customFormat="1" ht="15" thickTop="1">
      <c r="A89" s="536"/>
      <c r="B89" s="495" t="str">
        <f>B27</f>
        <v>楼层</v>
      </c>
      <c r="C89" s="3048" t="s">
        <v>3153</v>
      </c>
      <c r="D89" s="3048" t="s">
        <v>3154</v>
      </c>
      <c r="E89" s="3048" t="s">
        <v>3155</v>
      </c>
      <c r="F89" s="2115"/>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 thickTop="1">
      <c r="A91" s="510"/>
      <c r="B91" s="495" t="str">
        <f>B28</f>
        <v>朝向</v>
      </c>
      <c r="C91" s="3048" t="s">
        <v>3156</v>
      </c>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4.4"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4.4"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4.4"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4.4"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4.4"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4.4"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4.4"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4.4" thickBot="1">
      <c r="A100" s="2116"/>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ht="14.4">
      <c r="A101" s="484" t="s">
        <v>2385</v>
      </c>
      <c r="B101" s="485" t="s">
        <v>2434</v>
      </c>
      <c r="C101" s="3046" t="s">
        <v>3171</v>
      </c>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 thickTop="1">
      <c r="A103" s="491"/>
      <c r="B103" s="495" t="s">
        <v>2435</v>
      </c>
      <c r="C103" s="535" t="str">
        <f>C104&amp;"(含)"&amp;"-"&amp;D104</f>
        <v>0(含)-100</v>
      </c>
      <c r="D103" s="535" t="str">
        <f t="shared" ref="D103:L103" si="23">D104&amp;"(含)"&amp;"-"&amp;E104</f>
        <v>100(含)-200</v>
      </c>
      <c r="E103" s="535" t="str">
        <f t="shared" si="23"/>
        <v>200(含)-300</v>
      </c>
      <c r="F103" s="535" t="str">
        <f t="shared" si="23"/>
        <v>300(含)-400</v>
      </c>
      <c r="G103" s="535" t="str">
        <f t="shared" si="23"/>
        <v>400(含)-500</v>
      </c>
      <c r="H103" s="535" t="str">
        <f t="shared" si="23"/>
        <v>500(含)-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ht="14.4">
      <c r="A104" s="550"/>
      <c r="B104" s="551"/>
      <c r="C104" s="552">
        <v>0</v>
      </c>
      <c r="D104" s="552">
        <v>100</v>
      </c>
      <c r="E104" s="552">
        <v>200</v>
      </c>
      <c r="F104" s="552">
        <v>300</v>
      </c>
      <c r="G104" s="552">
        <v>400</v>
      </c>
      <c r="H104" s="552">
        <v>500</v>
      </c>
      <c r="I104" s="552"/>
      <c r="J104" s="3065"/>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4.4" thickBot="1">
      <c r="A105" s="510"/>
      <c r="B105" s="500"/>
      <c r="C105" s="517">
        <v>100</v>
      </c>
      <c r="D105" s="493">
        <v>99</v>
      </c>
      <c r="E105" s="493">
        <v>98</v>
      </c>
      <c r="F105" s="493">
        <v>97</v>
      </c>
      <c r="G105" s="493">
        <v>97</v>
      </c>
      <c r="H105" s="493">
        <v>96</v>
      </c>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2436</v>
      </c>
      <c r="C106" s="3048" t="s">
        <v>3088</v>
      </c>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4.4" thickBot="1">
      <c r="A107" s="491"/>
      <c r="B107" s="500"/>
      <c r="C107" s="501">
        <v>100</v>
      </c>
      <c r="D107" s="501">
        <f t="shared" ref="D107:M107" si="24">C107-$K35</f>
        <v>99</v>
      </c>
      <c r="E107" s="501">
        <f t="shared" si="24"/>
        <v>98</v>
      </c>
      <c r="F107" s="501">
        <f t="shared" si="24"/>
        <v>97</v>
      </c>
      <c r="G107" s="501">
        <f t="shared" si="24"/>
        <v>96</v>
      </c>
      <c r="H107" s="501">
        <f t="shared" si="24"/>
        <v>95</v>
      </c>
      <c r="I107" s="501">
        <f t="shared" si="24"/>
        <v>94</v>
      </c>
      <c r="J107" s="501">
        <f t="shared" si="24"/>
        <v>93</v>
      </c>
      <c r="K107" s="501">
        <f t="shared" si="24"/>
        <v>92</v>
      </c>
      <c r="L107" s="501">
        <f t="shared" si="24"/>
        <v>91</v>
      </c>
      <c r="M107" s="502">
        <f t="shared" si="24"/>
        <v>90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2438</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4.4" thickBot="1">
      <c r="A109" s="491"/>
      <c r="B109" s="500"/>
      <c r="C109" s="501">
        <v>100</v>
      </c>
      <c r="D109" s="501">
        <f t="shared" ref="D109:M109" si="25">C109-$K36</f>
        <v>99</v>
      </c>
      <c r="E109" s="501">
        <f t="shared" si="25"/>
        <v>98</v>
      </c>
      <c r="F109" s="501">
        <f t="shared" si="25"/>
        <v>97</v>
      </c>
      <c r="G109" s="501">
        <f t="shared" si="25"/>
        <v>96</v>
      </c>
      <c r="H109" s="501">
        <f t="shared" si="25"/>
        <v>95</v>
      </c>
      <c r="I109" s="501">
        <f t="shared" si="25"/>
        <v>94</v>
      </c>
      <c r="J109" s="501">
        <f t="shared" si="25"/>
        <v>93</v>
      </c>
      <c r="K109" s="501">
        <f t="shared" si="25"/>
        <v>92</v>
      </c>
      <c r="L109" s="501">
        <f t="shared" si="25"/>
        <v>91</v>
      </c>
      <c r="M109" s="502">
        <f t="shared" si="25"/>
        <v>90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4.4"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2522</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4.4" thickBot="1">
      <c r="A114" s="510"/>
      <c r="B114" s="500"/>
      <c r="C114" s="501">
        <v>100</v>
      </c>
      <c r="D114" s="501">
        <f>C114-$K38</f>
        <v>99</v>
      </c>
      <c r="E114" s="501">
        <f t="shared" ref="E114:M114" si="27">D114-$K38</f>
        <v>98</v>
      </c>
      <c r="F114" s="501">
        <f t="shared" si="27"/>
        <v>97</v>
      </c>
      <c r="G114" s="501">
        <f t="shared" si="27"/>
        <v>96</v>
      </c>
      <c r="H114" s="501">
        <f t="shared" si="27"/>
        <v>95</v>
      </c>
      <c r="I114" s="501">
        <f t="shared" si="27"/>
        <v>94</v>
      </c>
      <c r="J114" s="501">
        <f t="shared" si="27"/>
        <v>93</v>
      </c>
      <c r="K114" s="501">
        <f t="shared" si="27"/>
        <v>92</v>
      </c>
      <c r="L114" s="501">
        <f t="shared" si="27"/>
        <v>91</v>
      </c>
      <c r="M114" s="501">
        <f t="shared" si="27"/>
        <v>90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2439</v>
      </c>
      <c r="C115" s="3048" t="s">
        <v>3164</v>
      </c>
      <c r="D115" s="3048" t="s">
        <v>3158</v>
      </c>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4.4"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2440</v>
      </c>
      <c r="C117" s="3048" t="s">
        <v>3160</v>
      </c>
      <c r="D117" s="3048" t="s">
        <v>3162</v>
      </c>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4.4" thickBot="1">
      <c r="A118" s="491"/>
      <c r="B118" s="500"/>
      <c r="C118" s="501">
        <v>100</v>
      </c>
      <c r="D118" s="501">
        <f>C118-$K40</f>
        <v>98</v>
      </c>
      <c r="E118" s="501">
        <f>D118-$K40</f>
        <v>96</v>
      </c>
      <c r="F118" s="501">
        <f>E118-$K40</f>
        <v>94</v>
      </c>
      <c r="G118" s="501">
        <f>F118-$K40</f>
        <v>92</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2523</v>
      </c>
      <c r="C119" s="540"/>
      <c r="D119" s="540"/>
      <c r="E119" s="540"/>
      <c r="F119" s="540"/>
      <c r="G119" s="540"/>
      <c r="H119" s="540"/>
      <c r="I119" s="540"/>
      <c r="J119" s="540"/>
      <c r="K119" s="540"/>
      <c r="L119" s="2155"/>
      <c r="M119" s="2156"/>
      <c r="N119" s="2982"/>
      <c r="O119" s="2982"/>
      <c r="P119" s="2995"/>
      <c r="Q119" s="2996"/>
      <c r="R119" s="2953"/>
      <c r="S119" s="2953"/>
      <c r="T119" s="2953"/>
      <c r="U119" s="2953"/>
      <c r="V119" s="2953"/>
      <c r="W119" s="2953"/>
      <c r="X119" s="2953"/>
      <c r="Y119" s="2953"/>
      <c r="Z119" s="2953"/>
      <c r="AA119" s="2953"/>
      <c r="AB119" s="2953"/>
      <c r="AC119" s="2953"/>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2506</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4.4"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2442</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29.4" thickTop="1">
      <c r="A125" s="556"/>
      <c r="B125" s="495" t="s">
        <v>2443</v>
      </c>
      <c r="C125" s="535" t="s">
        <v>2419</v>
      </c>
      <c r="D125" s="535" t="s">
        <v>2420</v>
      </c>
      <c r="E125" s="535" t="s">
        <v>2421</v>
      </c>
      <c r="F125" s="535" t="s">
        <v>2422</v>
      </c>
      <c r="G125" s="535" t="s">
        <v>2423</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4.4"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4.4"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4.4"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4.4"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4.4"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4.4" thickBot="1">
      <c r="A132" s="2116"/>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671.51000000000022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2467</v>
      </c>
      <c r="B4" s="362"/>
      <c r="C4" s="3329" t="s">
        <v>2468</v>
      </c>
      <c r="D4" s="3330"/>
      <c r="E4" s="3331" t="s">
        <v>2469</v>
      </c>
      <c r="F4" s="3332"/>
      <c r="G4" s="3329" t="s">
        <v>2470</v>
      </c>
      <c r="H4" s="3330"/>
      <c r="I4" s="3329" t="s">
        <v>2471</v>
      </c>
      <c r="J4" s="3330"/>
      <c r="K4" s="567" t="s">
        <v>2472</v>
      </c>
      <c r="L4" s="1044"/>
      <c r="M4" s="1045"/>
      <c r="N4" s="1045"/>
      <c r="O4" s="1045"/>
      <c r="P4" s="3333" t="s">
        <v>2473</v>
      </c>
      <c r="Q4" s="3334"/>
      <c r="R4" s="3339" t="s">
        <v>2469</v>
      </c>
      <c r="S4" s="3340"/>
      <c r="T4" s="3339" t="s">
        <v>2470</v>
      </c>
      <c r="U4" s="3340"/>
      <c r="V4" s="3345" t="s">
        <v>2471</v>
      </c>
      <c r="W4" s="3345"/>
      <c r="X4" s="1541"/>
      <c r="Y4" s="3339" t="s">
        <v>2473</v>
      </c>
      <c r="Z4" s="3340"/>
      <c r="AA4" s="3326" t="s">
        <v>2469</v>
      </c>
      <c r="AB4" s="3327" t="s">
        <v>2470</v>
      </c>
      <c r="AC4" s="3326" t="s">
        <v>2471</v>
      </c>
    </row>
    <row r="5" spans="1:29">
      <c r="A5" s="364"/>
      <c r="B5" s="365"/>
      <c r="C5" s="3348" t="s">
        <v>2364</v>
      </c>
      <c r="D5" s="3349"/>
      <c r="E5" s="3355" t="s">
        <v>2365</v>
      </c>
      <c r="F5" s="3356"/>
      <c r="G5" s="3348" t="s">
        <v>2366</v>
      </c>
      <c r="H5" s="3349"/>
      <c r="I5" s="3348" t="s">
        <v>2367</v>
      </c>
      <c r="J5" s="3349"/>
      <c r="K5" s="567"/>
      <c r="L5" s="1044"/>
      <c r="M5" s="1045"/>
      <c r="N5" s="1045"/>
      <c r="O5" s="1045"/>
      <c r="P5" s="3335"/>
      <c r="Q5" s="3336"/>
      <c r="R5" s="3341"/>
      <c r="S5" s="3342"/>
      <c r="T5" s="3341"/>
      <c r="U5" s="3342"/>
      <c r="V5" s="3345"/>
      <c r="W5" s="3345"/>
      <c r="X5" s="1541"/>
      <c r="Y5" s="3341"/>
      <c r="Z5" s="3342"/>
      <c r="AA5" s="3327"/>
      <c r="AB5" s="3327"/>
      <c r="AC5" s="3327"/>
    </row>
    <row r="6" spans="1:29" ht="15" thickBot="1">
      <c r="A6" s="366"/>
      <c r="B6" s="367"/>
      <c r="C6" s="3346" t="s">
        <v>2368</v>
      </c>
      <c r="D6" s="3347"/>
      <c r="E6" s="3353" t="s">
        <v>2368</v>
      </c>
      <c r="F6" s="3354"/>
      <c r="G6" s="3346" t="s">
        <v>2368</v>
      </c>
      <c r="H6" s="3347"/>
      <c r="I6" s="3346" t="s">
        <v>2368</v>
      </c>
      <c r="J6" s="3347"/>
      <c r="K6" s="567" t="s">
        <v>2369</v>
      </c>
      <c r="L6" s="1044"/>
      <c r="M6" s="1045"/>
      <c r="N6" s="1045"/>
      <c r="O6" s="1045"/>
      <c r="P6" s="3337"/>
      <c r="Q6" s="3338"/>
      <c r="R6" s="3341"/>
      <c r="S6" s="3342"/>
      <c r="T6" s="3343"/>
      <c r="U6" s="3344"/>
      <c r="V6" s="3345"/>
      <c r="W6" s="3345"/>
      <c r="X6" s="1541"/>
      <c r="Y6" s="3343"/>
      <c r="Z6" s="3344"/>
      <c r="AA6" s="3328"/>
      <c r="AB6" s="3328"/>
      <c r="AC6" s="3328"/>
    </row>
    <row r="7" spans="1:29" s="113" customFormat="1" ht="15" thickBot="1">
      <c r="A7" s="368" t="s">
        <v>2370</v>
      </c>
      <c r="B7" s="369"/>
      <c r="C7" s="370">
        <f>'数据-取费表'!B2</f>
        <v>44209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50" t="s">
        <v>2371</v>
      </c>
      <c r="Q7" s="3352"/>
      <c r="R7" s="710" t="s">
        <v>17</v>
      </c>
      <c r="S7" s="711">
        <f t="shared" ref="S7:S15" si="0">F7</f>
        <v>0</v>
      </c>
      <c r="T7" s="710" t="s">
        <v>17</v>
      </c>
      <c r="U7" s="711">
        <f t="shared" ref="U7:U15" si="1">H7</f>
        <v>0</v>
      </c>
      <c r="V7" s="710" t="s">
        <v>17</v>
      </c>
      <c r="W7" s="711">
        <f t="shared" ref="W7:W15" si="2">J7</f>
        <v>0</v>
      </c>
      <c r="X7" s="712"/>
      <c r="Y7" s="3350" t="s">
        <v>2371</v>
      </c>
      <c r="Z7" s="3351"/>
      <c r="AA7" s="713" t="e">
        <f>D7/F7</f>
        <v>#DIV/0!</v>
      </c>
      <c r="AB7" s="713" t="e">
        <f>D7/H7</f>
        <v>#DIV/0!</v>
      </c>
      <c r="AC7" s="713" t="e">
        <f>D7/J7</f>
        <v>#DIV/0!</v>
      </c>
    </row>
    <row r="8" spans="1:29" s="113" customFormat="1" ht="1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50" t="s">
        <v>2374</v>
      </c>
      <c r="Q8" s="3351"/>
      <c r="R8" s="710" t="s">
        <v>17</v>
      </c>
      <c r="S8" s="711">
        <f t="shared" si="0"/>
        <v>0</v>
      </c>
      <c r="T8" s="710" t="s">
        <v>17</v>
      </c>
      <c r="U8" s="711">
        <f t="shared" si="1"/>
        <v>0</v>
      </c>
      <c r="V8" s="710" t="s">
        <v>17</v>
      </c>
      <c r="W8" s="711">
        <f t="shared" si="2"/>
        <v>0</v>
      </c>
      <c r="X8" s="712"/>
      <c r="Y8" s="3350" t="s">
        <v>2374</v>
      </c>
      <c r="Z8" s="3351"/>
      <c r="AA8" s="713" t="e">
        <f t="shared" ref="AA8:AA40" si="3">D8/F8</f>
        <v>#DIV/0!</v>
      </c>
      <c r="AB8" s="713" t="e">
        <f t="shared" ref="AB8:AB40" si="4">D8/H8</f>
        <v>#DIV/0!</v>
      </c>
      <c r="AC8" s="713" t="e">
        <f t="shared" ref="AC8:AC40" si="5">D8/J8</f>
        <v>#DIV/0!</v>
      </c>
    </row>
    <row r="9" spans="1:29" s="113" customFormat="1" ht="14.4">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4" t="s">
        <v>2377</v>
      </c>
      <c r="Q9" s="1529" t="str">
        <f t="shared" ref="Q9:Q15" si="6">B9</f>
        <v>用途</v>
      </c>
      <c r="R9" s="710" t="s">
        <v>17</v>
      </c>
      <c r="S9" s="711">
        <f t="shared" si="0"/>
        <v>100</v>
      </c>
      <c r="T9" s="710" t="s">
        <v>17</v>
      </c>
      <c r="U9" s="711">
        <f t="shared" si="1"/>
        <v>100</v>
      </c>
      <c r="V9" s="710" t="s">
        <v>17</v>
      </c>
      <c r="W9" s="711">
        <f t="shared" si="2"/>
        <v>100</v>
      </c>
      <c r="X9" s="712"/>
      <c r="Y9" s="3184" t="s">
        <v>2378</v>
      </c>
      <c r="Z9" s="55" t="str">
        <f t="shared" ref="Z9:Z15" si="7">Q9</f>
        <v>用途</v>
      </c>
      <c r="AA9" s="713">
        <f t="shared" si="3"/>
        <v>1</v>
      </c>
      <c r="AB9" s="713">
        <f t="shared" si="4"/>
        <v>1</v>
      </c>
      <c r="AC9" s="713">
        <f t="shared" si="5"/>
        <v>1</v>
      </c>
    </row>
    <row r="10" spans="1:29" s="386" customFormat="1" ht="28.8">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4"/>
      <c r="Q10" s="1529" t="str">
        <f t="shared" si="6"/>
        <v>土地使用年限（年）</v>
      </c>
      <c r="R10" s="710" t="s">
        <v>17</v>
      </c>
      <c r="S10" s="711">
        <f t="shared" si="0"/>
        <v>100</v>
      </c>
      <c r="T10" s="710" t="s">
        <v>17</v>
      </c>
      <c r="U10" s="711">
        <f t="shared" si="1"/>
        <v>100</v>
      </c>
      <c r="V10" s="710" t="s">
        <v>17</v>
      </c>
      <c r="W10" s="711">
        <f t="shared" si="2"/>
        <v>100</v>
      </c>
      <c r="X10" s="712"/>
      <c r="Y10" s="3184"/>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4"/>
      <c r="Q11" s="1529" t="str">
        <f t="shared" si="6"/>
        <v>容积率</v>
      </c>
      <c r="R11" s="710" t="s">
        <v>17</v>
      </c>
      <c r="S11" s="711" t="e">
        <f t="shared" si="0"/>
        <v>#N/A</v>
      </c>
      <c r="T11" s="710" t="s">
        <v>17</v>
      </c>
      <c r="U11" s="711" t="e">
        <f t="shared" si="1"/>
        <v>#N/A</v>
      </c>
      <c r="V11" s="710" t="s">
        <v>17</v>
      </c>
      <c r="W11" s="711" t="e">
        <f t="shared" si="2"/>
        <v>#N/A</v>
      </c>
      <c r="X11" s="712"/>
      <c r="Y11" s="3184"/>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14"/>
      <c r="Q12" s="1529">
        <f t="shared" si="6"/>
        <v>111</v>
      </c>
      <c r="R12" s="710" t="s">
        <v>17</v>
      </c>
      <c r="S12" s="711">
        <f t="shared" si="0"/>
        <v>100</v>
      </c>
      <c r="T12" s="710" t="s">
        <v>17</v>
      </c>
      <c r="U12" s="711">
        <f t="shared" si="1"/>
        <v>100</v>
      </c>
      <c r="V12" s="710" t="s">
        <v>17</v>
      </c>
      <c r="W12" s="711">
        <f t="shared" si="2"/>
        <v>100</v>
      </c>
      <c r="X12" s="712"/>
      <c r="Y12" s="3184"/>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14"/>
      <c r="Q13" s="1529">
        <f t="shared" si="6"/>
        <v>111</v>
      </c>
      <c r="R13" s="710" t="s">
        <v>17</v>
      </c>
      <c r="S13" s="711">
        <f t="shared" si="0"/>
        <v>100</v>
      </c>
      <c r="T13" s="710" t="s">
        <v>17</v>
      </c>
      <c r="U13" s="711">
        <f t="shared" si="1"/>
        <v>100</v>
      </c>
      <c r="V13" s="710" t="s">
        <v>17</v>
      </c>
      <c r="W13" s="711">
        <f t="shared" si="2"/>
        <v>100</v>
      </c>
      <c r="X13" s="712"/>
      <c r="Y13" s="3184"/>
      <c r="Z13" s="55">
        <f t="shared" si="7"/>
        <v>111</v>
      </c>
      <c r="AA13" s="713">
        <f t="shared" si="3"/>
        <v>1</v>
      </c>
      <c r="AB13" s="713">
        <f t="shared" si="4"/>
        <v>1</v>
      </c>
      <c r="AC13" s="713">
        <f t="shared" si="5"/>
        <v>1</v>
      </c>
    </row>
    <row r="14" spans="1:29" ht="15.6" thickBot="1">
      <c r="A14" s="395"/>
      <c r="B14" s="2083">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14"/>
      <c r="Q14" s="1529">
        <f t="shared" si="6"/>
        <v>111</v>
      </c>
      <c r="R14" s="710" t="s">
        <v>17</v>
      </c>
      <c r="S14" s="711">
        <f t="shared" si="0"/>
        <v>100</v>
      </c>
      <c r="T14" s="710" t="s">
        <v>17</v>
      </c>
      <c r="U14" s="711">
        <f t="shared" si="1"/>
        <v>100</v>
      </c>
      <c r="V14" s="710" t="s">
        <v>17</v>
      </c>
      <c r="W14" s="711">
        <f t="shared" si="2"/>
        <v>100</v>
      </c>
      <c r="X14" s="712"/>
      <c r="Y14" s="3184"/>
      <c r="Z14" s="55">
        <f t="shared" si="7"/>
        <v>111</v>
      </c>
      <c r="AA14" s="713">
        <f t="shared" si="3"/>
        <v>1</v>
      </c>
      <c r="AB14" s="713">
        <f t="shared" si="4"/>
        <v>1</v>
      </c>
      <c r="AC14" s="713">
        <f t="shared" si="5"/>
        <v>1</v>
      </c>
    </row>
    <row r="15" spans="1:29" ht="69">
      <c r="A15" s="399" t="s">
        <v>2381</v>
      </c>
      <c r="B15" s="65" t="s">
        <v>2525</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6" t="s">
        <v>2382</v>
      </c>
      <c r="Q15" s="1538" t="str">
        <f t="shared" si="6"/>
        <v>产业集聚程度</v>
      </c>
      <c r="R15" s="714" t="s">
        <v>17</v>
      </c>
      <c r="S15" s="715">
        <f t="shared" si="0"/>
        <v>100</v>
      </c>
      <c r="T15" s="714" t="s">
        <v>17</v>
      </c>
      <c r="U15" s="715">
        <f t="shared" si="1"/>
        <v>100</v>
      </c>
      <c r="V15" s="714" t="s">
        <v>17</v>
      </c>
      <c r="W15" s="715">
        <f t="shared" si="2"/>
        <v>100</v>
      </c>
      <c r="X15" s="1541"/>
      <c r="Y15" s="3316"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17"/>
      <c r="Q16" s="1538"/>
      <c r="R16" s="714"/>
      <c r="S16" s="715"/>
      <c r="T16" s="714"/>
      <c r="U16" s="715"/>
      <c r="V16" s="714"/>
      <c r="W16" s="715"/>
      <c r="X16" s="1541"/>
      <c r="Y16" s="3317"/>
      <c r="Z16" s="1542"/>
      <c r="AA16" s="1539">
        <v>1</v>
      </c>
      <c r="AB16" s="1539">
        <v>1</v>
      </c>
      <c r="AC16" s="1539">
        <v>1</v>
      </c>
    </row>
    <row r="17" spans="1:29" ht="96.6">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7"/>
      <c r="Q17" s="1538" t="str">
        <f>B17</f>
        <v>交通便捷度</v>
      </c>
      <c r="R17" s="714" t="s">
        <v>17</v>
      </c>
      <c r="S17" s="715">
        <f>F17</f>
        <v>100</v>
      </c>
      <c r="T17" s="714" t="s">
        <v>17</v>
      </c>
      <c r="U17" s="715">
        <f>H17</f>
        <v>100</v>
      </c>
      <c r="V17" s="714" t="s">
        <v>17</v>
      </c>
      <c r="W17" s="715">
        <f>J17</f>
        <v>100</v>
      </c>
      <c r="X17" s="1541"/>
      <c r="Y17" s="3317"/>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17"/>
      <c r="Q18" s="1538"/>
      <c r="R18" s="714"/>
      <c r="S18" s="715"/>
      <c r="T18" s="714"/>
      <c r="U18" s="715"/>
      <c r="V18" s="714"/>
      <c r="W18" s="715"/>
      <c r="X18" s="1541"/>
      <c r="Y18" s="3317"/>
      <c r="Z18" s="1542"/>
      <c r="AA18" s="1539">
        <v>1</v>
      </c>
      <c r="AB18" s="1539">
        <v>1</v>
      </c>
      <c r="AC18" s="1539">
        <v>1</v>
      </c>
    </row>
    <row r="19" spans="1:29" ht="41.4">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7"/>
      <c r="Q19" s="1538" t="str">
        <f>B19</f>
        <v>公共配套设施</v>
      </c>
      <c r="R19" s="714" t="s">
        <v>17</v>
      </c>
      <c r="S19" s="715">
        <f>F19</f>
        <v>100</v>
      </c>
      <c r="T19" s="714" t="s">
        <v>17</v>
      </c>
      <c r="U19" s="715">
        <f>H19</f>
        <v>100</v>
      </c>
      <c r="V19" s="714" t="s">
        <v>17</v>
      </c>
      <c r="W19" s="715">
        <f>J19</f>
        <v>100</v>
      </c>
      <c r="X19" s="1541"/>
      <c r="Y19" s="3317"/>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17"/>
      <c r="Q20" s="1538"/>
      <c r="R20" s="714"/>
      <c r="S20" s="715"/>
      <c r="T20" s="714"/>
      <c r="U20" s="715"/>
      <c r="V20" s="714"/>
      <c r="W20" s="715"/>
      <c r="X20" s="1541"/>
      <c r="Y20" s="3317"/>
      <c r="Z20" s="1542"/>
      <c r="AA20" s="1539">
        <v>1</v>
      </c>
      <c r="AB20" s="1539">
        <v>1</v>
      </c>
      <c r="AC20" s="1539">
        <v>1</v>
      </c>
    </row>
    <row r="21" spans="1:29" ht="41.4">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7"/>
      <c r="Q21" s="1538" t="str">
        <f>B21</f>
        <v>基础设施水平</v>
      </c>
      <c r="R21" s="714" t="s">
        <v>17</v>
      </c>
      <c r="S21" s="715">
        <f>F21</f>
        <v>100</v>
      </c>
      <c r="T21" s="714" t="s">
        <v>17</v>
      </c>
      <c r="U21" s="715">
        <f>H21</f>
        <v>100</v>
      </c>
      <c r="V21" s="714" t="s">
        <v>17</v>
      </c>
      <c r="W21" s="715">
        <f>J21</f>
        <v>100</v>
      </c>
      <c r="X21" s="1541"/>
      <c r="Y21" s="3317"/>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17"/>
      <c r="Q22" s="1538"/>
      <c r="R22" s="714"/>
      <c r="S22" s="715"/>
      <c r="T22" s="714"/>
      <c r="U22" s="715"/>
      <c r="V22" s="714"/>
      <c r="W22" s="715"/>
      <c r="X22" s="1541"/>
      <c r="Y22" s="3317"/>
      <c r="Z22" s="1542"/>
      <c r="AA22" s="1539">
        <v>1</v>
      </c>
      <c r="AB22" s="1539">
        <v>1</v>
      </c>
      <c r="AC22" s="1539">
        <v>1</v>
      </c>
    </row>
    <row r="23" spans="1:29" ht="82.8">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7"/>
      <c r="Q23" s="1538" t="str">
        <f>B23</f>
        <v>环境质量</v>
      </c>
      <c r="R23" s="714" t="s">
        <v>17</v>
      </c>
      <c r="S23" s="715">
        <f>F23</f>
        <v>100</v>
      </c>
      <c r="T23" s="714" t="s">
        <v>17</v>
      </c>
      <c r="U23" s="715">
        <f>H23</f>
        <v>100</v>
      </c>
      <c r="V23" s="714" t="s">
        <v>17</v>
      </c>
      <c r="W23" s="715">
        <f>J23</f>
        <v>100</v>
      </c>
      <c r="X23" s="1541"/>
      <c r="Y23" s="3317"/>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17"/>
      <c r="Q24" s="1538"/>
      <c r="R24" s="714"/>
      <c r="S24" s="715"/>
      <c r="T24" s="714"/>
      <c r="U24" s="715"/>
      <c r="V24" s="714"/>
      <c r="W24" s="715"/>
      <c r="X24" s="1541"/>
      <c r="Y24" s="3317"/>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7"/>
      <c r="Q25" s="1538">
        <f>B25</f>
        <v>111</v>
      </c>
      <c r="R25" s="714" t="s">
        <v>17</v>
      </c>
      <c r="S25" s="715">
        <f>F25</f>
        <v>100</v>
      </c>
      <c r="T25" s="714" t="s">
        <v>17</v>
      </c>
      <c r="U25" s="715">
        <f>H25</f>
        <v>100</v>
      </c>
      <c r="V25" s="714" t="s">
        <v>17</v>
      </c>
      <c r="W25" s="715">
        <f>J25</f>
        <v>100</v>
      </c>
      <c r="X25" s="1541"/>
      <c r="Y25" s="3317"/>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7"/>
      <c r="Q26" s="1538">
        <f t="shared" ref="Q26:Q40" si="11">B26</f>
        <v>111</v>
      </c>
      <c r="R26" s="714" t="s">
        <v>17</v>
      </c>
      <c r="S26" s="715">
        <f>F26</f>
        <v>100</v>
      </c>
      <c r="T26" s="714" t="s">
        <v>17</v>
      </c>
      <c r="U26" s="715">
        <f>H26</f>
        <v>100</v>
      </c>
      <c r="V26" s="714" t="s">
        <v>17</v>
      </c>
      <c r="W26" s="715">
        <f>J26</f>
        <v>100</v>
      </c>
      <c r="X26" s="1541"/>
      <c r="Y26" s="3317"/>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7"/>
      <c r="Q27" s="1529">
        <f t="shared" si="11"/>
        <v>111</v>
      </c>
      <c r="R27" s="710" t="s">
        <v>17</v>
      </c>
      <c r="S27" s="711">
        <f>F27</f>
        <v>100</v>
      </c>
      <c r="T27" s="710" t="s">
        <v>17</v>
      </c>
      <c r="U27" s="711">
        <f>H27</f>
        <v>100</v>
      </c>
      <c r="V27" s="710" t="s">
        <v>17</v>
      </c>
      <c r="W27" s="711">
        <f>J27</f>
        <v>100</v>
      </c>
      <c r="X27" s="712"/>
      <c r="Y27" s="3317"/>
      <c r="Z27" s="55">
        <f>Q27</f>
        <v>111</v>
      </c>
      <c r="AA27" s="1539">
        <f>D27/F27</f>
        <v>1</v>
      </c>
      <c r="AB27" s="1539">
        <f>D27/H27</f>
        <v>1</v>
      </c>
      <c r="AC27" s="1539">
        <f>D27/J27</f>
        <v>1</v>
      </c>
    </row>
    <row r="28" spans="1:29" ht="15.6"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7"/>
      <c r="Q28" s="1538">
        <f t="shared" si="11"/>
        <v>111</v>
      </c>
      <c r="R28" s="714" t="s">
        <v>17</v>
      </c>
      <c r="S28" s="715">
        <f t="shared" ref="S28:S40" si="12">F28</f>
        <v>100</v>
      </c>
      <c r="T28" s="714" t="s">
        <v>17</v>
      </c>
      <c r="U28" s="715">
        <f t="shared" ref="U28:U40" si="13">H28</f>
        <v>100</v>
      </c>
      <c r="V28" s="714" t="s">
        <v>17</v>
      </c>
      <c r="W28" s="715">
        <f t="shared" ref="W28:W40" si="14">J28</f>
        <v>100</v>
      </c>
      <c r="X28" s="1541"/>
      <c r="Y28" s="3317"/>
      <c r="Z28" s="1542">
        <f t="shared" ref="Z28:Z40" si="15">Q28</f>
        <v>111</v>
      </c>
      <c r="AA28" s="1539">
        <f t="shared" si="3"/>
        <v>1</v>
      </c>
      <c r="AB28" s="1539">
        <f t="shared" si="4"/>
        <v>1</v>
      </c>
      <c r="AC28" s="1539">
        <f t="shared" si="5"/>
        <v>1</v>
      </c>
    </row>
    <row r="29" spans="1:29" ht="30">
      <c r="A29" s="425" t="s">
        <v>2385</v>
      </c>
      <c r="B29" s="67" t="s">
        <v>2515</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78" t="s">
        <v>2387</v>
      </c>
      <c r="Q29" s="1538" t="str">
        <f t="shared" si="11"/>
        <v>建筑类型</v>
      </c>
      <c r="R29" s="714" t="s">
        <v>17</v>
      </c>
      <c r="S29" s="715">
        <f t="shared" si="12"/>
        <v>100</v>
      </c>
      <c r="T29" s="714" t="s">
        <v>17</v>
      </c>
      <c r="U29" s="715">
        <f t="shared" si="13"/>
        <v>100</v>
      </c>
      <c r="V29" s="714" t="s">
        <v>17</v>
      </c>
      <c r="W29" s="715">
        <f t="shared" si="14"/>
        <v>100</v>
      </c>
      <c r="X29" s="1541"/>
      <c r="Y29" s="3321"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1"/>
      <c r="Q30" s="716" t="str">
        <f t="shared" si="11"/>
        <v>项目建筑规模</v>
      </c>
      <c r="R30" s="717" t="s">
        <v>17</v>
      </c>
      <c r="S30" s="718" t="e">
        <f t="shared" si="12"/>
        <v>#N/A</v>
      </c>
      <c r="T30" s="717" t="s">
        <v>17</v>
      </c>
      <c r="U30" s="718" t="e">
        <f t="shared" si="13"/>
        <v>#N/A</v>
      </c>
      <c r="V30" s="717" t="s">
        <v>17</v>
      </c>
      <c r="W30" s="718" t="e">
        <f t="shared" si="14"/>
        <v>#N/A</v>
      </c>
      <c r="X30" s="719"/>
      <c r="Y30" s="3321"/>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1"/>
      <c r="Q31" s="1538" t="str">
        <f t="shared" si="11"/>
        <v>建筑结构</v>
      </c>
      <c r="R31" s="714" t="s">
        <v>17</v>
      </c>
      <c r="S31" s="715">
        <f t="shared" si="12"/>
        <v>100</v>
      </c>
      <c r="T31" s="714" t="s">
        <v>17</v>
      </c>
      <c r="U31" s="715">
        <f t="shared" si="13"/>
        <v>100</v>
      </c>
      <c r="V31" s="714" t="s">
        <v>17</v>
      </c>
      <c r="W31" s="715">
        <f t="shared" si="14"/>
        <v>100</v>
      </c>
      <c r="X31" s="1541"/>
      <c r="Y31" s="3321"/>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1"/>
      <c r="Q32" s="1538" t="str">
        <f t="shared" si="11"/>
        <v>公共部分装修</v>
      </c>
      <c r="R32" s="714" t="s">
        <v>17</v>
      </c>
      <c r="S32" s="715">
        <f t="shared" si="12"/>
        <v>100</v>
      </c>
      <c r="T32" s="714" t="s">
        <v>17</v>
      </c>
      <c r="U32" s="715">
        <f t="shared" si="13"/>
        <v>100</v>
      </c>
      <c r="V32" s="714" t="s">
        <v>17</v>
      </c>
      <c r="W32" s="715">
        <f t="shared" si="14"/>
        <v>100</v>
      </c>
      <c r="X32" s="1541"/>
      <c r="Y32" s="3321"/>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1"/>
      <c r="Q33" s="1538" t="str">
        <f t="shared" si="11"/>
        <v>成新度</v>
      </c>
      <c r="R33" s="714" t="s">
        <v>17</v>
      </c>
      <c r="S33" s="715" t="e">
        <f t="shared" si="12"/>
        <v>#N/A</v>
      </c>
      <c r="T33" s="714" t="s">
        <v>17</v>
      </c>
      <c r="U33" s="715" t="e">
        <f t="shared" si="13"/>
        <v>#N/A</v>
      </c>
      <c r="V33" s="714" t="s">
        <v>17</v>
      </c>
      <c r="W33" s="715" t="e">
        <f t="shared" si="14"/>
        <v>#N/A</v>
      </c>
      <c r="X33" s="1541"/>
      <c r="Y33" s="3321"/>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1"/>
      <c r="Q34" s="1529" t="str">
        <f t="shared" si="11"/>
        <v>物业管理</v>
      </c>
      <c r="R34" s="710" t="s">
        <v>17</v>
      </c>
      <c r="S34" s="711">
        <f t="shared" si="12"/>
        <v>100</v>
      </c>
      <c r="T34" s="710" t="s">
        <v>17</v>
      </c>
      <c r="U34" s="711">
        <f t="shared" si="13"/>
        <v>100</v>
      </c>
      <c r="V34" s="710" t="s">
        <v>17</v>
      </c>
      <c r="W34" s="711">
        <f t="shared" si="14"/>
        <v>100</v>
      </c>
      <c r="X34" s="712"/>
      <c r="Y34" s="3321"/>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1" t="s">
        <v>2387</v>
      </c>
      <c r="Q35" s="1538" t="str">
        <f t="shared" si="11"/>
        <v>市政基础设施</v>
      </c>
      <c r="R35" s="714" t="s">
        <v>17</v>
      </c>
      <c r="S35" s="715">
        <f t="shared" si="12"/>
        <v>100</v>
      </c>
      <c r="T35" s="714" t="s">
        <v>17</v>
      </c>
      <c r="U35" s="715">
        <f t="shared" si="13"/>
        <v>100</v>
      </c>
      <c r="V35" s="714" t="s">
        <v>17</v>
      </c>
      <c r="W35" s="715">
        <f t="shared" si="14"/>
        <v>100</v>
      </c>
      <c r="X35" s="1541"/>
      <c r="Y35" s="3321"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1"/>
      <c r="Q36" s="1538" t="str">
        <f t="shared" si="11"/>
        <v>内部装修</v>
      </c>
      <c r="R36" s="714" t="s">
        <v>17</v>
      </c>
      <c r="S36" s="715">
        <f t="shared" si="12"/>
        <v>100</v>
      </c>
      <c r="T36" s="714" t="s">
        <v>17</v>
      </c>
      <c r="U36" s="715">
        <f t="shared" si="13"/>
        <v>100</v>
      </c>
      <c r="V36" s="714" t="s">
        <v>17</v>
      </c>
      <c r="W36" s="715">
        <f t="shared" si="14"/>
        <v>100</v>
      </c>
      <c r="X36" s="1541"/>
      <c r="Y36" s="3321"/>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1"/>
      <c r="Q37" s="1538" t="str">
        <f t="shared" si="11"/>
        <v>内部装修状况</v>
      </c>
      <c r="R37" s="714" t="s">
        <v>17</v>
      </c>
      <c r="S37" s="715">
        <f t="shared" si="12"/>
        <v>100</v>
      </c>
      <c r="T37" s="714" t="s">
        <v>17</v>
      </c>
      <c r="U37" s="715">
        <f t="shared" si="13"/>
        <v>100</v>
      </c>
      <c r="V37" s="714" t="s">
        <v>17</v>
      </c>
      <c r="W37" s="715">
        <f t="shared" si="14"/>
        <v>100</v>
      </c>
      <c r="X37" s="1541"/>
      <c r="Y37" s="3321"/>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1"/>
      <c r="Q38" s="716">
        <f t="shared" si="11"/>
        <v>111</v>
      </c>
      <c r="R38" s="717" t="s">
        <v>17</v>
      </c>
      <c r="S38" s="718">
        <f t="shared" si="12"/>
        <v>100</v>
      </c>
      <c r="T38" s="717" t="s">
        <v>17</v>
      </c>
      <c r="U38" s="718">
        <f t="shared" si="13"/>
        <v>100</v>
      </c>
      <c r="V38" s="717" t="s">
        <v>17</v>
      </c>
      <c r="W38" s="718">
        <f t="shared" si="14"/>
        <v>100</v>
      </c>
      <c r="X38" s="719"/>
      <c r="Y38" s="3321"/>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1"/>
      <c r="Q39" s="1538">
        <f t="shared" si="11"/>
        <v>111</v>
      </c>
      <c r="R39" s="714" t="s">
        <v>17</v>
      </c>
      <c r="S39" s="715">
        <f t="shared" si="12"/>
        <v>100</v>
      </c>
      <c r="T39" s="714" t="s">
        <v>17</v>
      </c>
      <c r="U39" s="715">
        <f t="shared" si="13"/>
        <v>100</v>
      </c>
      <c r="V39" s="714" t="s">
        <v>17</v>
      </c>
      <c r="W39" s="715">
        <f t="shared" si="14"/>
        <v>100</v>
      </c>
      <c r="X39" s="1541"/>
      <c r="Y39" s="3321"/>
      <c r="Z39" s="1542">
        <f t="shared" si="15"/>
        <v>111</v>
      </c>
      <c r="AA39" s="1539">
        <f t="shared" si="3"/>
        <v>1</v>
      </c>
      <c r="AB39" s="1539">
        <f t="shared" si="4"/>
        <v>1</v>
      </c>
      <c r="AC39" s="1539">
        <f t="shared" si="5"/>
        <v>1</v>
      </c>
    </row>
    <row r="40" spans="1:29" ht="15.6"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2"/>
      <c r="Q40" s="1538">
        <f t="shared" si="11"/>
        <v>111</v>
      </c>
      <c r="R40" s="714" t="s">
        <v>17</v>
      </c>
      <c r="S40" s="715">
        <f t="shared" si="12"/>
        <v>100</v>
      </c>
      <c r="T40" s="714" t="s">
        <v>17</v>
      </c>
      <c r="U40" s="715">
        <f t="shared" si="13"/>
        <v>100</v>
      </c>
      <c r="V40" s="714" t="s">
        <v>17</v>
      </c>
      <c r="W40" s="715">
        <f t="shared" si="14"/>
        <v>100</v>
      </c>
      <c r="X40" s="1541"/>
      <c r="Y40" s="3322"/>
      <c r="Z40" s="1542">
        <f t="shared" si="15"/>
        <v>111</v>
      </c>
      <c r="AA40" s="1539">
        <f t="shared" si="3"/>
        <v>1</v>
      </c>
      <c r="AB40" s="1539">
        <f t="shared" si="4"/>
        <v>1</v>
      </c>
      <c r="AC40" s="1539">
        <f t="shared" si="5"/>
        <v>1</v>
      </c>
    </row>
    <row r="41" spans="1:29" ht="14.4">
      <c r="A41" s="438" t="s">
        <v>2399</v>
      </c>
      <c r="B41" s="439"/>
      <c r="C41" s="1316" t="s">
        <v>1</v>
      </c>
      <c r="D41" s="1317"/>
      <c r="E41" s="1318"/>
      <c r="F41" s="1319"/>
      <c r="G41" s="1320"/>
      <c r="H41" s="1321"/>
      <c r="I41" s="1318"/>
      <c r="J41" s="1321"/>
      <c r="K41" s="723"/>
      <c r="L41" s="1057"/>
      <c r="M41" s="1058"/>
      <c r="N41" s="1045"/>
      <c r="O41" s="1058"/>
      <c r="P41" s="3314" t="str">
        <f>A41</f>
        <v>成交单价（元/平方米）</v>
      </c>
      <c r="Q41" s="3314"/>
      <c r="R41" s="3315">
        <f>E41</f>
        <v>0</v>
      </c>
      <c r="S41" s="3315"/>
      <c r="T41" s="3315">
        <f>G41</f>
        <v>0</v>
      </c>
      <c r="U41" s="3315"/>
      <c r="V41" s="3315">
        <f>I41</f>
        <v>0</v>
      </c>
      <c r="W41" s="3315"/>
      <c r="X41" s="699"/>
      <c r="Y41" s="721"/>
      <c r="Z41" s="699"/>
      <c r="AA41" s="699"/>
      <c r="AB41" s="699"/>
      <c r="AC41" s="699"/>
    </row>
    <row r="42" spans="1:29" ht="15" thickBot="1">
      <c r="A42" s="445" t="s">
        <v>2491</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314" t="str">
        <f>A42</f>
        <v>比较价值（元/平方米）</v>
      </c>
      <c r="Q42" s="3314"/>
      <c r="R42" s="3315" t="e">
        <f>IF(F1="售价",ROUND(PRODUCT(R41,AA7:AA40),0),ROUND(PRODUCT(R41,AA7:AA40),1))</f>
        <v>#DIV/0!</v>
      </c>
      <c r="S42" s="3315"/>
      <c r="T42" s="3315" t="e">
        <f>IF(F1="售价",ROUND(PRODUCT(T41,AB7:AB40),0),ROUND(PRODUCT(T41,AB7:AB40),1))</f>
        <v>#DIV/0!</v>
      </c>
      <c r="U42" s="3315"/>
      <c r="V42" s="3315" t="e">
        <f>IF(F1="售价",ROUND(PRODUCT(V41,AC7:AC40),0),ROUND(PRODUCT(V41,AC7:AC40),1))</f>
        <v>#DIV/0!</v>
      </c>
      <c r="W42" s="3315"/>
      <c r="X42" s="699"/>
      <c r="Y42" s="699"/>
      <c r="Z42" s="699"/>
      <c r="AA42" s="699"/>
      <c r="AB42" s="699"/>
      <c r="AC42" s="699"/>
    </row>
    <row r="43" spans="1:29" ht="15" thickBot="1">
      <c r="A43" s="449" t="s">
        <v>2492</v>
      </c>
      <c r="B43" s="450"/>
      <c r="C43" s="1325" t="e">
        <f>R43</f>
        <v>#DIV/0!</v>
      </c>
      <c r="D43" s="1325"/>
      <c r="E43" s="1325"/>
      <c r="F43" s="1325"/>
      <c r="G43" s="1325"/>
      <c r="H43" s="1325"/>
      <c r="I43" s="1325"/>
      <c r="J43" s="1325"/>
      <c r="K43" s="724"/>
      <c r="L43" s="1057"/>
      <c r="M43" s="1058"/>
      <c r="N43" s="1058"/>
      <c r="O43" s="1058"/>
      <c r="P43" s="3311" t="str">
        <f>A43</f>
        <v>估价对象XX用房的比较价值（楼面单价，元/平方米）</v>
      </c>
      <c r="Q43" s="3312"/>
      <c r="R43" s="3313" t="e">
        <f>IF(F1="售价",ROUND(IF(D42="简单平均",AVERAGE(R42:V42),R42*F42+T42*H42+V42*J42),0),ROUND(IF(D42="简单平均",AVERAGE(R42:V42),R42*F42+T42*H42+V42*J42),1))</f>
        <v>#DIV/0!</v>
      </c>
      <c r="S43" s="3313"/>
      <c r="T43" s="3313"/>
      <c r="U43" s="3313"/>
      <c r="V43" s="3313"/>
      <c r="W43" s="3313"/>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2.2" thickBot="1">
      <c r="A51" s="703" t="s">
        <v>2496</v>
      </c>
      <c r="B51" s="699"/>
      <c r="C51" s="704"/>
      <c r="D51" s="704"/>
      <c r="E51" s="704"/>
      <c r="F51" s="705"/>
      <c r="G51" s="705"/>
      <c r="H51" s="704"/>
      <c r="I51" s="704"/>
      <c r="J51" s="704"/>
      <c r="K51" s="1072"/>
      <c r="L51" s="1073"/>
      <c r="M51" s="1071"/>
      <c r="N51" s="1071"/>
      <c r="O51" s="1071"/>
      <c r="P51" s="460"/>
      <c r="Q51" s="461"/>
    </row>
    <row r="52" spans="1:17" s="465" customFormat="1" ht="14.4">
      <c r="A52" s="462" t="s">
        <v>2370</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5" thickBot="1">
      <c r="A54" s="472" t="s">
        <v>2407</v>
      </c>
      <c r="B54" s="473"/>
      <c r="C54" s="474"/>
      <c r="D54" s="475"/>
      <c r="E54" s="475"/>
      <c r="F54" s="475"/>
      <c r="G54" s="475"/>
      <c r="H54" s="475"/>
      <c r="I54" s="475"/>
      <c r="J54" s="475"/>
      <c r="K54" s="475"/>
      <c r="L54" s="475"/>
      <c r="M54" s="476"/>
      <c r="N54" s="2998"/>
      <c r="O54" s="2999"/>
      <c r="P54" s="461"/>
      <c r="Q54" s="461"/>
    </row>
    <row r="55" spans="1:17" s="113" customFormat="1" ht="14.4">
      <c r="A55" s="478" t="s">
        <v>2372</v>
      </c>
      <c r="B55" s="467"/>
      <c r="C55" s="479" t="s">
        <v>2474</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2410</v>
      </c>
      <c r="B57" s="485" t="s">
        <v>2376</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116"/>
      <c r="B87" s="526"/>
      <c r="C87" s="527"/>
      <c r="D87" s="527"/>
      <c r="E87" s="527"/>
      <c r="F87" s="527"/>
      <c r="G87" s="548"/>
      <c r="H87" s="548"/>
      <c r="I87" s="548"/>
      <c r="J87" s="548"/>
      <c r="K87" s="548"/>
      <c r="L87" s="548"/>
      <c r="M87" s="549"/>
      <c r="N87" s="1065"/>
      <c r="O87" s="1065"/>
      <c r="P87" s="45"/>
      <c r="Q87" s="461"/>
    </row>
    <row r="88" spans="1:17" ht="14.4">
      <c r="A88" s="484" t="s">
        <v>2385</v>
      </c>
      <c r="B88" s="485" t="s">
        <v>2434</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4.4">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39" t="s">
        <v>2469</v>
      </c>
      <c r="S4" s="3340"/>
      <c r="T4" s="3339" t="s">
        <v>2470</v>
      </c>
      <c r="U4" s="3340"/>
      <c r="V4" s="3345" t="s">
        <v>2471</v>
      </c>
      <c r="W4" s="3345"/>
      <c r="X4" s="1541"/>
      <c r="Y4" s="3339" t="s">
        <v>2473</v>
      </c>
      <c r="Z4" s="3340"/>
      <c r="AA4" s="3326" t="s">
        <v>2469</v>
      </c>
      <c r="AB4" s="3327" t="s">
        <v>2470</v>
      </c>
      <c r="AC4" s="3326" t="s">
        <v>2471</v>
      </c>
    </row>
    <row r="5" spans="1:29">
      <c r="A5" s="364"/>
      <c r="B5" s="365"/>
      <c r="C5" s="3348" t="s">
        <v>2364</v>
      </c>
      <c r="D5" s="3349"/>
      <c r="E5" s="3355" t="s">
        <v>2365</v>
      </c>
      <c r="F5" s="3356"/>
      <c r="G5" s="3348" t="s">
        <v>2366</v>
      </c>
      <c r="H5" s="3349"/>
      <c r="I5" s="3348" t="s">
        <v>2367</v>
      </c>
      <c r="J5" s="3349"/>
      <c r="K5" s="567"/>
      <c r="L5" s="2943"/>
      <c r="M5" s="2944"/>
      <c r="N5" s="2944"/>
      <c r="O5" s="2944"/>
      <c r="P5" s="3335"/>
      <c r="Q5" s="3336"/>
      <c r="R5" s="3341"/>
      <c r="S5" s="3342"/>
      <c r="T5" s="3341"/>
      <c r="U5" s="3342"/>
      <c r="V5" s="3345"/>
      <c r="W5" s="3345"/>
      <c r="X5" s="1541"/>
      <c r="Y5" s="3341"/>
      <c r="Z5" s="3342"/>
      <c r="AA5" s="3327"/>
      <c r="AB5" s="3327"/>
      <c r="AC5" s="3327"/>
    </row>
    <row r="6" spans="1:29" ht="15" thickBot="1">
      <c r="A6" s="366"/>
      <c r="B6" s="367"/>
      <c r="C6" s="3346" t="s">
        <v>2368</v>
      </c>
      <c r="D6" s="3347"/>
      <c r="E6" s="3353" t="s">
        <v>2368</v>
      </c>
      <c r="F6" s="3354"/>
      <c r="G6" s="3346" t="s">
        <v>2368</v>
      </c>
      <c r="H6" s="3347"/>
      <c r="I6" s="3346" t="s">
        <v>2368</v>
      </c>
      <c r="J6" s="3347"/>
      <c r="K6" s="567" t="s">
        <v>2369</v>
      </c>
      <c r="L6" s="2943"/>
      <c r="M6" s="2944"/>
      <c r="N6" s="2944"/>
      <c r="O6" s="2944"/>
      <c r="P6" s="3337"/>
      <c r="Q6" s="3338"/>
      <c r="R6" s="3341"/>
      <c r="S6" s="3342"/>
      <c r="T6" s="3343"/>
      <c r="U6" s="3344"/>
      <c r="V6" s="3345"/>
      <c r="W6" s="3345"/>
      <c r="X6" s="1541"/>
      <c r="Y6" s="3343"/>
      <c r="Z6" s="3344"/>
      <c r="AA6" s="3328"/>
      <c r="AB6" s="3328"/>
      <c r="AC6" s="3328"/>
    </row>
    <row r="7" spans="1:29" s="113" customFormat="1" ht="15" thickBot="1">
      <c r="A7" s="368" t="s">
        <v>2370</v>
      </c>
      <c r="B7" s="369"/>
      <c r="C7" s="370">
        <f>'数据-取费表'!B2</f>
        <v>44209</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50" t="s">
        <v>2371</v>
      </c>
      <c r="Q7" s="3352"/>
      <c r="R7" s="710" t="s">
        <v>17</v>
      </c>
      <c r="S7" s="711">
        <f t="shared" ref="S7:S14" si="0">F7</f>
        <v>0</v>
      </c>
      <c r="T7" s="710" t="s">
        <v>17</v>
      </c>
      <c r="U7" s="711">
        <f t="shared" ref="U7:U14" si="1">H7</f>
        <v>0</v>
      </c>
      <c r="V7" s="710" t="s">
        <v>17</v>
      </c>
      <c r="W7" s="711">
        <f t="shared" ref="W7:W14" si="2">J7</f>
        <v>0</v>
      </c>
      <c r="X7" s="712"/>
      <c r="Y7" s="3350" t="s">
        <v>2371</v>
      </c>
      <c r="Z7" s="3351"/>
      <c r="AA7" s="713" t="e">
        <f>D7/F7</f>
        <v>#DIV/0!</v>
      </c>
      <c r="AB7" s="713" t="e">
        <f>D7/H7</f>
        <v>#DIV/0!</v>
      </c>
      <c r="AC7" s="713" t="e">
        <f>D7/J7</f>
        <v>#DIV/0!</v>
      </c>
    </row>
    <row r="8" spans="1:29" s="113" customFormat="1" ht="1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50" t="s">
        <v>2374</v>
      </c>
      <c r="Q8" s="3351"/>
      <c r="R8" s="710" t="s">
        <v>17</v>
      </c>
      <c r="S8" s="711">
        <f t="shared" si="0"/>
        <v>0</v>
      </c>
      <c r="T8" s="710" t="s">
        <v>17</v>
      </c>
      <c r="U8" s="711">
        <f t="shared" si="1"/>
        <v>0</v>
      </c>
      <c r="V8" s="710" t="s">
        <v>17</v>
      </c>
      <c r="W8" s="711">
        <f t="shared" si="2"/>
        <v>0</v>
      </c>
      <c r="X8" s="712"/>
      <c r="Y8" s="3350" t="s">
        <v>2374</v>
      </c>
      <c r="Z8" s="3351"/>
      <c r="AA8" s="713" t="e">
        <f t="shared" ref="AA8:AA36" si="3">D8/F8</f>
        <v>#DIV/0!</v>
      </c>
      <c r="AB8" s="713" t="e">
        <f t="shared" ref="AB8:AB36" si="4">D8/H8</f>
        <v>#DIV/0!</v>
      </c>
      <c r="AC8" s="713" t="e">
        <f t="shared" ref="AC8:AC36" si="5">D8/J8</f>
        <v>#DIV/0!</v>
      </c>
    </row>
    <row r="9" spans="1:29" s="113" customFormat="1" ht="14.4">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14" t="s">
        <v>2377</v>
      </c>
      <c r="Q9" s="1529" t="str">
        <f t="shared" ref="Q9:Q14" si="6">B9</f>
        <v>用途</v>
      </c>
      <c r="R9" s="710" t="s">
        <v>17</v>
      </c>
      <c r="S9" s="711">
        <f t="shared" si="0"/>
        <v>100</v>
      </c>
      <c r="T9" s="710" t="s">
        <v>17</v>
      </c>
      <c r="U9" s="711">
        <f t="shared" si="1"/>
        <v>100</v>
      </c>
      <c r="V9" s="710" t="s">
        <v>17</v>
      </c>
      <c r="W9" s="711">
        <f t="shared" si="2"/>
        <v>100</v>
      </c>
      <c r="X9" s="712"/>
      <c r="Y9" s="3184" t="s">
        <v>2378</v>
      </c>
      <c r="Z9" s="55" t="str">
        <f t="shared" ref="Z9:Z14" si="7">Q9</f>
        <v>用途</v>
      </c>
      <c r="AA9" s="713">
        <f t="shared" si="3"/>
        <v>1</v>
      </c>
      <c r="AB9" s="713">
        <f t="shared" si="4"/>
        <v>1</v>
      </c>
      <c r="AC9" s="713">
        <f t="shared" si="5"/>
        <v>1</v>
      </c>
    </row>
    <row r="10" spans="1:29" s="386" customFormat="1" ht="28.8">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14"/>
      <c r="Q10" s="1529" t="str">
        <f t="shared" si="6"/>
        <v>土地使用年限（年）</v>
      </c>
      <c r="R10" s="710" t="s">
        <v>17</v>
      </c>
      <c r="S10" s="711">
        <f t="shared" si="0"/>
        <v>100</v>
      </c>
      <c r="T10" s="710" t="s">
        <v>17</v>
      </c>
      <c r="U10" s="711">
        <f t="shared" si="1"/>
        <v>100</v>
      </c>
      <c r="V10" s="710" t="s">
        <v>17</v>
      </c>
      <c r="W10" s="711">
        <f t="shared" si="2"/>
        <v>100</v>
      </c>
      <c r="X10" s="712"/>
      <c r="Y10" s="318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14"/>
      <c r="Q11" s="1529">
        <f t="shared" si="6"/>
        <v>111</v>
      </c>
      <c r="R11" s="710" t="s">
        <v>17</v>
      </c>
      <c r="S11" s="711">
        <f t="shared" si="0"/>
        <v>100</v>
      </c>
      <c r="T11" s="710" t="s">
        <v>17</v>
      </c>
      <c r="U11" s="711">
        <f t="shared" si="1"/>
        <v>100</v>
      </c>
      <c r="V11" s="710" t="s">
        <v>17</v>
      </c>
      <c r="W11" s="711">
        <f t="shared" si="2"/>
        <v>100</v>
      </c>
      <c r="X11" s="712"/>
      <c r="Y11" s="318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14"/>
      <c r="Q12" s="1529">
        <f t="shared" si="6"/>
        <v>111</v>
      </c>
      <c r="R12" s="710" t="s">
        <v>17</v>
      </c>
      <c r="S12" s="711">
        <f t="shared" si="0"/>
        <v>100</v>
      </c>
      <c r="T12" s="710" t="s">
        <v>17</v>
      </c>
      <c r="U12" s="711">
        <f t="shared" si="1"/>
        <v>100</v>
      </c>
      <c r="V12" s="710" t="s">
        <v>17</v>
      </c>
      <c r="W12" s="711">
        <f t="shared" si="2"/>
        <v>100</v>
      </c>
      <c r="X12" s="712"/>
      <c r="Y12" s="3184"/>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14"/>
      <c r="Q13" s="1529">
        <f t="shared" si="6"/>
        <v>111</v>
      </c>
      <c r="R13" s="710" t="s">
        <v>17</v>
      </c>
      <c r="S13" s="711">
        <f t="shared" si="0"/>
        <v>100</v>
      </c>
      <c r="T13" s="710" t="s">
        <v>17</v>
      </c>
      <c r="U13" s="711">
        <f t="shared" si="1"/>
        <v>100</v>
      </c>
      <c r="V13" s="710" t="s">
        <v>17</v>
      </c>
      <c r="W13" s="711">
        <f t="shared" si="2"/>
        <v>100</v>
      </c>
      <c r="X13" s="712"/>
      <c r="Y13" s="3184"/>
      <c r="Z13" s="55">
        <f t="shared" si="7"/>
        <v>111</v>
      </c>
      <c r="AA13" s="713">
        <f t="shared" si="3"/>
        <v>1</v>
      </c>
      <c r="AB13" s="713">
        <f t="shared" si="4"/>
        <v>1</v>
      </c>
      <c r="AC13" s="713">
        <f t="shared" si="5"/>
        <v>1</v>
      </c>
    </row>
    <row r="14" spans="1:29" ht="96.6">
      <c r="A14" s="361" t="s">
        <v>2381</v>
      </c>
      <c r="B14" s="585" t="s">
        <v>2531</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16" t="s">
        <v>2382</v>
      </c>
      <c r="Q14" s="1538" t="str">
        <f t="shared" si="6"/>
        <v>交通便捷度</v>
      </c>
      <c r="R14" s="714" t="s">
        <v>17</v>
      </c>
      <c r="S14" s="715">
        <f t="shared" si="0"/>
        <v>100</v>
      </c>
      <c r="T14" s="714" t="s">
        <v>17</v>
      </c>
      <c r="U14" s="715">
        <f t="shared" si="1"/>
        <v>100</v>
      </c>
      <c r="V14" s="714" t="s">
        <v>17</v>
      </c>
      <c r="W14" s="715">
        <f t="shared" si="2"/>
        <v>100</v>
      </c>
      <c r="X14" s="1541"/>
      <c r="Y14" s="3316"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0"/>
      <c r="M15" s="2944"/>
      <c r="N15" s="2944"/>
      <c r="O15" s="2944"/>
      <c r="P15" s="3317"/>
      <c r="Q15" s="1538"/>
      <c r="R15" s="714"/>
      <c r="S15" s="715"/>
      <c r="T15" s="714"/>
      <c r="U15" s="715"/>
      <c r="V15" s="714"/>
      <c r="W15" s="715"/>
      <c r="X15" s="1541"/>
      <c r="Y15" s="3317"/>
      <c r="Z15" s="1542"/>
      <c r="AA15" s="1539">
        <v>1</v>
      </c>
      <c r="AB15" s="1539">
        <v>1</v>
      </c>
      <c r="AC15" s="1539">
        <v>1</v>
      </c>
    </row>
    <row r="16" spans="1:29" ht="41.4">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17"/>
      <c r="Q16" s="1538" t="str">
        <f>B16</f>
        <v>公共配套设施</v>
      </c>
      <c r="R16" s="714" t="s">
        <v>17</v>
      </c>
      <c r="S16" s="715">
        <f>F16</f>
        <v>100</v>
      </c>
      <c r="T16" s="714" t="s">
        <v>17</v>
      </c>
      <c r="U16" s="715">
        <f>H16</f>
        <v>100</v>
      </c>
      <c r="V16" s="714" t="s">
        <v>17</v>
      </c>
      <c r="W16" s="715">
        <f>J16</f>
        <v>100</v>
      </c>
      <c r="X16" s="1541"/>
      <c r="Y16" s="3317"/>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0"/>
      <c r="M17" s="2944"/>
      <c r="N17" s="2944"/>
      <c r="O17" s="2944"/>
      <c r="P17" s="3317"/>
      <c r="Q17" s="1538"/>
      <c r="R17" s="714"/>
      <c r="S17" s="715"/>
      <c r="T17" s="714"/>
      <c r="U17" s="715"/>
      <c r="V17" s="714"/>
      <c r="W17" s="715"/>
      <c r="X17" s="1541"/>
      <c r="Y17" s="3317"/>
      <c r="Z17" s="1542"/>
      <c r="AA17" s="1539">
        <v>1</v>
      </c>
      <c r="AB17" s="1539">
        <v>1</v>
      </c>
      <c r="AC17" s="1539">
        <v>1</v>
      </c>
    </row>
    <row r="18" spans="1:29" ht="41.4">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17"/>
      <c r="Q18" s="1538" t="str">
        <f>B18</f>
        <v>基础设施水平</v>
      </c>
      <c r="R18" s="714" t="s">
        <v>17</v>
      </c>
      <c r="S18" s="715">
        <f>F18</f>
        <v>100</v>
      </c>
      <c r="T18" s="714" t="s">
        <v>17</v>
      </c>
      <c r="U18" s="715">
        <f>H18</f>
        <v>100</v>
      </c>
      <c r="V18" s="714" t="s">
        <v>17</v>
      </c>
      <c r="W18" s="715">
        <f>J18</f>
        <v>100</v>
      </c>
      <c r="X18" s="1541"/>
      <c r="Y18" s="3317"/>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0"/>
      <c r="M19" s="2944"/>
      <c r="N19" s="2944"/>
      <c r="O19" s="2944"/>
      <c r="P19" s="3317"/>
      <c r="Q19" s="1538"/>
      <c r="R19" s="714"/>
      <c r="S19" s="715"/>
      <c r="T19" s="714"/>
      <c r="U19" s="715"/>
      <c r="V19" s="714"/>
      <c r="W19" s="715"/>
      <c r="X19" s="1541"/>
      <c r="Y19" s="3317"/>
      <c r="Z19" s="1542"/>
      <c r="AA19" s="1539">
        <v>1</v>
      </c>
      <c r="AB19" s="1539">
        <v>1</v>
      </c>
      <c r="AC19" s="1539">
        <v>1</v>
      </c>
    </row>
    <row r="20" spans="1:29" ht="55.2">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17"/>
      <c r="Q20" s="1538" t="str">
        <f>B20</f>
        <v>自然及人文环境</v>
      </c>
      <c r="R20" s="714" t="s">
        <v>17</v>
      </c>
      <c r="S20" s="715">
        <f>F20</f>
        <v>100</v>
      </c>
      <c r="T20" s="714" t="s">
        <v>17</v>
      </c>
      <c r="U20" s="715">
        <f>H20</f>
        <v>100</v>
      </c>
      <c r="V20" s="714" t="s">
        <v>17</v>
      </c>
      <c r="W20" s="715">
        <f>J20</f>
        <v>100</v>
      </c>
      <c r="X20" s="1541"/>
      <c r="Y20" s="3317"/>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0"/>
      <c r="M21" s="2944"/>
      <c r="N21" s="2944"/>
      <c r="O21" s="2944"/>
      <c r="P21" s="3317"/>
      <c r="Q21" s="1538"/>
      <c r="R21" s="714"/>
      <c r="S21" s="715"/>
      <c r="T21" s="714"/>
      <c r="U21" s="715"/>
      <c r="V21" s="714"/>
      <c r="W21" s="715"/>
      <c r="X21" s="1541"/>
      <c r="Y21" s="3317"/>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17"/>
      <c r="Q22" s="1538" t="str">
        <f>B22</f>
        <v>楼层</v>
      </c>
      <c r="R22" s="714" t="s">
        <v>17</v>
      </c>
      <c r="S22" s="715">
        <f>F22</f>
        <v>100</v>
      </c>
      <c r="T22" s="714" t="s">
        <v>17</v>
      </c>
      <c r="U22" s="715">
        <f>H22</f>
        <v>100</v>
      </c>
      <c r="V22" s="714" t="s">
        <v>17</v>
      </c>
      <c r="W22" s="715">
        <f>J22</f>
        <v>100</v>
      </c>
      <c r="X22" s="1541"/>
      <c r="Y22" s="3317"/>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17"/>
      <c r="Q23" s="1538">
        <f>B23</f>
        <v>111</v>
      </c>
      <c r="R23" s="714" t="s">
        <v>17</v>
      </c>
      <c r="S23" s="715">
        <f>F23</f>
        <v>100</v>
      </c>
      <c r="T23" s="714" t="s">
        <v>17</v>
      </c>
      <c r="U23" s="715">
        <f>H23</f>
        <v>100</v>
      </c>
      <c r="V23" s="714" t="s">
        <v>17</v>
      </c>
      <c r="W23" s="715">
        <f>J23</f>
        <v>100</v>
      </c>
      <c r="X23" s="1541"/>
      <c r="Y23" s="3317"/>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17"/>
      <c r="Q24" s="1538">
        <f t="shared" ref="Q24:Q36" si="11">B24</f>
        <v>111</v>
      </c>
      <c r="R24" s="714" t="s">
        <v>17</v>
      </c>
      <c r="S24" s="715">
        <f>F24</f>
        <v>100</v>
      </c>
      <c r="T24" s="714" t="s">
        <v>17</v>
      </c>
      <c r="U24" s="715">
        <f>H24</f>
        <v>100</v>
      </c>
      <c r="V24" s="714" t="s">
        <v>17</v>
      </c>
      <c r="W24" s="715">
        <f>J24</f>
        <v>100</v>
      </c>
      <c r="X24" s="1541"/>
      <c r="Y24" s="3317"/>
      <c r="Z24" s="1542">
        <f>Q24</f>
        <v>111</v>
      </c>
      <c r="AA24" s="1539">
        <f t="shared" si="3"/>
        <v>1</v>
      </c>
      <c r="AB24" s="1539">
        <f t="shared" si="4"/>
        <v>1</v>
      </c>
      <c r="AC24" s="1539">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17"/>
      <c r="Q25" s="1529">
        <f t="shared" si="11"/>
        <v>111</v>
      </c>
      <c r="R25" s="710" t="s">
        <v>17</v>
      </c>
      <c r="S25" s="711">
        <f>F25</f>
        <v>100</v>
      </c>
      <c r="T25" s="710" t="s">
        <v>17</v>
      </c>
      <c r="U25" s="711">
        <f>H25</f>
        <v>100</v>
      </c>
      <c r="V25" s="710" t="s">
        <v>17</v>
      </c>
      <c r="W25" s="711">
        <f>J25</f>
        <v>100</v>
      </c>
      <c r="X25" s="712"/>
      <c r="Y25" s="3317"/>
      <c r="Z25" s="55">
        <f>Q25</f>
        <v>111</v>
      </c>
      <c r="AA25" s="1539">
        <f>D25/F25</f>
        <v>1</v>
      </c>
      <c r="AB25" s="1539">
        <f>D25/H25</f>
        <v>1</v>
      </c>
      <c r="AC25" s="1539">
        <f>D25/J25</f>
        <v>1</v>
      </c>
    </row>
    <row r="26" spans="1:29" ht="30">
      <c r="A26" s="608" t="s">
        <v>2385</v>
      </c>
      <c r="B26" s="66" t="s">
        <v>2534</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78"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21"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21"/>
      <c r="Q27" s="716" t="str">
        <f t="shared" si="11"/>
        <v>项目停车位配比</v>
      </c>
      <c r="R27" s="717" t="s">
        <v>17</v>
      </c>
      <c r="S27" s="718">
        <f t="shared" si="12"/>
        <v>100</v>
      </c>
      <c r="T27" s="717" t="s">
        <v>17</v>
      </c>
      <c r="U27" s="718">
        <f t="shared" si="13"/>
        <v>100</v>
      </c>
      <c r="V27" s="717" t="s">
        <v>17</v>
      </c>
      <c r="W27" s="718">
        <f t="shared" si="14"/>
        <v>100</v>
      </c>
      <c r="X27" s="719"/>
      <c r="Y27" s="3321"/>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21"/>
      <c r="Q28" s="1538" t="str">
        <f t="shared" si="11"/>
        <v>公共部分装修</v>
      </c>
      <c r="R28" s="714" t="s">
        <v>17</v>
      </c>
      <c r="S28" s="715">
        <f t="shared" si="12"/>
        <v>100</v>
      </c>
      <c r="T28" s="714" t="s">
        <v>17</v>
      </c>
      <c r="U28" s="715">
        <f t="shared" si="13"/>
        <v>100</v>
      </c>
      <c r="V28" s="714" t="s">
        <v>17</v>
      </c>
      <c r="W28" s="715">
        <f t="shared" si="14"/>
        <v>100</v>
      </c>
      <c r="X28" s="1541"/>
      <c r="Y28" s="3321"/>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21"/>
      <c r="Q29" s="1538" t="str">
        <f t="shared" si="11"/>
        <v>成新率</v>
      </c>
      <c r="R29" s="714" t="s">
        <v>17</v>
      </c>
      <c r="S29" s="715" t="e">
        <f t="shared" si="12"/>
        <v>#N/A</v>
      </c>
      <c r="T29" s="714" t="s">
        <v>17</v>
      </c>
      <c r="U29" s="715" t="e">
        <f t="shared" si="13"/>
        <v>#N/A</v>
      </c>
      <c r="V29" s="714" t="s">
        <v>17</v>
      </c>
      <c r="W29" s="715" t="e">
        <f t="shared" si="14"/>
        <v>#N/A</v>
      </c>
      <c r="X29" s="1541"/>
      <c r="Y29" s="3321"/>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21"/>
      <c r="Q30" s="1538" t="str">
        <f t="shared" si="11"/>
        <v>物业等级</v>
      </c>
      <c r="R30" s="714" t="s">
        <v>17</v>
      </c>
      <c r="S30" s="715">
        <f t="shared" si="12"/>
        <v>100</v>
      </c>
      <c r="T30" s="714" t="s">
        <v>17</v>
      </c>
      <c r="U30" s="715">
        <f t="shared" si="13"/>
        <v>100</v>
      </c>
      <c r="V30" s="714" t="s">
        <v>17</v>
      </c>
      <c r="W30" s="715">
        <f t="shared" si="14"/>
        <v>100</v>
      </c>
      <c r="X30" s="1541"/>
      <c r="Y30" s="3321"/>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21"/>
      <c r="Q31" s="1529" t="str">
        <f t="shared" si="11"/>
        <v>停车位面积</v>
      </c>
      <c r="R31" s="710" t="s">
        <v>17</v>
      </c>
      <c r="S31" s="711" t="e">
        <f t="shared" si="12"/>
        <v>#N/A</v>
      </c>
      <c r="T31" s="710" t="s">
        <v>17</v>
      </c>
      <c r="U31" s="711" t="e">
        <f t="shared" si="13"/>
        <v>#N/A</v>
      </c>
      <c r="V31" s="710" t="s">
        <v>17</v>
      </c>
      <c r="W31" s="711" t="e">
        <f t="shared" si="14"/>
        <v>#N/A</v>
      </c>
      <c r="X31" s="712"/>
      <c r="Y31" s="3321"/>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21" t="s">
        <v>2387</v>
      </c>
      <c r="Q32" s="1538" t="str">
        <f t="shared" si="11"/>
        <v>车位类型</v>
      </c>
      <c r="R32" s="714" t="s">
        <v>17</v>
      </c>
      <c r="S32" s="715">
        <f t="shared" si="12"/>
        <v>100</v>
      </c>
      <c r="T32" s="714" t="s">
        <v>17</v>
      </c>
      <c r="U32" s="715">
        <f t="shared" si="13"/>
        <v>100</v>
      </c>
      <c r="V32" s="714" t="s">
        <v>17</v>
      </c>
      <c r="W32" s="715">
        <f t="shared" si="14"/>
        <v>100</v>
      </c>
      <c r="X32" s="1541"/>
      <c r="Y32" s="3321"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21"/>
      <c r="Q33" s="1538" t="str">
        <f t="shared" si="11"/>
        <v>是否直接入户</v>
      </c>
      <c r="R33" s="714" t="s">
        <v>17</v>
      </c>
      <c r="S33" s="715">
        <f t="shared" si="12"/>
        <v>100</v>
      </c>
      <c r="T33" s="714" t="s">
        <v>17</v>
      </c>
      <c r="U33" s="715">
        <f t="shared" si="13"/>
        <v>100</v>
      </c>
      <c r="V33" s="714" t="s">
        <v>17</v>
      </c>
      <c r="W33" s="715">
        <f t="shared" si="14"/>
        <v>100</v>
      </c>
      <c r="X33" s="1541"/>
      <c r="Y33" s="3321"/>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21"/>
      <c r="Q34" s="1538">
        <f t="shared" si="11"/>
        <v>111</v>
      </c>
      <c r="R34" s="714" t="s">
        <v>17</v>
      </c>
      <c r="S34" s="715">
        <f t="shared" si="12"/>
        <v>100</v>
      </c>
      <c r="T34" s="714" t="s">
        <v>17</v>
      </c>
      <c r="U34" s="715">
        <f t="shared" si="13"/>
        <v>100</v>
      </c>
      <c r="V34" s="714" t="s">
        <v>17</v>
      </c>
      <c r="W34" s="715">
        <f t="shared" si="14"/>
        <v>100</v>
      </c>
      <c r="X34" s="1541"/>
      <c r="Y34" s="3321"/>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21"/>
      <c r="Q35" s="716">
        <f t="shared" si="11"/>
        <v>111</v>
      </c>
      <c r="R35" s="717" t="s">
        <v>17</v>
      </c>
      <c r="S35" s="718">
        <f t="shared" si="12"/>
        <v>100</v>
      </c>
      <c r="T35" s="717" t="s">
        <v>17</v>
      </c>
      <c r="U35" s="718">
        <f t="shared" si="13"/>
        <v>100</v>
      </c>
      <c r="V35" s="717" t="s">
        <v>17</v>
      </c>
      <c r="W35" s="718">
        <f t="shared" si="14"/>
        <v>100</v>
      </c>
      <c r="X35" s="719"/>
      <c r="Y35" s="3321"/>
      <c r="Z35" s="720">
        <f t="shared" si="15"/>
        <v>111</v>
      </c>
      <c r="AA35" s="1539">
        <f t="shared" si="3"/>
        <v>1</v>
      </c>
      <c r="AB35" s="1539">
        <f t="shared" si="4"/>
        <v>1</v>
      </c>
      <c r="AC35" s="1539">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21"/>
      <c r="Q36" s="1538">
        <f t="shared" si="11"/>
        <v>111</v>
      </c>
      <c r="R36" s="714" t="s">
        <v>17</v>
      </c>
      <c r="S36" s="715">
        <f t="shared" si="12"/>
        <v>100</v>
      </c>
      <c r="T36" s="714" t="s">
        <v>17</v>
      </c>
      <c r="U36" s="715">
        <f t="shared" si="13"/>
        <v>100</v>
      </c>
      <c r="V36" s="714" t="s">
        <v>17</v>
      </c>
      <c r="W36" s="715">
        <f t="shared" si="14"/>
        <v>100</v>
      </c>
      <c r="X36" s="1541"/>
      <c r="Y36" s="3321"/>
      <c r="Z36" s="1542">
        <f t="shared" si="15"/>
        <v>111</v>
      </c>
      <c r="AA36" s="1539">
        <f t="shared" si="3"/>
        <v>1</v>
      </c>
      <c r="AB36" s="1539">
        <f t="shared" si="4"/>
        <v>1</v>
      </c>
      <c r="AC36" s="1539">
        <f t="shared" si="5"/>
        <v>1</v>
      </c>
    </row>
    <row r="37" spans="1:29" ht="14.4">
      <c r="A37" s="438" t="s">
        <v>2542</v>
      </c>
      <c r="B37" s="2160" t="s">
        <v>2543</v>
      </c>
      <c r="C37" s="1316" t="s">
        <v>1</v>
      </c>
      <c r="D37" s="1317"/>
      <c r="E37" s="1318"/>
      <c r="F37" s="1319"/>
      <c r="G37" s="1320"/>
      <c r="H37" s="1321"/>
      <c r="I37" s="1318"/>
      <c r="J37" s="1321"/>
      <c r="K37" s="576"/>
      <c r="L37" s="2952"/>
      <c r="M37" s="2953"/>
      <c r="N37" s="2944"/>
      <c r="O37" s="2953"/>
      <c r="P37" s="3314" t="str">
        <f>A37</f>
        <v>成交单价</v>
      </c>
      <c r="Q37" s="3314"/>
      <c r="R37" s="3315">
        <f>E37</f>
        <v>0</v>
      </c>
      <c r="S37" s="3315"/>
      <c r="T37" s="3315">
        <f>G37</f>
        <v>0</v>
      </c>
      <c r="U37" s="3315"/>
      <c r="V37" s="3315">
        <f>I37</f>
        <v>0</v>
      </c>
      <c r="W37" s="3315"/>
      <c r="X37" s="699"/>
      <c r="Y37" s="721"/>
      <c r="Z37" s="699"/>
      <c r="AA37" s="699"/>
      <c r="AB37" s="699"/>
      <c r="AC37" s="699"/>
    </row>
    <row r="38" spans="1:29" ht="15" thickBot="1">
      <c r="A38" s="445" t="s">
        <v>2544</v>
      </c>
      <c r="B38" s="446" t="str">
        <f>B37</f>
        <v>元/车位</v>
      </c>
      <c r="C38" s="1322" t="e">
        <f>R39</f>
        <v>#DIV/0!</v>
      </c>
      <c r="D38" s="2539" t="s">
        <v>2879</v>
      </c>
      <c r="E38" s="1323" t="e">
        <f>R38</f>
        <v>#DIV/0!</v>
      </c>
      <c r="F38" s="2540"/>
      <c r="G38" s="1322" t="e">
        <f>T38</f>
        <v>#DIV/0!</v>
      </c>
      <c r="H38" s="2540"/>
      <c r="I38" s="1323" t="e">
        <f>V38</f>
        <v>#DIV/0!</v>
      </c>
      <c r="J38" s="2540"/>
      <c r="K38" s="2542">
        <f>F38+H38+J38</f>
        <v>0</v>
      </c>
      <c r="L38" s="2952"/>
      <c r="M38" s="2953"/>
      <c r="N38" s="2953"/>
      <c r="O38" s="2953"/>
      <c r="P38" s="3314" t="str">
        <f>A38</f>
        <v>比较价值（元/平方米）</v>
      </c>
      <c r="Q38" s="3314"/>
      <c r="R38" s="3315" t="e">
        <f>IF(F1="售价",ROUND(PRODUCT(R37,AA7:AA36),0),ROUND(PRODUCT(R37,AA7:AA36),1))</f>
        <v>#DIV/0!</v>
      </c>
      <c r="S38" s="3315"/>
      <c r="T38" s="3315" t="e">
        <f>IF(F1="售价",ROUND(PRODUCT(T37,AB7:AB36),0),ROUND(PRODUCT(T37,AB7:AB36),1))</f>
        <v>#DIV/0!</v>
      </c>
      <c r="U38" s="3315"/>
      <c r="V38" s="3315" t="e">
        <f>IF(F1="售价",ROUND(PRODUCT(V37,AC7:AC36),0),ROUND(PRODUCT(V37,AC7:AC36),1))</f>
        <v>#DIV/0!</v>
      </c>
      <c r="W38" s="3315"/>
      <c r="X38" s="699"/>
      <c r="Y38" s="699"/>
      <c r="Z38" s="699"/>
      <c r="AA38" s="699"/>
      <c r="AB38" s="699"/>
      <c r="AC38" s="699"/>
    </row>
    <row r="39" spans="1:29" ht="15" thickBot="1">
      <c r="A39" s="449" t="s">
        <v>2545</v>
      </c>
      <c r="B39" s="450"/>
      <c r="C39" s="1325" t="e">
        <f>R39</f>
        <v>#DIV/0!</v>
      </c>
      <c r="D39" s="1325"/>
      <c r="E39" s="1325"/>
      <c r="F39" s="1325"/>
      <c r="G39" s="1325"/>
      <c r="H39" s="1325"/>
      <c r="I39" s="1325"/>
      <c r="J39" s="1325"/>
      <c r="K39" s="577"/>
      <c r="L39" s="2952"/>
      <c r="M39" s="2953"/>
      <c r="N39" s="2953"/>
      <c r="O39" s="2953"/>
      <c r="P39" s="3311" t="str">
        <f>A39</f>
        <v>估价对象XX用房的比较价值（楼面单价，元/平方米）</v>
      </c>
      <c r="Q39" s="3312"/>
      <c r="R39" s="3379" t="e">
        <f>IF(F1="售价",ROUND(IF(D38="简单平均",AVERAGE(R38:W38),R38*F38+T38*H38+V38*J38),0),ROUND(IF(D38="简单平均",AVERAGE(R38:V38),R38*F38+T38*H38+V38*J38),1))</f>
        <v>#DIV/0!</v>
      </c>
      <c r="S39" s="3379"/>
      <c r="T39" s="3379"/>
      <c r="U39" s="3379"/>
      <c r="V39" s="3379"/>
      <c r="W39" s="3379"/>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2.2" thickBot="1">
      <c r="A47" s="1328" t="s">
        <v>2549</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4.4">
      <c r="A48" s="462" t="s">
        <v>2550</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87"/>
      <c r="Q48" s="2969"/>
      <c r="R48" s="2969"/>
      <c r="S48" s="2969"/>
      <c r="T48" s="2969"/>
      <c r="U48" s="2969"/>
      <c r="V48" s="2969"/>
      <c r="W48" s="2969"/>
      <c r="X48" s="2969"/>
      <c r="Y48" s="2969"/>
      <c r="Z48" s="2969"/>
      <c r="AA48" s="2969"/>
      <c r="AB48" s="2969"/>
      <c r="AC48" s="2969"/>
    </row>
    <row r="49" spans="1:29" s="113" customFormat="1">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 thickBot="1">
      <c r="A50" s="472" t="s">
        <v>2407</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4.4">
      <c r="A51" s="478" t="s">
        <v>2372</v>
      </c>
      <c r="B51" s="467"/>
      <c r="C51" s="479" t="s">
        <v>2474</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4.4"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ht="14.4">
      <c r="A53" s="484" t="s">
        <v>2410</v>
      </c>
      <c r="B53" s="485" t="s">
        <v>2376</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4.4"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9.4" thickTop="1">
      <c r="A55" s="491"/>
      <c r="B55" s="495" t="s">
        <v>2379</v>
      </c>
      <c r="C55" s="496" t="s">
        <v>2411</v>
      </c>
      <c r="D55" s="496" t="s">
        <v>2412</v>
      </c>
      <c r="E55" s="496" t="s">
        <v>2413</v>
      </c>
      <c r="F55" s="496" t="s">
        <v>2414</v>
      </c>
      <c r="G55" s="496" t="s">
        <v>2415</v>
      </c>
      <c r="H55" s="496" t="s">
        <v>2416</v>
      </c>
      <c r="I55" s="496" t="s">
        <v>2417</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4.4"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4.4"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4.4"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4.4"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4.4"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4.4"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 thickTop="1">
      <c r="A65" s="491"/>
      <c r="B65" s="495" t="s">
        <v>2425</v>
      </c>
      <c r="C65" s="535" t="s">
        <v>2419</v>
      </c>
      <c r="D65" s="535" t="s">
        <v>2420</v>
      </c>
      <c r="E65" s="535" t="s">
        <v>2421</v>
      </c>
      <c r="F65" s="535" t="s">
        <v>2422</v>
      </c>
      <c r="G65" s="535" t="s">
        <v>2423</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 thickTop="1">
      <c r="A67" s="491"/>
      <c r="B67" s="503" t="s">
        <v>2511</v>
      </c>
      <c r="C67" s="616" t="s">
        <v>2497</v>
      </c>
      <c r="D67" s="616" t="s">
        <v>2498</v>
      </c>
      <c r="E67" s="616" t="s">
        <v>2499</v>
      </c>
      <c r="F67" s="616" t="s">
        <v>2500</v>
      </c>
      <c r="G67" s="616" t="s">
        <v>2501</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 thickTop="1">
      <c r="A69" s="491"/>
      <c r="B69" s="495" t="s">
        <v>2431</v>
      </c>
      <c r="C69" s="535" t="s">
        <v>2419</v>
      </c>
      <c r="D69" s="535" t="s">
        <v>2420</v>
      </c>
      <c r="E69" s="535" t="s">
        <v>2421</v>
      </c>
      <c r="F69" s="535" t="s">
        <v>2422</v>
      </c>
      <c r="G69" s="535" t="s">
        <v>2423</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 thickTop="1">
      <c r="A71" s="491"/>
      <c r="B71" s="495" t="s">
        <v>2551</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4.4"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4.4"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4.4"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4.4"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4.4"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4.4"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9.4" thickTop="1">
      <c r="A79" s="484" t="s">
        <v>2385</v>
      </c>
      <c r="B79" s="485" t="s">
        <v>2552</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 thickTop="1">
      <c r="A81" s="491"/>
      <c r="B81" s="495" t="s">
        <v>2553</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4.4"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2438</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2555</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4.4"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2557</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2558</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4.4"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4.4"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4.4"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4.4"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4.4"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4.4"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4.4"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4.4">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39" t="s">
        <v>2469</v>
      </c>
      <c r="S4" s="3340"/>
      <c r="T4" s="3339" t="s">
        <v>2470</v>
      </c>
      <c r="U4" s="3340"/>
      <c r="V4" s="3345" t="s">
        <v>2471</v>
      </c>
      <c r="W4" s="3345"/>
      <c r="X4" s="1541"/>
      <c r="Y4" s="3339" t="s">
        <v>2473</v>
      </c>
      <c r="Z4" s="3340"/>
      <c r="AA4" s="3326" t="s">
        <v>2469</v>
      </c>
      <c r="AB4" s="3327" t="s">
        <v>2470</v>
      </c>
      <c r="AC4" s="3326" t="s">
        <v>2471</v>
      </c>
    </row>
    <row r="5" spans="1:29">
      <c r="A5" s="364"/>
      <c r="B5" s="365"/>
      <c r="C5" s="3348" t="s">
        <v>2364</v>
      </c>
      <c r="D5" s="3349"/>
      <c r="E5" s="3355" t="s">
        <v>2365</v>
      </c>
      <c r="F5" s="3356"/>
      <c r="G5" s="3348" t="s">
        <v>2366</v>
      </c>
      <c r="H5" s="3349"/>
      <c r="I5" s="3348" t="s">
        <v>2367</v>
      </c>
      <c r="J5" s="3349"/>
      <c r="K5" s="567"/>
      <c r="L5" s="2943"/>
      <c r="M5" s="2944"/>
      <c r="N5" s="2944"/>
      <c r="O5" s="2944"/>
      <c r="P5" s="3335"/>
      <c r="Q5" s="3336"/>
      <c r="R5" s="3341"/>
      <c r="S5" s="3342"/>
      <c r="T5" s="3341"/>
      <c r="U5" s="3342"/>
      <c r="V5" s="3345"/>
      <c r="W5" s="3345"/>
      <c r="X5" s="1541"/>
      <c r="Y5" s="3341"/>
      <c r="Z5" s="3342"/>
      <c r="AA5" s="3327"/>
      <c r="AB5" s="3327"/>
      <c r="AC5" s="3327"/>
    </row>
    <row r="6" spans="1:29" ht="15" thickBot="1">
      <c r="A6" s="366"/>
      <c r="B6" s="367"/>
      <c r="C6" s="3346" t="s">
        <v>2368</v>
      </c>
      <c r="D6" s="3347"/>
      <c r="E6" s="3353" t="s">
        <v>2368</v>
      </c>
      <c r="F6" s="3354"/>
      <c r="G6" s="3346" t="s">
        <v>2368</v>
      </c>
      <c r="H6" s="3347"/>
      <c r="I6" s="3346" t="s">
        <v>2368</v>
      </c>
      <c r="J6" s="3347"/>
      <c r="K6" s="567" t="s">
        <v>2369</v>
      </c>
      <c r="L6" s="2943"/>
      <c r="M6" s="2944"/>
      <c r="N6" s="2944"/>
      <c r="O6" s="2944"/>
      <c r="P6" s="3337"/>
      <c r="Q6" s="3338"/>
      <c r="R6" s="3341"/>
      <c r="S6" s="3342"/>
      <c r="T6" s="3343"/>
      <c r="U6" s="3344"/>
      <c r="V6" s="3345"/>
      <c r="W6" s="3345"/>
      <c r="X6" s="1541"/>
      <c r="Y6" s="3343"/>
      <c r="Z6" s="3344"/>
      <c r="AA6" s="3328"/>
      <c r="AB6" s="3328"/>
      <c r="AC6" s="3328"/>
    </row>
    <row r="7" spans="1:29" s="113" customFormat="1" ht="15" thickBot="1">
      <c r="A7" s="368" t="s">
        <v>2370</v>
      </c>
      <c r="B7" s="369"/>
      <c r="C7" s="370">
        <f>'数据-取费表'!B2</f>
        <v>44209</v>
      </c>
      <c r="D7" s="371">
        <v>100</v>
      </c>
      <c r="E7" s="372"/>
      <c r="F7" s="373">
        <f>SUMIF(46:46,YEAR(E7)&amp;"-"&amp;MONTH(E7),47:47)</f>
        <v>0</v>
      </c>
      <c r="G7" s="2161"/>
      <c r="H7" s="371">
        <f>SUMIF(46:46,YEAR(G7)&amp;"-"&amp;MONTH(G7),47:47)</f>
        <v>0</v>
      </c>
      <c r="I7" s="372"/>
      <c r="J7" s="371">
        <f>SUMIF(46:46,YEAR(I7)&amp;"-"&amp;MONTH(I7),47:47)</f>
        <v>0</v>
      </c>
      <c r="K7" s="568"/>
      <c r="L7" s="2945"/>
      <c r="M7" s="2946"/>
      <c r="N7" s="2946"/>
      <c r="O7" s="2946"/>
      <c r="P7" s="3350" t="s">
        <v>2371</v>
      </c>
      <c r="Q7" s="3352"/>
      <c r="R7" s="710" t="s">
        <v>17</v>
      </c>
      <c r="S7" s="711">
        <f t="shared" ref="S7:S14" si="0">F7</f>
        <v>0</v>
      </c>
      <c r="T7" s="710" t="s">
        <v>17</v>
      </c>
      <c r="U7" s="711">
        <f t="shared" ref="U7:U14" si="1">H7</f>
        <v>0</v>
      </c>
      <c r="V7" s="710" t="s">
        <v>17</v>
      </c>
      <c r="W7" s="711">
        <f t="shared" ref="W7:W14" si="2">J7</f>
        <v>0</v>
      </c>
      <c r="X7" s="712"/>
      <c r="Y7" s="3350" t="s">
        <v>2371</v>
      </c>
      <c r="Z7" s="3351"/>
      <c r="AA7" s="713" t="e">
        <f>D7/F7</f>
        <v>#DIV/0!</v>
      </c>
      <c r="AB7" s="713" t="e">
        <f>D7/H7</f>
        <v>#DIV/0!</v>
      </c>
      <c r="AC7" s="713" t="e">
        <f>D7/J7</f>
        <v>#DIV/0!</v>
      </c>
    </row>
    <row r="8" spans="1:29" s="113" customFormat="1" ht="1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50" t="s">
        <v>2374</v>
      </c>
      <c r="Q8" s="3351"/>
      <c r="R8" s="710" t="s">
        <v>17</v>
      </c>
      <c r="S8" s="711">
        <f t="shared" si="0"/>
        <v>0</v>
      </c>
      <c r="T8" s="710" t="s">
        <v>17</v>
      </c>
      <c r="U8" s="711">
        <f t="shared" si="1"/>
        <v>0</v>
      </c>
      <c r="V8" s="710" t="s">
        <v>17</v>
      </c>
      <c r="W8" s="711">
        <f t="shared" si="2"/>
        <v>0</v>
      </c>
      <c r="X8" s="712"/>
      <c r="Y8" s="3350" t="s">
        <v>2374</v>
      </c>
      <c r="Z8" s="3351"/>
      <c r="AA8" s="713" t="e">
        <f t="shared" ref="AA8:AA34" si="3">D8/F8</f>
        <v>#DIV/0!</v>
      </c>
      <c r="AB8" s="713" t="e">
        <f t="shared" ref="AB8:AB34" si="4">D8/H8</f>
        <v>#DIV/0!</v>
      </c>
      <c r="AC8" s="713" t="e">
        <f t="shared" ref="AC8:AC34" si="5">D8/J8</f>
        <v>#DIV/0!</v>
      </c>
    </row>
    <row r="9" spans="1:29" s="113" customFormat="1" ht="14.4">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14" t="s">
        <v>2377</v>
      </c>
      <c r="Q9" s="1529" t="str">
        <f t="shared" ref="Q9:Q14" si="6">B9</f>
        <v>用途</v>
      </c>
      <c r="R9" s="710" t="s">
        <v>17</v>
      </c>
      <c r="S9" s="711">
        <f t="shared" si="0"/>
        <v>100</v>
      </c>
      <c r="T9" s="710" t="s">
        <v>17</v>
      </c>
      <c r="U9" s="711">
        <f t="shared" si="1"/>
        <v>100</v>
      </c>
      <c r="V9" s="710" t="s">
        <v>17</v>
      </c>
      <c r="W9" s="711">
        <f t="shared" si="2"/>
        <v>100</v>
      </c>
      <c r="X9" s="712"/>
      <c r="Y9" s="3184" t="s">
        <v>2378</v>
      </c>
      <c r="Z9" s="55" t="str">
        <f t="shared" ref="Z9:Z14" si="7">Q9</f>
        <v>用途</v>
      </c>
      <c r="AA9" s="713">
        <f t="shared" si="3"/>
        <v>1</v>
      </c>
      <c r="AB9" s="713">
        <f t="shared" si="4"/>
        <v>1</v>
      </c>
      <c r="AC9" s="713">
        <f t="shared" si="5"/>
        <v>1</v>
      </c>
    </row>
    <row r="10" spans="1:29" s="386" customFormat="1" ht="28.8">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14"/>
      <c r="Q10" s="1529" t="str">
        <f t="shared" si="6"/>
        <v>土地使用年限（年）</v>
      </c>
      <c r="R10" s="710" t="s">
        <v>17</v>
      </c>
      <c r="S10" s="711">
        <f t="shared" si="0"/>
        <v>100</v>
      </c>
      <c r="T10" s="710" t="s">
        <v>17</v>
      </c>
      <c r="U10" s="711">
        <f t="shared" si="1"/>
        <v>100</v>
      </c>
      <c r="V10" s="710" t="s">
        <v>17</v>
      </c>
      <c r="W10" s="711">
        <f t="shared" si="2"/>
        <v>100</v>
      </c>
      <c r="X10" s="712"/>
      <c r="Y10" s="3184"/>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14"/>
      <c r="Q11" s="1529">
        <f t="shared" si="6"/>
        <v>111</v>
      </c>
      <c r="R11" s="710" t="s">
        <v>17</v>
      </c>
      <c r="S11" s="711">
        <f t="shared" si="0"/>
        <v>100</v>
      </c>
      <c r="T11" s="710" t="s">
        <v>17</v>
      </c>
      <c r="U11" s="711">
        <f t="shared" si="1"/>
        <v>100</v>
      </c>
      <c r="V11" s="710" t="s">
        <v>17</v>
      </c>
      <c r="W11" s="711">
        <f t="shared" si="2"/>
        <v>100</v>
      </c>
      <c r="X11" s="712"/>
      <c r="Y11" s="3184"/>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14"/>
      <c r="Q12" s="1529">
        <f t="shared" si="6"/>
        <v>111</v>
      </c>
      <c r="R12" s="710" t="s">
        <v>17</v>
      </c>
      <c r="S12" s="711">
        <f t="shared" si="0"/>
        <v>100</v>
      </c>
      <c r="T12" s="710" t="s">
        <v>17</v>
      </c>
      <c r="U12" s="711">
        <f t="shared" si="1"/>
        <v>100</v>
      </c>
      <c r="V12" s="710" t="s">
        <v>17</v>
      </c>
      <c r="W12" s="711">
        <f t="shared" si="2"/>
        <v>100</v>
      </c>
      <c r="X12" s="712"/>
      <c r="Y12" s="3184"/>
      <c r="Z12" s="55">
        <f t="shared" si="7"/>
        <v>111</v>
      </c>
      <c r="AA12" s="713">
        <f>D12/F12</f>
        <v>1</v>
      </c>
      <c r="AB12" s="713">
        <f>D12/H12</f>
        <v>1</v>
      </c>
      <c r="AC12" s="713">
        <f>D12/J12</f>
        <v>1</v>
      </c>
    </row>
    <row r="13" spans="1:29" ht="15.6" thickBot="1">
      <c r="A13" s="387"/>
      <c r="B13" s="2081">
        <v>111</v>
      </c>
      <c r="C13" s="393"/>
      <c r="D13" s="394">
        <v>100</v>
      </c>
      <c r="E13" s="428"/>
      <c r="F13" s="384">
        <f>SUMIF(59:59,E13,60:60)-SUMIF(59:59,C13,60:60)+100</f>
        <v>100</v>
      </c>
      <c r="G13" s="2162"/>
      <c r="H13" s="397">
        <f>SUMIF(59:59,G13,60:60)-SUMIF(59:59,C13,60:60)+100</f>
        <v>100</v>
      </c>
      <c r="I13" s="428"/>
      <c r="J13" s="394">
        <f>SUMIF(59:59,I13,60:60)-SUMIF(59:59,C13,60:60)+100</f>
        <v>100</v>
      </c>
      <c r="K13" s="570"/>
      <c r="L13" s="2950"/>
      <c r="M13" s="2944"/>
      <c r="N13" s="2944"/>
      <c r="O13" s="3002"/>
      <c r="P13" s="3314"/>
      <c r="Q13" s="1529">
        <f t="shared" si="6"/>
        <v>111</v>
      </c>
      <c r="R13" s="710" t="s">
        <v>17</v>
      </c>
      <c r="S13" s="711">
        <f t="shared" si="0"/>
        <v>100</v>
      </c>
      <c r="T13" s="710" t="s">
        <v>17</v>
      </c>
      <c r="U13" s="711">
        <f t="shared" si="1"/>
        <v>100</v>
      </c>
      <c r="V13" s="710" t="s">
        <v>17</v>
      </c>
      <c r="W13" s="711">
        <f t="shared" si="2"/>
        <v>100</v>
      </c>
      <c r="X13" s="712"/>
      <c r="Y13" s="3184"/>
      <c r="Z13" s="55">
        <f t="shared" si="7"/>
        <v>111</v>
      </c>
      <c r="AA13" s="713">
        <f t="shared" si="3"/>
        <v>1</v>
      </c>
      <c r="AB13" s="713">
        <f t="shared" si="4"/>
        <v>1</v>
      </c>
      <c r="AC13" s="713">
        <f t="shared" si="5"/>
        <v>1</v>
      </c>
    </row>
    <row r="14" spans="1:29" ht="96.6">
      <c r="A14" s="399" t="s">
        <v>2381</v>
      </c>
      <c r="B14" s="65" t="s">
        <v>2531</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16" t="s">
        <v>2382</v>
      </c>
      <c r="Q14" s="1538" t="str">
        <f t="shared" si="6"/>
        <v>交通便捷度</v>
      </c>
      <c r="R14" s="714" t="s">
        <v>17</v>
      </c>
      <c r="S14" s="715">
        <f t="shared" si="0"/>
        <v>100</v>
      </c>
      <c r="T14" s="714" t="s">
        <v>17</v>
      </c>
      <c r="U14" s="715">
        <f t="shared" si="1"/>
        <v>100</v>
      </c>
      <c r="V14" s="714" t="s">
        <v>17</v>
      </c>
      <c r="W14" s="715">
        <f t="shared" si="2"/>
        <v>100</v>
      </c>
      <c r="X14" s="1541"/>
      <c r="Y14" s="3316"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0"/>
      <c r="M15" s="2944"/>
      <c r="N15" s="2944"/>
      <c r="O15" s="3002"/>
      <c r="P15" s="3317"/>
      <c r="Q15" s="1538"/>
      <c r="R15" s="714"/>
      <c r="S15" s="715"/>
      <c r="T15" s="714"/>
      <c r="U15" s="715"/>
      <c r="V15" s="714"/>
      <c r="W15" s="715"/>
      <c r="X15" s="1541"/>
      <c r="Y15" s="3317"/>
      <c r="Z15" s="1542"/>
      <c r="AA15" s="1539">
        <v>1</v>
      </c>
      <c r="AB15" s="1539">
        <v>1</v>
      </c>
      <c r="AC15" s="1539">
        <v>1</v>
      </c>
    </row>
    <row r="16" spans="1:29" ht="41.4">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17"/>
      <c r="Q16" s="1538" t="str">
        <f>B16</f>
        <v>公共配套设施</v>
      </c>
      <c r="R16" s="714" t="s">
        <v>17</v>
      </c>
      <c r="S16" s="715">
        <f>F16</f>
        <v>100</v>
      </c>
      <c r="T16" s="714" t="s">
        <v>17</v>
      </c>
      <c r="U16" s="715">
        <f>H16</f>
        <v>100</v>
      </c>
      <c r="V16" s="714" t="s">
        <v>17</v>
      </c>
      <c r="W16" s="715">
        <f>J16</f>
        <v>100</v>
      </c>
      <c r="X16" s="1541"/>
      <c r="Y16" s="3317"/>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0"/>
      <c r="M17" s="2944"/>
      <c r="N17" s="2944"/>
      <c r="O17" s="3002"/>
      <c r="P17" s="3317"/>
      <c r="Q17" s="1538"/>
      <c r="R17" s="714"/>
      <c r="S17" s="715"/>
      <c r="T17" s="714"/>
      <c r="U17" s="715"/>
      <c r="V17" s="714"/>
      <c r="W17" s="715"/>
      <c r="X17" s="1541"/>
      <c r="Y17" s="3317"/>
      <c r="Z17" s="1542"/>
      <c r="AA17" s="1539">
        <v>1</v>
      </c>
      <c r="AB17" s="1539">
        <v>1</v>
      </c>
      <c r="AC17" s="1539">
        <v>1</v>
      </c>
    </row>
    <row r="18" spans="1:29" ht="41.4">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17"/>
      <c r="Q18" s="1538" t="str">
        <f>B18</f>
        <v>基础设施水平</v>
      </c>
      <c r="R18" s="714" t="s">
        <v>17</v>
      </c>
      <c r="S18" s="715">
        <f>F18</f>
        <v>100</v>
      </c>
      <c r="T18" s="714" t="s">
        <v>17</v>
      </c>
      <c r="U18" s="715">
        <f>H18</f>
        <v>100</v>
      </c>
      <c r="V18" s="714" t="s">
        <v>17</v>
      </c>
      <c r="W18" s="715">
        <f>J18</f>
        <v>100</v>
      </c>
      <c r="X18" s="1541"/>
      <c r="Y18" s="3317"/>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0"/>
      <c r="M19" s="2944"/>
      <c r="N19" s="2944"/>
      <c r="O19" s="3002"/>
      <c r="P19" s="3317"/>
      <c r="Q19" s="1538"/>
      <c r="R19" s="714"/>
      <c r="S19" s="715"/>
      <c r="T19" s="714"/>
      <c r="U19" s="715"/>
      <c r="V19" s="714"/>
      <c r="W19" s="715"/>
      <c r="X19" s="1541"/>
      <c r="Y19" s="3317"/>
      <c r="Z19" s="1542"/>
      <c r="AA19" s="1539">
        <v>1</v>
      </c>
      <c r="AB19" s="1539">
        <v>1</v>
      </c>
      <c r="AC19" s="1539">
        <v>1</v>
      </c>
    </row>
    <row r="20" spans="1:29" ht="55.2">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17"/>
      <c r="Q20" s="1538" t="str">
        <f>B20</f>
        <v>自然及人文环境</v>
      </c>
      <c r="R20" s="714" t="s">
        <v>17</v>
      </c>
      <c r="S20" s="715">
        <f>F20</f>
        <v>100</v>
      </c>
      <c r="T20" s="714" t="s">
        <v>17</v>
      </c>
      <c r="U20" s="715">
        <f>H20</f>
        <v>100</v>
      </c>
      <c r="V20" s="714" t="s">
        <v>17</v>
      </c>
      <c r="W20" s="715">
        <f>J20</f>
        <v>100</v>
      </c>
      <c r="X20" s="1541"/>
      <c r="Y20" s="3317"/>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0"/>
      <c r="M21" s="2944"/>
      <c r="N21" s="2944"/>
      <c r="O21" s="3002"/>
      <c r="P21" s="3317"/>
      <c r="Q21" s="1538"/>
      <c r="R21" s="714"/>
      <c r="S21" s="715"/>
      <c r="T21" s="714"/>
      <c r="U21" s="715"/>
      <c r="V21" s="714"/>
      <c r="W21" s="715"/>
      <c r="X21" s="1541"/>
      <c r="Y21" s="3317"/>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17"/>
      <c r="Q22" s="1538" t="str">
        <f>B22</f>
        <v>楼层</v>
      </c>
      <c r="R22" s="714" t="s">
        <v>17</v>
      </c>
      <c r="S22" s="715">
        <f>F22</f>
        <v>100</v>
      </c>
      <c r="T22" s="714" t="s">
        <v>17</v>
      </c>
      <c r="U22" s="715">
        <f>H22</f>
        <v>100</v>
      </c>
      <c r="V22" s="714" t="s">
        <v>17</v>
      </c>
      <c r="W22" s="715">
        <f>J22</f>
        <v>100</v>
      </c>
      <c r="X22" s="1541"/>
      <c r="Y22" s="3317"/>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17"/>
      <c r="Q23" s="1538">
        <f>B23</f>
        <v>111</v>
      </c>
      <c r="R23" s="714" t="s">
        <v>17</v>
      </c>
      <c r="S23" s="715">
        <f>F23</f>
        <v>100</v>
      </c>
      <c r="T23" s="714" t="s">
        <v>17</v>
      </c>
      <c r="U23" s="715">
        <f>H23</f>
        <v>100</v>
      </c>
      <c r="V23" s="714" t="s">
        <v>17</v>
      </c>
      <c r="W23" s="715">
        <f>J23</f>
        <v>100</v>
      </c>
      <c r="X23" s="1541"/>
      <c r="Y23" s="3317"/>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17"/>
      <c r="Q24" s="1538">
        <f t="shared" ref="Q24:Q34" si="11">B24</f>
        <v>111</v>
      </c>
      <c r="R24" s="714" t="s">
        <v>17</v>
      </c>
      <c r="S24" s="715">
        <f>F24</f>
        <v>100</v>
      </c>
      <c r="T24" s="714" t="s">
        <v>17</v>
      </c>
      <c r="U24" s="715">
        <f>H24</f>
        <v>100</v>
      </c>
      <c r="V24" s="714" t="s">
        <v>17</v>
      </c>
      <c r="W24" s="715">
        <f>J24</f>
        <v>100</v>
      </c>
      <c r="X24" s="1541"/>
      <c r="Y24" s="3317"/>
      <c r="Z24" s="1542">
        <f>Q24</f>
        <v>111</v>
      </c>
      <c r="AA24" s="1539">
        <f t="shared" si="3"/>
        <v>1</v>
      </c>
      <c r="AB24" s="1539">
        <f t="shared" si="4"/>
        <v>1</v>
      </c>
      <c r="AC24" s="1539">
        <f t="shared" si="5"/>
        <v>1</v>
      </c>
    </row>
    <row r="25" spans="1:29" s="113" customFormat="1" ht="15.6" thickBot="1">
      <c r="A25" s="390"/>
      <c r="B25" s="2081">
        <v>111</v>
      </c>
      <c r="C25" s="2163"/>
      <c r="D25" s="621">
        <v>100</v>
      </c>
      <c r="E25" s="2163"/>
      <c r="F25" s="622">
        <f>SUMIF(75:75,E25,76:76)-SUMIF(75:75,C25,76:76)+100</f>
        <v>100</v>
      </c>
      <c r="G25" s="2163"/>
      <c r="H25" s="621">
        <f>SUMIF(75:75,G25,76:76)-SUMIF(75:75,C25,76:76)+100</f>
        <v>100</v>
      </c>
      <c r="I25" s="2163"/>
      <c r="J25" s="621">
        <f>SUMIF(75:75,I25,76:76)-SUMIF(75:75,C25,76:76)+100</f>
        <v>100</v>
      </c>
      <c r="K25" s="570"/>
      <c r="L25" s="2945"/>
      <c r="M25" s="2946"/>
      <c r="N25" s="2946"/>
      <c r="O25" s="3000"/>
      <c r="P25" s="3317"/>
      <c r="Q25" s="1529">
        <f t="shared" si="11"/>
        <v>111</v>
      </c>
      <c r="R25" s="710" t="s">
        <v>17</v>
      </c>
      <c r="S25" s="711">
        <f>F25</f>
        <v>100</v>
      </c>
      <c r="T25" s="710" t="s">
        <v>17</v>
      </c>
      <c r="U25" s="711">
        <f>H25</f>
        <v>100</v>
      </c>
      <c r="V25" s="710" t="s">
        <v>17</v>
      </c>
      <c r="W25" s="711">
        <f>J25</f>
        <v>100</v>
      </c>
      <c r="X25" s="712"/>
      <c r="Y25" s="3317"/>
      <c r="Z25" s="55">
        <f>Q25</f>
        <v>111</v>
      </c>
      <c r="AA25" s="1539">
        <f>D25/F25</f>
        <v>1</v>
      </c>
      <c r="AB25" s="1539">
        <f>D25/H25</f>
        <v>1</v>
      </c>
      <c r="AC25" s="1539">
        <f>D25/J25</f>
        <v>1</v>
      </c>
    </row>
    <row r="26" spans="1:29" ht="30">
      <c r="A26" s="425" t="s">
        <v>2385</v>
      </c>
      <c r="B26" s="67" t="s">
        <v>2536</v>
      </c>
      <c r="C26" s="2154"/>
      <c r="D26" s="426">
        <v>100</v>
      </c>
      <c r="E26" s="2154"/>
      <c r="F26" s="623">
        <f>SUMIF(77:77,E26,78:78)-SUMIF(77:77,C26,78:78)+100</f>
        <v>100</v>
      </c>
      <c r="G26" s="2154"/>
      <c r="H26" s="426">
        <f>SUMIF(77:77,G26,78:78)-SUMIF(77:77,C26,78:78)+100</f>
        <v>100</v>
      </c>
      <c r="I26" s="2154"/>
      <c r="J26" s="426">
        <f>SUMIF(77:77,I26,78:78)-SUMIF(77:77,C26,78:78)+100</f>
        <v>100</v>
      </c>
      <c r="K26" s="569"/>
      <c r="L26" s="2950"/>
      <c r="M26" s="2944"/>
      <c r="N26" s="2944"/>
      <c r="O26" s="3002"/>
      <c r="P26" s="3378"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21"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21"/>
      <c r="Q27" s="716" t="str">
        <f t="shared" si="11"/>
        <v>成新率</v>
      </c>
      <c r="R27" s="717" t="s">
        <v>17</v>
      </c>
      <c r="S27" s="718" t="e">
        <f t="shared" si="12"/>
        <v>#N/A</v>
      </c>
      <c r="T27" s="717" t="s">
        <v>17</v>
      </c>
      <c r="U27" s="718" t="e">
        <f t="shared" si="13"/>
        <v>#N/A</v>
      </c>
      <c r="V27" s="717" t="s">
        <v>17</v>
      </c>
      <c r="W27" s="718" t="e">
        <f t="shared" si="14"/>
        <v>#N/A</v>
      </c>
      <c r="X27" s="719"/>
      <c r="Y27" s="3321"/>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21"/>
      <c r="Q28" s="1538" t="str">
        <f t="shared" si="11"/>
        <v>物业等级</v>
      </c>
      <c r="R28" s="714" t="s">
        <v>17</v>
      </c>
      <c r="S28" s="715">
        <f t="shared" si="12"/>
        <v>100</v>
      </c>
      <c r="T28" s="714" t="s">
        <v>17</v>
      </c>
      <c r="U28" s="715">
        <f t="shared" si="13"/>
        <v>100</v>
      </c>
      <c r="V28" s="714" t="s">
        <v>17</v>
      </c>
      <c r="W28" s="715">
        <f t="shared" si="14"/>
        <v>100</v>
      </c>
      <c r="X28" s="1541"/>
      <c r="Y28" s="3321"/>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21"/>
      <c r="Q29" s="1538" t="str">
        <f t="shared" si="11"/>
        <v>有无电梯</v>
      </c>
      <c r="R29" s="714" t="s">
        <v>17</v>
      </c>
      <c r="S29" s="715">
        <f t="shared" si="12"/>
        <v>100</v>
      </c>
      <c r="T29" s="714" t="s">
        <v>17</v>
      </c>
      <c r="U29" s="715">
        <f t="shared" si="13"/>
        <v>100</v>
      </c>
      <c r="V29" s="714" t="s">
        <v>17</v>
      </c>
      <c r="W29" s="715">
        <f t="shared" si="14"/>
        <v>100</v>
      </c>
      <c r="X29" s="1541"/>
      <c r="Y29" s="3321"/>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21"/>
      <c r="Q30" s="1538" t="str">
        <f t="shared" si="11"/>
        <v>建筑面积</v>
      </c>
      <c r="R30" s="714" t="s">
        <v>17</v>
      </c>
      <c r="S30" s="715" t="e">
        <f t="shared" si="12"/>
        <v>#N/A</v>
      </c>
      <c r="T30" s="714" t="s">
        <v>17</v>
      </c>
      <c r="U30" s="715" t="e">
        <f t="shared" si="13"/>
        <v>#N/A</v>
      </c>
      <c r="V30" s="714" t="s">
        <v>17</v>
      </c>
      <c r="W30" s="715" t="e">
        <f t="shared" si="14"/>
        <v>#N/A</v>
      </c>
      <c r="X30" s="1541"/>
      <c r="Y30" s="3321"/>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21"/>
      <c r="Q31" s="1529" t="str">
        <f t="shared" si="11"/>
        <v>是否封闭</v>
      </c>
      <c r="R31" s="710" t="s">
        <v>17</v>
      </c>
      <c r="S31" s="711">
        <f t="shared" si="12"/>
        <v>100</v>
      </c>
      <c r="T31" s="710" t="s">
        <v>17</v>
      </c>
      <c r="U31" s="711">
        <f t="shared" si="13"/>
        <v>100</v>
      </c>
      <c r="V31" s="710" t="s">
        <v>17</v>
      </c>
      <c r="W31" s="711">
        <f t="shared" si="14"/>
        <v>100</v>
      </c>
      <c r="X31" s="712"/>
      <c r="Y31" s="3321"/>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21" t="s">
        <v>2387</v>
      </c>
      <c r="Q32" s="1538">
        <f t="shared" si="11"/>
        <v>111</v>
      </c>
      <c r="R32" s="714" t="s">
        <v>17</v>
      </c>
      <c r="S32" s="715">
        <f t="shared" si="12"/>
        <v>100</v>
      </c>
      <c r="T32" s="714" t="s">
        <v>17</v>
      </c>
      <c r="U32" s="715">
        <f t="shared" si="13"/>
        <v>100</v>
      </c>
      <c r="V32" s="714" t="s">
        <v>17</v>
      </c>
      <c r="W32" s="715">
        <f t="shared" si="14"/>
        <v>100</v>
      </c>
      <c r="X32" s="1541"/>
      <c r="Y32" s="3321"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21"/>
      <c r="Q33" s="1538">
        <f t="shared" si="11"/>
        <v>111</v>
      </c>
      <c r="R33" s="714" t="s">
        <v>17</v>
      </c>
      <c r="S33" s="715">
        <f t="shared" si="12"/>
        <v>100</v>
      </c>
      <c r="T33" s="714" t="s">
        <v>17</v>
      </c>
      <c r="U33" s="715">
        <f t="shared" si="13"/>
        <v>100</v>
      </c>
      <c r="V33" s="714" t="s">
        <v>17</v>
      </c>
      <c r="W33" s="715">
        <f t="shared" si="14"/>
        <v>100</v>
      </c>
      <c r="X33" s="1541"/>
      <c r="Y33" s="3321"/>
      <c r="Z33" s="1542">
        <f t="shared" si="15"/>
        <v>111</v>
      </c>
      <c r="AA33" s="1539">
        <f t="shared" si="3"/>
        <v>1</v>
      </c>
      <c r="AB33" s="1539">
        <f t="shared" si="4"/>
        <v>1</v>
      </c>
      <c r="AC33" s="1539">
        <f t="shared" si="5"/>
        <v>1</v>
      </c>
    </row>
    <row r="34" spans="1:30" ht="15.6" thickBot="1">
      <c r="A34" s="437"/>
      <c r="B34" s="2083">
        <v>111</v>
      </c>
      <c r="C34" s="396"/>
      <c r="D34" s="397">
        <v>100</v>
      </c>
      <c r="E34" s="2162"/>
      <c r="F34" s="398">
        <f>SUMIF(95:95,E34,96:96)-SUMIF(95:95,C34,96:96)+100</f>
        <v>100</v>
      </c>
      <c r="G34" s="2162"/>
      <c r="H34" s="397">
        <f>SUMIF(95:95,G34,96:96)-SUMIF(95:95,C34,96:96)+100</f>
        <v>100</v>
      </c>
      <c r="I34" s="2162"/>
      <c r="J34" s="397">
        <f>SUMIF(95:95,I34,96:96)-SUMIF(95:95,C34,96:96)+100</f>
        <v>100</v>
      </c>
      <c r="K34" s="570"/>
      <c r="L34" s="2950"/>
      <c r="M34" s="2944"/>
      <c r="N34" s="2944"/>
      <c r="O34" s="3002"/>
      <c r="P34" s="3321"/>
      <c r="Q34" s="1538">
        <f t="shared" si="11"/>
        <v>111</v>
      </c>
      <c r="R34" s="714" t="s">
        <v>17</v>
      </c>
      <c r="S34" s="715">
        <f t="shared" si="12"/>
        <v>100</v>
      </c>
      <c r="T34" s="714" t="s">
        <v>17</v>
      </c>
      <c r="U34" s="715">
        <f t="shared" si="13"/>
        <v>100</v>
      </c>
      <c r="V34" s="714" t="s">
        <v>17</v>
      </c>
      <c r="W34" s="715">
        <f t="shared" si="14"/>
        <v>100</v>
      </c>
      <c r="X34" s="1541"/>
      <c r="Y34" s="3321"/>
      <c r="Z34" s="1542">
        <f t="shared" si="15"/>
        <v>111</v>
      </c>
      <c r="AA34" s="1539">
        <f t="shared" si="3"/>
        <v>1</v>
      </c>
      <c r="AB34" s="1539">
        <f t="shared" si="4"/>
        <v>1</v>
      </c>
      <c r="AC34" s="1539">
        <f t="shared" si="5"/>
        <v>1</v>
      </c>
    </row>
    <row r="35" spans="1:30" ht="14.4">
      <c r="A35" s="438" t="s">
        <v>2399</v>
      </c>
      <c r="B35" s="439"/>
      <c r="C35" s="1316" t="s">
        <v>1</v>
      </c>
      <c r="D35" s="1317"/>
      <c r="E35" s="1318"/>
      <c r="F35" s="1319"/>
      <c r="G35" s="1320"/>
      <c r="H35" s="1321"/>
      <c r="I35" s="1318"/>
      <c r="J35" s="1321"/>
      <c r="K35" s="723"/>
      <c r="L35" s="2952"/>
      <c r="M35" s="2953"/>
      <c r="N35" s="2944"/>
      <c r="O35" s="2953"/>
      <c r="P35" s="3314" t="str">
        <f>A35</f>
        <v>成交单价（元/平方米）</v>
      </c>
      <c r="Q35" s="3314"/>
      <c r="R35" s="3315">
        <f>E35</f>
        <v>0</v>
      </c>
      <c r="S35" s="3315"/>
      <c r="T35" s="3315">
        <f>G35</f>
        <v>0</v>
      </c>
      <c r="U35" s="3315"/>
      <c r="V35" s="3315">
        <f>I35</f>
        <v>0</v>
      </c>
      <c r="W35" s="3315"/>
      <c r="X35" s="699"/>
      <c r="Y35" s="721"/>
      <c r="Z35" s="699"/>
      <c r="AA35" s="699"/>
      <c r="AB35" s="699"/>
      <c r="AC35" s="699"/>
    </row>
    <row r="36" spans="1:30" ht="15" thickBot="1">
      <c r="A36" s="445" t="s">
        <v>2491</v>
      </c>
      <c r="B36" s="446"/>
      <c r="C36" s="1322" t="e">
        <f>R37</f>
        <v>#DIV/0!</v>
      </c>
      <c r="D36" s="2539" t="s">
        <v>2879</v>
      </c>
      <c r="E36" s="1323" t="e">
        <f>R36</f>
        <v>#DIV/0!</v>
      </c>
      <c r="F36" s="2540"/>
      <c r="G36" s="1322" t="e">
        <f>T36</f>
        <v>#DIV/0!</v>
      </c>
      <c r="H36" s="2540"/>
      <c r="I36" s="1323" t="e">
        <f>V36</f>
        <v>#DIV/0!</v>
      </c>
      <c r="J36" s="2540"/>
      <c r="K36" s="2542">
        <f>F36+H36+J36</f>
        <v>0</v>
      </c>
      <c r="L36" s="2952"/>
      <c r="M36" s="2953"/>
      <c r="N36" s="2944"/>
      <c r="O36" s="2953"/>
      <c r="P36" s="3314" t="str">
        <f>A36</f>
        <v>比较价值（元/平方米）</v>
      </c>
      <c r="Q36" s="3314"/>
      <c r="R36" s="3315" t="e">
        <f>IF(F1="售价",ROUND(PRODUCT(R35,AA7:AA34),0),ROUND(PRODUCT(R35,AA7:AA34),1))</f>
        <v>#DIV/0!</v>
      </c>
      <c r="S36" s="3315"/>
      <c r="T36" s="3315" t="e">
        <f>IF(F1="售价",ROUND(PRODUCT(T35,AB7:AB34),0),ROUND(PRODUCT(T35,AB7:AB34),1))</f>
        <v>#DIV/0!</v>
      </c>
      <c r="U36" s="3315"/>
      <c r="V36" s="3315" t="e">
        <f>IF(F1="售价",ROUND(PRODUCT(V35,AC7:AC34),0),ROUND(PRODUCT(V35,AC7:AC34),1))</f>
        <v>#DIV/0!</v>
      </c>
      <c r="W36" s="3315"/>
      <c r="X36" s="699"/>
      <c r="Y36" s="699"/>
      <c r="Z36" s="699"/>
      <c r="AA36" s="699"/>
      <c r="AB36" s="699"/>
      <c r="AC36" s="699"/>
    </row>
    <row r="37" spans="1:30" ht="15" thickBot="1">
      <c r="A37" s="449" t="s">
        <v>2492</v>
      </c>
      <c r="B37" s="450"/>
      <c r="C37" s="1325" t="e">
        <f>R37</f>
        <v>#DIV/0!</v>
      </c>
      <c r="D37" s="1325"/>
      <c r="E37" s="1325"/>
      <c r="F37" s="1325"/>
      <c r="G37" s="1325"/>
      <c r="H37" s="1325"/>
      <c r="I37" s="1325"/>
      <c r="J37" s="1325"/>
      <c r="K37" s="724"/>
      <c r="L37" s="2952"/>
      <c r="M37" s="2953"/>
      <c r="N37" s="2953"/>
      <c r="O37" s="2953"/>
      <c r="P37" s="3311" t="str">
        <f>A37</f>
        <v>估价对象XX用房的比较价值（楼面单价，元/平方米）</v>
      </c>
      <c r="Q37" s="3312"/>
      <c r="R37" s="3379" t="e">
        <f>IF(F1="售价",ROUND(IF(D36="简单平均",AVERAGE(R36:W36),R36*F36+T36*H36+V36*J36),0),ROUND(IF(D36="简单平均",AVERAGE(R36:V36),R36*F36+T36*H36+V36*J36),1))</f>
        <v>#DIV/0!</v>
      </c>
      <c r="S37" s="3379"/>
      <c r="T37" s="3379"/>
      <c r="U37" s="3379"/>
      <c r="V37" s="3379"/>
      <c r="W37" s="3379"/>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2.2" thickBot="1">
      <c r="A45" s="703" t="s">
        <v>2496</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4.4">
      <c r="A46" s="462" t="s">
        <v>2370</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4"/>
      <c r="Q46" s="2969"/>
      <c r="R46" s="2969"/>
      <c r="S46" s="2969"/>
      <c r="T46" s="2969"/>
      <c r="U46" s="2969"/>
      <c r="V46" s="2969"/>
      <c r="W46" s="2969"/>
      <c r="X46" s="2969"/>
      <c r="Y46" s="2969"/>
      <c r="Z46" s="2969"/>
      <c r="AA46" s="2969"/>
      <c r="AB46" s="2969"/>
      <c r="AC46" s="2969"/>
      <c r="AD46" s="2969"/>
    </row>
    <row r="47" spans="1:30" s="113" customFormat="1">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 thickBot="1">
      <c r="A48" s="472" t="s">
        <v>2407</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4.4">
      <c r="A49" s="478" t="s">
        <v>2372</v>
      </c>
      <c r="B49" s="467"/>
      <c r="C49" s="479" t="s">
        <v>2474</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4.4"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ht="14.4">
      <c r="A51" s="484" t="s">
        <v>2410</v>
      </c>
      <c r="B51" s="485" t="s">
        <v>2376</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4.4"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9.4" thickTop="1">
      <c r="A53" s="491"/>
      <c r="B53" s="495" t="s">
        <v>2379</v>
      </c>
      <c r="C53" s="496" t="s">
        <v>2411</v>
      </c>
      <c r="D53" s="496" t="s">
        <v>2412</v>
      </c>
      <c r="E53" s="496" t="s">
        <v>2413</v>
      </c>
      <c r="F53" s="496" t="s">
        <v>2414</v>
      </c>
      <c r="G53" s="496" t="s">
        <v>2415</v>
      </c>
      <c r="H53" s="496" t="s">
        <v>2416</v>
      </c>
      <c r="I53" s="496" t="s">
        <v>2417</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4.4"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4.4"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4.4"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4.4"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4.4"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4.4"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9.4" thickTop="1">
      <c r="A63" s="491"/>
      <c r="B63" s="495" t="s">
        <v>2562</v>
      </c>
      <c r="C63" s="535" t="s">
        <v>2419</v>
      </c>
      <c r="D63" s="535" t="s">
        <v>2420</v>
      </c>
      <c r="E63" s="535" t="s">
        <v>2421</v>
      </c>
      <c r="F63" s="535" t="s">
        <v>2422</v>
      </c>
      <c r="G63" s="535" t="s">
        <v>2423</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 thickTop="1">
      <c r="A65" s="491"/>
      <c r="B65" s="503" t="s">
        <v>2511</v>
      </c>
      <c r="C65" s="616" t="s">
        <v>2497</v>
      </c>
      <c r="D65" s="616" t="s">
        <v>2498</v>
      </c>
      <c r="E65" s="616" t="s">
        <v>2499</v>
      </c>
      <c r="F65" s="616" t="s">
        <v>2500</v>
      </c>
      <c r="G65" s="616" t="s">
        <v>2501</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 thickTop="1">
      <c r="A67" s="491"/>
      <c r="B67" s="495" t="s">
        <v>2431</v>
      </c>
      <c r="C67" s="535" t="s">
        <v>2419</v>
      </c>
      <c r="D67" s="535" t="s">
        <v>2420</v>
      </c>
      <c r="E67" s="535" t="s">
        <v>2421</v>
      </c>
      <c r="F67" s="535" t="s">
        <v>2422</v>
      </c>
      <c r="G67" s="535" t="s">
        <v>2423</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 thickTop="1">
      <c r="A69" s="491"/>
      <c r="B69" s="495" t="s">
        <v>2551</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4.4"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4.4"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4.4"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4.4"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4.4"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4.4"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4.4"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2385</v>
      </c>
      <c r="B77" s="485" t="s">
        <v>2438</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2555</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2563</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4.4"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2565</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4.4"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4.4"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4.4"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4.4"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4.4"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4.4"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4.4"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4.4"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4.4">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39" t="s">
        <v>2469</v>
      </c>
      <c r="S4" s="3340"/>
      <c r="T4" s="3339" t="s">
        <v>2470</v>
      </c>
      <c r="U4" s="3340"/>
      <c r="V4" s="3345" t="s">
        <v>2471</v>
      </c>
      <c r="W4" s="3345"/>
      <c r="X4" s="1541"/>
      <c r="Y4" s="3339" t="s">
        <v>2473</v>
      </c>
      <c r="Z4" s="3340"/>
      <c r="AA4" s="3326" t="s">
        <v>2469</v>
      </c>
      <c r="AB4" s="3327" t="s">
        <v>2470</v>
      </c>
      <c r="AC4" s="3326" t="s">
        <v>2471</v>
      </c>
    </row>
    <row r="5" spans="1:30">
      <c r="A5" s="364"/>
      <c r="B5" s="365"/>
      <c r="C5" s="3348" t="s">
        <v>2364</v>
      </c>
      <c r="D5" s="3349"/>
      <c r="E5" s="3355" t="s">
        <v>2365</v>
      </c>
      <c r="F5" s="3356"/>
      <c r="G5" s="3348" t="s">
        <v>2366</v>
      </c>
      <c r="H5" s="3349"/>
      <c r="I5" s="3348" t="s">
        <v>2367</v>
      </c>
      <c r="J5" s="3349"/>
      <c r="K5" s="567"/>
      <c r="L5" s="2943"/>
      <c r="M5" s="2944"/>
      <c r="N5" s="2944"/>
      <c r="O5" s="2944"/>
      <c r="P5" s="3335"/>
      <c r="Q5" s="3336"/>
      <c r="R5" s="3341"/>
      <c r="S5" s="3342"/>
      <c r="T5" s="3341"/>
      <c r="U5" s="3342"/>
      <c r="V5" s="3345"/>
      <c r="W5" s="3345"/>
      <c r="X5" s="1541"/>
      <c r="Y5" s="3341"/>
      <c r="Z5" s="3342"/>
      <c r="AA5" s="3327"/>
      <c r="AB5" s="3327"/>
      <c r="AC5" s="3327"/>
    </row>
    <row r="6" spans="1:30" ht="15" thickBot="1">
      <c r="A6" s="366"/>
      <c r="B6" s="367"/>
      <c r="C6" s="3346" t="s">
        <v>2368</v>
      </c>
      <c r="D6" s="3347"/>
      <c r="E6" s="3353" t="s">
        <v>2368</v>
      </c>
      <c r="F6" s="3354"/>
      <c r="G6" s="3346" t="s">
        <v>2368</v>
      </c>
      <c r="H6" s="3347"/>
      <c r="I6" s="3346" t="s">
        <v>2368</v>
      </c>
      <c r="J6" s="3347"/>
      <c r="K6" s="567" t="s">
        <v>2369</v>
      </c>
      <c r="L6" s="2943"/>
      <c r="M6" s="2944"/>
      <c r="N6" s="2944"/>
      <c r="O6" s="2944"/>
      <c r="P6" s="3337"/>
      <c r="Q6" s="3338"/>
      <c r="R6" s="3341"/>
      <c r="S6" s="3342"/>
      <c r="T6" s="3343"/>
      <c r="U6" s="3344"/>
      <c r="V6" s="3345"/>
      <c r="W6" s="3345"/>
      <c r="X6" s="1541"/>
      <c r="Y6" s="3343"/>
      <c r="Z6" s="3344"/>
      <c r="AA6" s="3328"/>
      <c r="AB6" s="3328"/>
      <c r="AC6" s="3328"/>
    </row>
    <row r="7" spans="1:30" s="113" customFormat="1" ht="15" thickBot="1">
      <c r="A7" s="368" t="s">
        <v>2370</v>
      </c>
      <c r="B7" s="369"/>
      <c r="C7" s="370">
        <f>'数据-取费表'!B2</f>
        <v>44209</v>
      </c>
      <c r="D7" s="371">
        <v>100</v>
      </c>
      <c r="E7" s="372"/>
      <c r="F7" s="373">
        <f>SUMIF(70:70,YEAR(E7)&amp;"-"&amp;INT((MONTH(E7)+2)/3),71:71)</f>
        <v>0</v>
      </c>
      <c r="G7" s="2161"/>
      <c r="H7" s="371">
        <f>SUMIF(70:70,YEAR(G7)&amp;"-"&amp;INT((MONTH(G7)+2)/3),71:71)</f>
        <v>0</v>
      </c>
      <c r="I7" s="2161"/>
      <c r="J7" s="371">
        <f>SUMIF(70:70,YEAR(I7)&amp;"-"&amp;INT((MONTH(I7)+2)/3),71:71)</f>
        <v>0</v>
      </c>
      <c r="K7" s="568"/>
      <c r="L7" s="2945"/>
      <c r="M7" s="2946"/>
      <c r="N7" s="2946"/>
      <c r="O7" s="2946"/>
      <c r="P7" s="3350" t="s">
        <v>2371</v>
      </c>
      <c r="Q7" s="3352"/>
      <c r="R7" s="710" t="s">
        <v>17</v>
      </c>
      <c r="S7" s="711">
        <f t="shared" ref="S7:S15" si="0">F7</f>
        <v>0</v>
      </c>
      <c r="T7" s="710" t="s">
        <v>17</v>
      </c>
      <c r="U7" s="711">
        <f t="shared" ref="U7:U15" si="1">H7</f>
        <v>0</v>
      </c>
      <c r="V7" s="710" t="s">
        <v>17</v>
      </c>
      <c r="W7" s="711">
        <f t="shared" ref="W7:W15" si="2">J7</f>
        <v>0</v>
      </c>
      <c r="X7" s="712"/>
      <c r="Y7" s="3350" t="s">
        <v>2371</v>
      </c>
      <c r="Z7" s="3351"/>
      <c r="AA7" s="713" t="e">
        <f>D7/F7</f>
        <v>#DIV/0!</v>
      </c>
      <c r="AB7" s="713" t="e">
        <f>D7/H7</f>
        <v>#DIV/0!</v>
      </c>
      <c r="AC7" s="713" t="e">
        <f>D7/J7</f>
        <v>#DIV/0!</v>
      </c>
    </row>
    <row r="8" spans="1:30" s="113" customFormat="1" ht="1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50" t="s">
        <v>2374</v>
      </c>
      <c r="Q8" s="3351"/>
      <c r="R8" s="710" t="s">
        <v>17</v>
      </c>
      <c r="S8" s="711">
        <f t="shared" si="0"/>
        <v>0</v>
      </c>
      <c r="T8" s="710" t="s">
        <v>17</v>
      </c>
      <c r="U8" s="711">
        <f t="shared" si="1"/>
        <v>0</v>
      </c>
      <c r="V8" s="710" t="s">
        <v>17</v>
      </c>
      <c r="W8" s="711">
        <f t="shared" si="2"/>
        <v>0</v>
      </c>
      <c r="X8" s="712"/>
      <c r="Y8" s="3350" t="s">
        <v>2374</v>
      </c>
      <c r="Z8" s="3351"/>
      <c r="AA8" s="713" t="e">
        <f t="shared" ref="AA8:AA45" si="3">D8/F8</f>
        <v>#DIV/0!</v>
      </c>
      <c r="AB8" s="713" t="e">
        <f t="shared" ref="AB8:AB45" si="4">D8/H8</f>
        <v>#DIV/0!</v>
      </c>
      <c r="AC8" s="713" t="e">
        <f t="shared" ref="AC8:AC45" si="5">D8/J8</f>
        <v>#DIV/0!</v>
      </c>
    </row>
    <row r="9" spans="1:30" s="113" customFormat="1" ht="14.4">
      <c r="A9" s="375" t="s">
        <v>2375</v>
      </c>
      <c r="B9" s="67" t="s">
        <v>2376</v>
      </c>
      <c r="C9" s="2164"/>
      <c r="D9" s="131">
        <v>100</v>
      </c>
      <c r="E9" s="2164"/>
      <c r="F9" s="131">
        <f>SUMIF(75:75,E9,76:76)-SUMIF(75:75,C9,76:76)+100</f>
        <v>100</v>
      </c>
      <c r="G9" s="2164"/>
      <c r="H9" s="131">
        <f>SUMIF(75:75,G9,76:76)-SUMIF(75:75,C9,76:76)+100</f>
        <v>100</v>
      </c>
      <c r="I9" s="2164"/>
      <c r="J9" s="131">
        <f>SUMIF(75:75,I9,76:76)-SUMIF(75:75,C9,76:76)+100</f>
        <v>100</v>
      </c>
      <c r="K9" s="568"/>
      <c r="L9" s="2945"/>
      <c r="M9" s="2946"/>
      <c r="N9" s="2946"/>
      <c r="O9" s="3000"/>
      <c r="P9" s="3314" t="s">
        <v>2377</v>
      </c>
      <c r="Q9" s="1529" t="str">
        <f t="shared" ref="Q9:Q15" si="6">B9</f>
        <v>用途</v>
      </c>
      <c r="R9" s="710" t="s">
        <v>17</v>
      </c>
      <c r="S9" s="711">
        <f t="shared" si="0"/>
        <v>100</v>
      </c>
      <c r="T9" s="710" t="s">
        <v>17</v>
      </c>
      <c r="U9" s="711">
        <f t="shared" si="1"/>
        <v>100</v>
      </c>
      <c r="V9" s="710" t="s">
        <v>17</v>
      </c>
      <c r="W9" s="711">
        <f t="shared" si="2"/>
        <v>100</v>
      </c>
      <c r="X9" s="712"/>
      <c r="Y9" s="3184" t="s">
        <v>2378</v>
      </c>
      <c r="Z9" s="55" t="str">
        <f t="shared" ref="Z9:Z15" si="7">Q9</f>
        <v>用途</v>
      </c>
      <c r="AA9" s="713">
        <f t="shared" si="3"/>
        <v>1</v>
      </c>
      <c r="AB9" s="713">
        <f t="shared" si="4"/>
        <v>1</v>
      </c>
      <c r="AC9" s="713">
        <f t="shared" si="5"/>
        <v>1</v>
      </c>
    </row>
    <row r="10" spans="1:30" s="386" customFormat="1" ht="28.8">
      <c r="A10" s="380"/>
      <c r="B10" s="381" t="s">
        <v>2379</v>
      </c>
      <c r="C10" s="391"/>
      <c r="D10" s="132">
        <v>100</v>
      </c>
      <c r="E10" s="424"/>
      <c r="F10" s="132">
        <f>ROUND(100/'数据-取费表'!G16,0)</f>
        <v>113</v>
      </c>
      <c r="G10" s="422"/>
      <c r="H10" s="132">
        <f>ROUND(100/'数据-取费表'!G16,0)</f>
        <v>113</v>
      </c>
      <c r="I10" s="422"/>
      <c r="J10" s="132">
        <f>ROUND(100/'数据-取费表'!G16,0)</f>
        <v>113</v>
      </c>
      <c r="K10" s="628"/>
      <c r="L10" s="2947"/>
      <c r="M10" s="2948"/>
      <c r="N10" s="2948"/>
      <c r="O10" s="3001"/>
      <c r="P10" s="3314"/>
      <c r="Q10" s="1529" t="str">
        <f t="shared" si="6"/>
        <v>土地使用年限（年）</v>
      </c>
      <c r="R10" s="710" t="s">
        <v>17</v>
      </c>
      <c r="S10" s="711">
        <f t="shared" si="0"/>
        <v>113</v>
      </c>
      <c r="T10" s="710" t="s">
        <v>17</v>
      </c>
      <c r="U10" s="711">
        <f t="shared" si="1"/>
        <v>113</v>
      </c>
      <c r="V10" s="710" t="s">
        <v>17</v>
      </c>
      <c r="W10" s="711">
        <f t="shared" si="2"/>
        <v>113</v>
      </c>
      <c r="X10" s="712"/>
      <c r="Y10" s="3184"/>
      <c r="Z10" s="55" t="str">
        <f t="shared" si="7"/>
        <v>土地使用年限（年）</v>
      </c>
      <c r="AA10" s="713">
        <f t="shared" si="3"/>
        <v>0.88495575221238942</v>
      </c>
      <c r="AB10" s="713">
        <f t="shared" si="4"/>
        <v>0.88495575221238942</v>
      </c>
      <c r="AC10" s="713">
        <f t="shared" si="5"/>
        <v>0.88495575221238942</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14"/>
      <c r="Q11" s="1529" t="str">
        <f t="shared" si="6"/>
        <v>容积率</v>
      </c>
      <c r="R11" s="710" t="s">
        <v>17</v>
      </c>
      <c r="S11" s="711" t="e">
        <f t="shared" si="0"/>
        <v>#N/A</v>
      </c>
      <c r="T11" s="710" t="s">
        <v>17</v>
      </c>
      <c r="U11" s="711" t="e">
        <f t="shared" si="1"/>
        <v>#N/A</v>
      </c>
      <c r="V11" s="710" t="s">
        <v>17</v>
      </c>
      <c r="W11" s="711" t="e">
        <f t="shared" si="2"/>
        <v>#N/A</v>
      </c>
      <c r="X11" s="712"/>
      <c r="Y11" s="3184"/>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14"/>
      <c r="Q12" s="1529" t="str">
        <f t="shared" si="6"/>
        <v>配建</v>
      </c>
      <c r="R12" s="710" t="s">
        <v>17</v>
      </c>
      <c r="S12" s="711">
        <f t="shared" si="0"/>
        <v>100</v>
      </c>
      <c r="T12" s="710" t="s">
        <v>17</v>
      </c>
      <c r="U12" s="711">
        <f t="shared" si="1"/>
        <v>100</v>
      </c>
      <c r="V12" s="710" t="s">
        <v>17</v>
      </c>
      <c r="W12" s="711">
        <f t="shared" si="2"/>
        <v>100</v>
      </c>
      <c r="X12" s="712"/>
      <c r="Y12" s="3184"/>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14"/>
      <c r="Q13" s="1529">
        <f t="shared" si="6"/>
        <v>111</v>
      </c>
      <c r="R13" s="710" t="s">
        <v>17</v>
      </c>
      <c r="S13" s="711">
        <f t="shared" si="0"/>
        <v>100</v>
      </c>
      <c r="T13" s="710" t="s">
        <v>17</v>
      </c>
      <c r="U13" s="711">
        <f t="shared" si="1"/>
        <v>100</v>
      </c>
      <c r="V13" s="710" t="s">
        <v>17</v>
      </c>
      <c r="W13" s="711">
        <f t="shared" si="2"/>
        <v>100</v>
      </c>
      <c r="X13" s="712"/>
      <c r="Y13" s="3184"/>
      <c r="Z13" s="55">
        <f t="shared" si="7"/>
        <v>111</v>
      </c>
      <c r="AA13" s="713">
        <f>D13/F13</f>
        <v>1</v>
      </c>
      <c r="AB13" s="713">
        <f>D13/H13</f>
        <v>1</v>
      </c>
      <c r="AC13" s="713">
        <f>D13/J13</f>
        <v>1</v>
      </c>
    </row>
    <row r="14" spans="1:30" ht="15.6"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14"/>
      <c r="Q14" s="1529">
        <f t="shared" si="6"/>
        <v>111</v>
      </c>
      <c r="R14" s="710" t="s">
        <v>17</v>
      </c>
      <c r="S14" s="711">
        <f t="shared" si="0"/>
        <v>100</v>
      </c>
      <c r="T14" s="710" t="s">
        <v>17</v>
      </c>
      <c r="U14" s="711">
        <f t="shared" si="1"/>
        <v>100</v>
      </c>
      <c r="V14" s="710" t="s">
        <v>17</v>
      </c>
      <c r="W14" s="711">
        <f t="shared" si="2"/>
        <v>100</v>
      </c>
      <c r="X14" s="712"/>
      <c r="Y14" s="3184"/>
      <c r="Z14" s="55">
        <f t="shared" si="7"/>
        <v>111</v>
      </c>
      <c r="AA14" s="713">
        <f>D14/F14</f>
        <v>1</v>
      </c>
      <c r="AB14" s="713">
        <f>D14/H14</f>
        <v>1</v>
      </c>
      <c r="AC14" s="713">
        <f>D14/J14</f>
        <v>1</v>
      </c>
    </row>
    <row r="15" spans="1:30" ht="96.6">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16" t="s">
        <v>2382</v>
      </c>
      <c r="Q15" s="1538" t="str">
        <f t="shared" si="6"/>
        <v>居住社区成熟度</v>
      </c>
      <c r="R15" s="714" t="s">
        <v>17</v>
      </c>
      <c r="S15" s="715">
        <f t="shared" si="0"/>
        <v>100</v>
      </c>
      <c r="T15" s="714" t="s">
        <v>17</v>
      </c>
      <c r="U15" s="715">
        <f t="shared" si="1"/>
        <v>100</v>
      </c>
      <c r="V15" s="714" t="s">
        <v>17</v>
      </c>
      <c r="W15" s="715">
        <f t="shared" si="2"/>
        <v>100</v>
      </c>
      <c r="X15" s="1541"/>
      <c r="Y15" s="3316"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0"/>
      <c r="M16" s="2944"/>
      <c r="N16" s="2944"/>
      <c r="O16" s="3002"/>
      <c r="P16" s="3317"/>
      <c r="Q16" s="1538"/>
      <c r="R16" s="714"/>
      <c r="S16" s="715"/>
      <c r="T16" s="714"/>
      <c r="U16" s="715"/>
      <c r="V16" s="714"/>
      <c r="W16" s="715"/>
      <c r="X16" s="1541"/>
      <c r="Y16" s="3317"/>
      <c r="Z16" s="1542"/>
      <c r="AA16" s="1539">
        <v>1</v>
      </c>
      <c r="AB16" s="1539">
        <v>1</v>
      </c>
      <c r="AC16" s="1539">
        <v>1</v>
      </c>
    </row>
    <row r="17" spans="1:29" ht="82.8">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17"/>
      <c r="Q17" s="1538" t="str">
        <f>B17</f>
        <v>商业繁华度</v>
      </c>
      <c r="R17" s="714" t="s">
        <v>17</v>
      </c>
      <c r="S17" s="715">
        <f>F17</f>
        <v>100</v>
      </c>
      <c r="T17" s="714" t="s">
        <v>17</v>
      </c>
      <c r="U17" s="715">
        <f>H17</f>
        <v>100</v>
      </c>
      <c r="V17" s="714" t="s">
        <v>17</v>
      </c>
      <c r="W17" s="715">
        <f>J17</f>
        <v>100</v>
      </c>
      <c r="X17" s="1541"/>
      <c r="Y17" s="3317"/>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0"/>
      <c r="M18" s="2944"/>
      <c r="N18" s="2944"/>
      <c r="O18" s="3002"/>
      <c r="P18" s="3317"/>
      <c r="Q18" s="1538"/>
      <c r="R18" s="714"/>
      <c r="S18" s="715"/>
      <c r="T18" s="714"/>
      <c r="U18" s="715"/>
      <c r="V18" s="714"/>
      <c r="W18" s="715"/>
      <c r="X18" s="1541"/>
      <c r="Y18" s="3317"/>
      <c r="Z18" s="1542"/>
      <c r="AA18" s="1539">
        <v>1</v>
      </c>
      <c r="AB18" s="1539">
        <v>1</v>
      </c>
      <c r="AC18" s="1539">
        <v>1</v>
      </c>
    </row>
    <row r="19" spans="1:29" ht="82.8">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17"/>
      <c r="Q19" s="1538" t="str">
        <f>B19</f>
        <v>办公集聚程度</v>
      </c>
      <c r="R19" s="714" t="s">
        <v>17</v>
      </c>
      <c r="S19" s="715">
        <f>F19</f>
        <v>100</v>
      </c>
      <c r="T19" s="714" t="s">
        <v>17</v>
      </c>
      <c r="U19" s="715">
        <f>H19</f>
        <v>100</v>
      </c>
      <c r="V19" s="714" t="s">
        <v>17</v>
      </c>
      <c r="W19" s="715">
        <f>J19</f>
        <v>100</v>
      </c>
      <c r="X19" s="1541"/>
      <c r="Y19" s="3317"/>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0"/>
      <c r="M20" s="2944"/>
      <c r="N20" s="2944"/>
      <c r="O20" s="3002"/>
      <c r="P20" s="3317"/>
      <c r="Q20" s="1538"/>
      <c r="R20" s="714"/>
      <c r="S20" s="715"/>
      <c r="T20" s="714"/>
      <c r="U20" s="715"/>
      <c r="V20" s="714"/>
      <c r="W20" s="715"/>
      <c r="X20" s="1541"/>
      <c r="Y20" s="3317"/>
      <c r="Z20" s="1542"/>
      <c r="AA20" s="1539">
        <v>1</v>
      </c>
      <c r="AB20" s="1539">
        <v>1</v>
      </c>
      <c r="AC20" s="1539">
        <v>1</v>
      </c>
    </row>
    <row r="21" spans="1:29" ht="96.6">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17"/>
      <c r="Q21" s="1538" t="str">
        <f>B21</f>
        <v>交通便捷度</v>
      </c>
      <c r="R21" s="714" t="s">
        <v>17</v>
      </c>
      <c r="S21" s="715">
        <f>F21</f>
        <v>100</v>
      </c>
      <c r="T21" s="714" t="s">
        <v>17</v>
      </c>
      <c r="U21" s="715">
        <f>H21</f>
        <v>100</v>
      </c>
      <c r="V21" s="714" t="s">
        <v>17</v>
      </c>
      <c r="W21" s="715">
        <f>J21</f>
        <v>100</v>
      </c>
      <c r="X21" s="1541"/>
      <c r="Y21" s="3317"/>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0"/>
      <c r="M22" s="2944"/>
      <c r="N22" s="2944"/>
      <c r="O22" s="3002"/>
      <c r="P22" s="3317"/>
      <c r="Q22" s="1538"/>
      <c r="R22" s="714"/>
      <c r="S22" s="715"/>
      <c r="T22" s="714"/>
      <c r="U22" s="715"/>
      <c r="V22" s="714"/>
      <c r="W22" s="715"/>
      <c r="X22" s="1541"/>
      <c r="Y22" s="3317"/>
      <c r="Z22" s="1542"/>
      <c r="AA22" s="1539">
        <v>1</v>
      </c>
      <c r="AB22" s="1539">
        <v>1</v>
      </c>
      <c r="AC22" s="1539">
        <v>1</v>
      </c>
    </row>
    <row r="23" spans="1:29" ht="28.8">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17"/>
      <c r="Q23" s="1538" t="str">
        <f t="shared" ref="Q23:Q37" si="8">B23</f>
        <v>区域土地利用方向</v>
      </c>
      <c r="R23" s="714" t="s">
        <v>17</v>
      </c>
      <c r="S23" s="715">
        <f>F23</f>
        <v>100</v>
      </c>
      <c r="T23" s="714" t="s">
        <v>17</v>
      </c>
      <c r="U23" s="715">
        <f>H23</f>
        <v>100</v>
      </c>
      <c r="V23" s="714" t="s">
        <v>17</v>
      </c>
      <c r="W23" s="715">
        <f>J23</f>
        <v>100</v>
      </c>
      <c r="X23" s="1541"/>
      <c r="Y23" s="3317"/>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0"/>
      <c r="M24" s="2944"/>
      <c r="N24" s="2944"/>
      <c r="O24" s="3002"/>
      <c r="P24" s="3317"/>
      <c r="Q24" s="1538"/>
      <c r="R24" s="714"/>
      <c r="S24" s="715"/>
      <c r="T24" s="714"/>
      <c r="U24" s="715"/>
      <c r="V24" s="714"/>
      <c r="W24" s="715"/>
      <c r="X24" s="1541"/>
      <c r="Y24" s="3317"/>
      <c r="Z24" s="1542"/>
      <c r="AA24" s="1539"/>
      <c r="AB24" s="1539"/>
      <c r="AC24" s="1539"/>
    </row>
    <row r="25" spans="1:29" ht="55.2">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17"/>
      <c r="Q25" s="1538" t="str">
        <f t="shared" si="8"/>
        <v>自然及人文环境状况</v>
      </c>
      <c r="R25" s="714" t="s">
        <v>17</v>
      </c>
      <c r="S25" s="715">
        <f>F25</f>
        <v>100</v>
      </c>
      <c r="T25" s="714" t="s">
        <v>17</v>
      </c>
      <c r="U25" s="715">
        <f>H25</f>
        <v>100</v>
      </c>
      <c r="V25" s="714" t="s">
        <v>17</v>
      </c>
      <c r="W25" s="715">
        <f>J25</f>
        <v>100</v>
      </c>
      <c r="X25" s="1541"/>
      <c r="Y25" s="3317"/>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0"/>
      <c r="M26" s="2944"/>
      <c r="N26" s="2944"/>
      <c r="O26" s="3002"/>
      <c r="P26" s="3317"/>
      <c r="Q26" s="1538"/>
      <c r="R26" s="714"/>
      <c r="S26" s="715"/>
      <c r="T26" s="714"/>
      <c r="U26" s="715"/>
      <c r="V26" s="714"/>
      <c r="W26" s="715"/>
      <c r="X26" s="1541"/>
      <c r="Y26" s="3317"/>
      <c r="Z26" s="1542"/>
      <c r="AA26" s="1539">
        <v>1</v>
      </c>
      <c r="AB26" s="1539">
        <v>1</v>
      </c>
      <c r="AC26" s="1539">
        <v>1</v>
      </c>
    </row>
    <row r="27" spans="1:29" s="113" customFormat="1" ht="41.4">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17"/>
      <c r="Q27" s="1529" t="str">
        <f t="shared" si="8"/>
        <v>公共配套设施</v>
      </c>
      <c r="R27" s="710" t="s">
        <v>17</v>
      </c>
      <c r="S27" s="711">
        <f>F27</f>
        <v>100</v>
      </c>
      <c r="T27" s="710" t="s">
        <v>17</v>
      </c>
      <c r="U27" s="711">
        <f>H27</f>
        <v>100</v>
      </c>
      <c r="V27" s="710" t="s">
        <v>17</v>
      </c>
      <c r="W27" s="711">
        <f>J27</f>
        <v>100</v>
      </c>
      <c r="X27" s="712"/>
      <c r="Y27" s="3317"/>
      <c r="Z27" s="55" t="str">
        <f>Q27</f>
        <v>公共配套设施</v>
      </c>
      <c r="AA27" s="1539">
        <f>D27/F27</f>
        <v>1</v>
      </c>
      <c r="AB27" s="1539">
        <f>D27/H27</f>
        <v>1</v>
      </c>
      <c r="AC27" s="1539">
        <f>D27/J27</f>
        <v>1</v>
      </c>
    </row>
    <row r="28" spans="1:29" s="113" customFormat="1" ht="15">
      <c r="A28" s="605"/>
      <c r="B28" s="415"/>
      <c r="C28" s="2165"/>
      <c r="D28" s="407"/>
      <c r="E28" s="2092"/>
      <c r="F28" s="407"/>
      <c r="G28" s="2092"/>
      <c r="H28" s="407"/>
      <c r="I28" s="406"/>
      <c r="J28" s="407"/>
      <c r="K28" s="628"/>
      <c r="L28" s="2945"/>
      <c r="M28" s="2946"/>
      <c r="N28" s="2946"/>
      <c r="O28" s="3000"/>
      <c r="P28" s="3317"/>
      <c r="Q28" s="1529"/>
      <c r="R28" s="710"/>
      <c r="S28" s="711"/>
      <c r="T28" s="710"/>
      <c r="U28" s="711"/>
      <c r="V28" s="710"/>
      <c r="W28" s="711"/>
      <c r="X28" s="712"/>
      <c r="Y28" s="3317"/>
      <c r="Z28" s="55"/>
      <c r="AA28" s="1539">
        <v>1</v>
      </c>
      <c r="AB28" s="1539">
        <v>1</v>
      </c>
      <c r="AC28" s="1539">
        <v>1</v>
      </c>
    </row>
    <row r="29" spans="1:29" s="113" customFormat="1" ht="41.4">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17"/>
      <c r="Q29" s="1529" t="str">
        <f t="shared" ref="Q29" si="9">B29</f>
        <v>基础设施水平</v>
      </c>
      <c r="R29" s="710" t="s">
        <v>17</v>
      </c>
      <c r="S29" s="711">
        <f>F29</f>
        <v>100</v>
      </c>
      <c r="T29" s="710" t="s">
        <v>17</v>
      </c>
      <c r="U29" s="711">
        <f>H29</f>
        <v>100</v>
      </c>
      <c r="V29" s="710" t="s">
        <v>17</v>
      </c>
      <c r="W29" s="711">
        <f>J29</f>
        <v>100</v>
      </c>
      <c r="X29" s="712"/>
      <c r="Y29" s="3317"/>
      <c r="Z29" s="55" t="str">
        <f>Q29</f>
        <v>基础设施水平</v>
      </c>
      <c r="AA29" s="1539">
        <f>D29/F29</f>
        <v>1</v>
      </c>
      <c r="AB29" s="1539">
        <f>D29/H29</f>
        <v>1</v>
      </c>
      <c r="AC29" s="1539">
        <f>D29/J29</f>
        <v>1</v>
      </c>
    </row>
    <row r="30" spans="1:29" s="113" customFormat="1" ht="15">
      <c r="A30" s="605"/>
      <c r="B30" s="415"/>
      <c r="C30" s="2165"/>
      <c r="D30" s="407"/>
      <c r="E30" s="2166"/>
      <c r="F30" s="407"/>
      <c r="G30" s="2166"/>
      <c r="H30" s="407"/>
      <c r="I30" s="2166"/>
      <c r="J30" s="407"/>
      <c r="K30" s="628"/>
      <c r="L30" s="2945"/>
      <c r="M30" s="2946"/>
      <c r="N30" s="2946"/>
      <c r="O30" s="3000"/>
      <c r="P30" s="3317"/>
      <c r="Q30" s="1529"/>
      <c r="R30" s="710"/>
      <c r="S30" s="711"/>
      <c r="T30" s="710"/>
      <c r="U30" s="711"/>
      <c r="V30" s="710"/>
      <c r="W30" s="711"/>
      <c r="X30" s="712"/>
      <c r="Y30" s="3317"/>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17"/>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17"/>
      <c r="Z31" s="1542" t="str">
        <f t="shared" ref="Z31:Z45" si="13">Q31</f>
        <v>临街状况</v>
      </c>
      <c r="AA31" s="1539">
        <f t="shared" si="3"/>
        <v>1</v>
      </c>
      <c r="AB31" s="1539">
        <f t="shared" si="4"/>
        <v>1</v>
      </c>
      <c r="AC31" s="1539">
        <f t="shared" si="5"/>
        <v>1</v>
      </c>
    </row>
    <row r="32" spans="1:29" ht="28.8">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17"/>
      <c r="Q32" s="1538" t="str">
        <f t="shared" si="8"/>
        <v>毗邻道路的类型与等级</v>
      </c>
      <c r="R32" s="714" t="s">
        <v>17</v>
      </c>
      <c r="S32" s="715">
        <f t="shared" si="10"/>
        <v>100</v>
      </c>
      <c r="T32" s="714" t="s">
        <v>17</v>
      </c>
      <c r="U32" s="715">
        <f t="shared" si="11"/>
        <v>100</v>
      </c>
      <c r="V32" s="714" t="s">
        <v>17</v>
      </c>
      <c r="W32" s="715">
        <f t="shared" si="12"/>
        <v>100</v>
      </c>
      <c r="X32" s="1541"/>
      <c r="Y32" s="3317"/>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0"/>
      <c r="M33" s="2944"/>
      <c r="N33" s="2944"/>
      <c r="O33" s="3002"/>
      <c r="P33" s="3317"/>
      <c r="Q33" s="1538"/>
      <c r="R33" s="714"/>
      <c r="S33" s="715"/>
      <c r="T33" s="714"/>
      <c r="U33" s="715"/>
      <c r="V33" s="714"/>
      <c r="W33" s="715"/>
      <c r="X33" s="1541"/>
      <c r="Y33" s="3317"/>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17"/>
      <c r="Q34" s="1538" t="str">
        <f t="shared" si="8"/>
        <v>土地级别</v>
      </c>
      <c r="R34" s="714" t="s">
        <v>17</v>
      </c>
      <c r="S34" s="715">
        <f t="shared" si="10"/>
        <v>100</v>
      </c>
      <c r="T34" s="714" t="s">
        <v>17</v>
      </c>
      <c r="U34" s="715">
        <f t="shared" si="11"/>
        <v>100</v>
      </c>
      <c r="V34" s="714" t="s">
        <v>17</v>
      </c>
      <c r="W34" s="715">
        <f t="shared" si="12"/>
        <v>100</v>
      </c>
      <c r="X34" s="1541"/>
      <c r="Y34" s="3317"/>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17"/>
      <c r="Q35" s="1538">
        <f t="shared" si="8"/>
        <v>111</v>
      </c>
      <c r="R35" s="714" t="s">
        <v>17</v>
      </c>
      <c r="S35" s="715">
        <f t="shared" si="10"/>
        <v>100</v>
      </c>
      <c r="T35" s="714" t="s">
        <v>17</v>
      </c>
      <c r="U35" s="715">
        <f t="shared" si="11"/>
        <v>100</v>
      </c>
      <c r="V35" s="714" t="s">
        <v>17</v>
      </c>
      <c r="W35" s="715">
        <f t="shared" si="12"/>
        <v>100</v>
      </c>
      <c r="X35" s="1541"/>
      <c r="Y35" s="3317"/>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78" t="s">
        <v>2387</v>
      </c>
      <c r="Q36" s="1538">
        <f t="shared" si="8"/>
        <v>111</v>
      </c>
      <c r="R36" s="714" t="s">
        <v>17</v>
      </c>
      <c r="S36" s="715">
        <f t="shared" si="10"/>
        <v>100</v>
      </c>
      <c r="T36" s="714" t="s">
        <v>17</v>
      </c>
      <c r="U36" s="715">
        <f t="shared" si="11"/>
        <v>100</v>
      </c>
      <c r="V36" s="714" t="s">
        <v>17</v>
      </c>
      <c r="W36" s="715">
        <f t="shared" si="12"/>
        <v>100</v>
      </c>
      <c r="X36" s="1541"/>
      <c r="Y36" s="3321" t="s">
        <v>2387</v>
      </c>
      <c r="Z36" s="1542">
        <f t="shared" si="13"/>
        <v>111</v>
      </c>
      <c r="AA36" s="1539">
        <f t="shared" si="3"/>
        <v>1</v>
      </c>
      <c r="AB36" s="1539">
        <f t="shared" si="4"/>
        <v>1</v>
      </c>
      <c r="AC36" s="1539">
        <f t="shared" si="5"/>
        <v>1</v>
      </c>
    </row>
    <row r="37" spans="1:29" s="430" customFormat="1" ht="15.6"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21"/>
      <c r="Q37" s="1538">
        <f t="shared" si="8"/>
        <v>111</v>
      </c>
      <c r="R37" s="717" t="s">
        <v>17</v>
      </c>
      <c r="S37" s="718">
        <f t="shared" si="10"/>
        <v>100</v>
      </c>
      <c r="T37" s="717" t="s">
        <v>17</v>
      </c>
      <c r="U37" s="718">
        <f t="shared" si="11"/>
        <v>100</v>
      </c>
      <c r="V37" s="717" t="s">
        <v>17</v>
      </c>
      <c r="W37" s="718">
        <f t="shared" si="12"/>
        <v>100</v>
      </c>
      <c r="X37" s="719"/>
      <c r="Y37" s="3321"/>
      <c r="Z37" s="720">
        <f t="shared" si="13"/>
        <v>111</v>
      </c>
      <c r="AA37" s="1539">
        <f t="shared" si="3"/>
        <v>1</v>
      </c>
      <c r="AB37" s="1539">
        <f t="shared" si="4"/>
        <v>1</v>
      </c>
      <c r="AC37" s="1539">
        <f t="shared" si="5"/>
        <v>1</v>
      </c>
    </row>
    <row r="38" spans="1:29" ht="15.6">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21"/>
      <c r="Q38" s="1538" t="str">
        <f>B38</f>
        <v>宗地面积</v>
      </c>
      <c r="R38" s="714" t="s">
        <v>17</v>
      </c>
      <c r="S38" s="715" t="e">
        <f t="shared" si="10"/>
        <v>#N/A</v>
      </c>
      <c r="T38" s="714" t="s">
        <v>17</v>
      </c>
      <c r="U38" s="715" t="e">
        <f t="shared" si="11"/>
        <v>#N/A</v>
      </c>
      <c r="V38" s="714" t="s">
        <v>17</v>
      </c>
      <c r="W38" s="715" t="e">
        <f t="shared" si="12"/>
        <v>#N/A</v>
      </c>
      <c r="X38" s="1541"/>
      <c r="Y38" s="3321"/>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0"/>
      <c r="M39" s="2944"/>
      <c r="N39" s="2944"/>
      <c r="O39" s="3002"/>
      <c r="P39" s="3321"/>
      <c r="Q39" s="1538" t="str">
        <f t="shared" ref="Q39:Q45" si="14">B39</f>
        <v>宗地形状</v>
      </c>
      <c r="R39" s="714" t="s">
        <v>17</v>
      </c>
      <c r="S39" s="715">
        <f t="shared" si="10"/>
        <v>100</v>
      </c>
      <c r="T39" s="714" t="s">
        <v>17</v>
      </c>
      <c r="U39" s="715">
        <f t="shared" si="11"/>
        <v>100</v>
      </c>
      <c r="V39" s="714" t="s">
        <v>17</v>
      </c>
      <c r="W39" s="715">
        <f t="shared" si="12"/>
        <v>100</v>
      </c>
      <c r="X39" s="1541"/>
      <c r="Y39" s="3321"/>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0"/>
      <c r="M40" s="2944"/>
      <c r="N40" s="2944"/>
      <c r="O40" s="3002"/>
      <c r="P40" s="3321"/>
      <c r="Q40" s="1538" t="str">
        <f t="shared" si="14"/>
        <v>临街宽度及深度</v>
      </c>
      <c r="R40" s="714" t="s">
        <v>17</v>
      </c>
      <c r="S40" s="715">
        <f t="shared" si="10"/>
        <v>100</v>
      </c>
      <c r="T40" s="714" t="s">
        <v>17</v>
      </c>
      <c r="U40" s="715">
        <f t="shared" si="11"/>
        <v>100</v>
      </c>
      <c r="V40" s="714" t="s">
        <v>17</v>
      </c>
      <c r="W40" s="715">
        <f t="shared" si="12"/>
        <v>100</v>
      </c>
      <c r="X40" s="1541"/>
      <c r="Y40" s="3321"/>
      <c r="Z40" s="1542" t="str">
        <f t="shared" si="13"/>
        <v>临街宽度及深度</v>
      </c>
      <c r="AA40" s="1539">
        <f t="shared" si="3"/>
        <v>1</v>
      </c>
      <c r="AB40" s="1539">
        <f t="shared" si="4"/>
        <v>1</v>
      </c>
      <c r="AC40" s="1539">
        <f t="shared" si="5"/>
        <v>1</v>
      </c>
    </row>
    <row r="41" spans="1:29" s="113" customFormat="1" ht="15">
      <c r="A41" s="432"/>
      <c r="B41" s="381" t="s">
        <v>2576</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5"/>
      <c r="M41" s="2946"/>
      <c r="N41" s="2946"/>
      <c r="O41" s="3000"/>
      <c r="P41" s="3321"/>
      <c r="Q41" s="1538" t="str">
        <f t="shared" si="14"/>
        <v>宗地开发程度</v>
      </c>
      <c r="R41" s="710" t="s">
        <v>17</v>
      </c>
      <c r="S41" s="711">
        <f t="shared" si="10"/>
        <v>100</v>
      </c>
      <c r="T41" s="710" t="s">
        <v>17</v>
      </c>
      <c r="U41" s="711">
        <f t="shared" si="11"/>
        <v>100</v>
      </c>
      <c r="V41" s="710" t="s">
        <v>17</v>
      </c>
      <c r="W41" s="711">
        <f t="shared" si="12"/>
        <v>100</v>
      </c>
      <c r="X41" s="712"/>
      <c r="Y41" s="3321"/>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0"/>
      <c r="M42" s="2944"/>
      <c r="N42" s="2944"/>
      <c r="O42" s="3002"/>
      <c r="P42" s="3321" t="s">
        <v>2387</v>
      </c>
      <c r="Q42" s="1538" t="str">
        <f t="shared" si="14"/>
        <v>工程地质条件</v>
      </c>
      <c r="R42" s="714" t="s">
        <v>17</v>
      </c>
      <c r="S42" s="715">
        <f t="shared" si="10"/>
        <v>100</v>
      </c>
      <c r="T42" s="714" t="s">
        <v>17</v>
      </c>
      <c r="U42" s="715">
        <f t="shared" si="11"/>
        <v>100</v>
      </c>
      <c r="V42" s="714" t="s">
        <v>17</v>
      </c>
      <c r="W42" s="715">
        <f t="shared" si="12"/>
        <v>100</v>
      </c>
      <c r="X42" s="1541"/>
      <c r="Y42" s="3321"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21"/>
      <c r="Q43" s="1538">
        <f t="shared" si="14"/>
        <v>111</v>
      </c>
      <c r="R43" s="714" t="s">
        <v>17</v>
      </c>
      <c r="S43" s="715">
        <f t="shared" si="10"/>
        <v>100</v>
      </c>
      <c r="T43" s="714" t="s">
        <v>17</v>
      </c>
      <c r="U43" s="715">
        <f t="shared" si="11"/>
        <v>100</v>
      </c>
      <c r="V43" s="714" t="s">
        <v>17</v>
      </c>
      <c r="W43" s="715">
        <f t="shared" si="12"/>
        <v>100</v>
      </c>
      <c r="X43" s="1541"/>
      <c r="Y43" s="3321"/>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21"/>
      <c r="Q44" s="1538">
        <f t="shared" si="14"/>
        <v>111</v>
      </c>
      <c r="R44" s="714" t="s">
        <v>17</v>
      </c>
      <c r="S44" s="715">
        <f t="shared" si="10"/>
        <v>100</v>
      </c>
      <c r="T44" s="714" t="s">
        <v>17</v>
      </c>
      <c r="U44" s="715">
        <f t="shared" si="11"/>
        <v>100</v>
      </c>
      <c r="V44" s="714" t="s">
        <v>17</v>
      </c>
      <c r="W44" s="715">
        <f t="shared" si="12"/>
        <v>100</v>
      </c>
      <c r="X44" s="1541"/>
      <c r="Y44" s="3321"/>
      <c r="Z44" s="1542">
        <f t="shared" si="13"/>
        <v>111</v>
      </c>
      <c r="AA44" s="1539">
        <f t="shared" si="3"/>
        <v>1</v>
      </c>
      <c r="AB44" s="1539">
        <f t="shared" si="4"/>
        <v>1</v>
      </c>
      <c r="AC44" s="1539">
        <f t="shared" si="5"/>
        <v>1</v>
      </c>
    </row>
    <row r="45" spans="1:29" s="430" customFormat="1" ht="15.6"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21"/>
      <c r="Q45" s="1538">
        <f t="shared" si="14"/>
        <v>111</v>
      </c>
      <c r="R45" s="717" t="s">
        <v>17</v>
      </c>
      <c r="S45" s="718">
        <f t="shared" si="10"/>
        <v>100</v>
      </c>
      <c r="T45" s="717" t="s">
        <v>17</v>
      </c>
      <c r="U45" s="718">
        <f t="shared" si="11"/>
        <v>100</v>
      </c>
      <c r="V45" s="717" t="s">
        <v>17</v>
      </c>
      <c r="W45" s="718">
        <f t="shared" si="12"/>
        <v>100</v>
      </c>
      <c r="X45" s="719"/>
      <c r="Y45" s="3321"/>
      <c r="Z45" s="720">
        <f t="shared" si="13"/>
        <v>111</v>
      </c>
      <c r="AA45" s="1539">
        <f t="shared" si="3"/>
        <v>1</v>
      </c>
      <c r="AB45" s="1539">
        <f t="shared" si="4"/>
        <v>1</v>
      </c>
      <c r="AC45" s="1539">
        <f t="shared" si="5"/>
        <v>1</v>
      </c>
    </row>
    <row r="46" spans="1:29" ht="14.4">
      <c r="A46" s="438" t="s">
        <v>2542</v>
      </c>
      <c r="B46" s="2169" t="s">
        <v>2578</v>
      </c>
      <c r="C46" s="638" t="s">
        <v>1</v>
      </c>
      <c r="D46" s="440"/>
      <c r="E46" s="441"/>
      <c r="F46" s="442"/>
      <c r="G46" s="443"/>
      <c r="H46" s="444"/>
      <c r="I46" s="441"/>
      <c r="J46" s="444"/>
      <c r="K46" s="723"/>
      <c r="L46" s="2952"/>
      <c r="M46" s="2953"/>
      <c r="N46" s="2944"/>
      <c r="O46" s="2953"/>
      <c r="P46" s="3314" t="str">
        <f>A46</f>
        <v>成交单价</v>
      </c>
      <c r="Q46" s="3314"/>
      <c r="R46" s="3345">
        <f>E46</f>
        <v>0</v>
      </c>
      <c r="S46" s="3345"/>
      <c r="T46" s="3345">
        <f>G46</f>
        <v>0</v>
      </c>
      <c r="U46" s="3345"/>
      <c r="V46" s="3345">
        <f>I46</f>
        <v>0</v>
      </c>
      <c r="W46" s="3345"/>
      <c r="X46" s="699"/>
      <c r="Y46" s="721"/>
      <c r="Z46" s="699"/>
      <c r="AA46" s="699"/>
      <c r="AB46" s="699"/>
      <c r="AC46" s="699"/>
    </row>
    <row r="47" spans="1:29" ht="15" thickBot="1">
      <c r="A47" s="445" t="s">
        <v>2491</v>
      </c>
      <c r="B47" s="639"/>
      <c r="C47" s="448" t="e">
        <f>R48</f>
        <v>#DIV/0!</v>
      </c>
      <c r="D47" s="2539" t="s">
        <v>2879</v>
      </c>
      <c r="E47" s="448" t="e">
        <f>R47</f>
        <v>#DIV/0!</v>
      </c>
      <c r="F47" s="2540"/>
      <c r="G47" s="447" t="e">
        <f>T47</f>
        <v>#DIV/0!</v>
      </c>
      <c r="H47" s="2540"/>
      <c r="I47" s="448" t="e">
        <f>V47</f>
        <v>#DIV/0!</v>
      </c>
      <c r="J47" s="2540"/>
      <c r="K47" s="2542">
        <f>F47+H47+J47</f>
        <v>0</v>
      </c>
      <c r="L47" s="2952"/>
      <c r="M47" s="2953"/>
      <c r="N47" s="2953"/>
      <c r="O47" s="2953"/>
      <c r="P47" s="3314" t="str">
        <f>A47</f>
        <v>比较价值（元/平方米）</v>
      </c>
      <c r="Q47" s="3314"/>
      <c r="R47" s="3380" t="e">
        <f>ROUND(PRODUCT(R46,AA7:AA45),0)</f>
        <v>#DIV/0!</v>
      </c>
      <c r="S47" s="3380"/>
      <c r="T47" s="3380" t="e">
        <f>ROUND(PRODUCT(T46,AB7:AB45),0)</f>
        <v>#DIV/0!</v>
      </c>
      <c r="U47" s="3380"/>
      <c r="V47" s="3380" t="e">
        <f>ROUND(PRODUCT(V46,AC7:AC45),0)</f>
        <v>#DIV/0!</v>
      </c>
      <c r="W47" s="3380"/>
      <c r="X47" s="699"/>
      <c r="Y47" s="699"/>
      <c r="Z47" s="699"/>
      <c r="AA47" s="699"/>
      <c r="AB47" s="699"/>
      <c r="AC47" s="699"/>
    </row>
    <row r="48" spans="1:29" ht="15" thickBot="1">
      <c r="A48" s="449" t="s">
        <v>2579</v>
      </c>
      <c r="B48" s="450"/>
      <c r="C48" s="451" t="e">
        <f>R48</f>
        <v>#DIV/0!</v>
      </c>
      <c r="D48" s="451"/>
      <c r="E48" s="451"/>
      <c r="F48" s="451"/>
      <c r="G48" s="451"/>
      <c r="H48" s="451"/>
      <c r="I48" s="451"/>
      <c r="J48" s="451"/>
      <c r="K48" s="724"/>
      <c r="L48" s="2952"/>
      <c r="M48" s="2953"/>
      <c r="N48" s="2953"/>
      <c r="O48" s="2953"/>
      <c r="P48" s="3311" t="str">
        <f>A48</f>
        <v>估价对象XX用房的比较价值（楼面单价，元/平方米）</v>
      </c>
      <c r="Q48" s="3312"/>
      <c r="R48" s="3381" t="e">
        <f>ROUND(IF(D47="简单平均",AVERAGE(R47:W47),R47*F47+T47*H47+V47*J47),0)</f>
        <v>#DIV/0!</v>
      </c>
      <c r="S48" s="3381"/>
      <c r="T48" s="3381"/>
      <c r="U48" s="3381"/>
      <c r="V48" s="3381"/>
      <c r="W48" s="3381"/>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4.4"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2580</v>
      </c>
      <c r="B55" s="641" t="s">
        <v>2581</v>
      </c>
      <c r="C55" s="2170" t="s">
        <v>2582</v>
      </c>
      <c r="D55" s="2171" t="s">
        <v>2583</v>
      </c>
      <c r="E55" s="642" t="s">
        <v>2584</v>
      </c>
      <c r="F55" s="1021" t="s">
        <v>2585</v>
      </c>
      <c r="G55" s="3329" t="s">
        <v>2586</v>
      </c>
      <c r="H55" s="3382"/>
      <c r="I55" s="140" t="s">
        <v>2587</v>
      </c>
      <c r="J55" s="2172">
        <f>项目基本情况!F35</f>
        <v>0</v>
      </c>
      <c r="K55" s="2173" t="s">
        <v>2588</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2589</v>
      </c>
      <c r="B56" s="645" t="e">
        <f>C48</f>
        <v>#DIV/0!</v>
      </c>
      <c r="C56" s="646">
        <v>1</v>
      </c>
      <c r="D56" s="1075">
        <v>1</v>
      </c>
      <c r="E56" s="646">
        <f>'数据-汇总表'!E8+'数据-汇总表'!E9</f>
        <v>671.51000000000022</v>
      </c>
      <c r="F56" s="1017" t="e">
        <f t="shared" ref="F56:F65" si="15">ROUND(B56*E56/10000,0)</f>
        <v>#DIV/0!</v>
      </c>
      <c r="G56" s="3325"/>
      <c r="H56" s="3314"/>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2590</v>
      </c>
      <c r="B57" s="224" t="e">
        <f>ROUND($C$48*C57*D57,0)</f>
        <v>#DIV/0!</v>
      </c>
      <c r="C57" s="176">
        <f t="shared" ref="C57:C65" si="16">IF($C$55="北京市系数",I57,J57)</f>
        <v>0</v>
      </c>
      <c r="D57" s="1076">
        <v>0.25</v>
      </c>
      <c r="E57" s="650"/>
      <c r="F57" s="1017" t="e">
        <f t="shared" si="15"/>
        <v>#DIV/0!</v>
      </c>
      <c r="G57" s="3383" t="s">
        <v>2591</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2592</v>
      </c>
      <c r="B58" s="224" t="e">
        <f t="shared" ref="B58:B65" si="17">ROUND($C$48*C58*D58,0)</f>
        <v>#DIV/0!</v>
      </c>
      <c r="C58" s="176">
        <f t="shared" si="16"/>
        <v>0</v>
      </c>
      <c r="D58" s="1076">
        <v>0.25</v>
      </c>
      <c r="E58" s="650"/>
      <c r="F58" s="1017" t="e">
        <f t="shared" si="15"/>
        <v>#DIV/0!</v>
      </c>
      <c r="G58" s="3383"/>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2593</v>
      </c>
      <c r="B59" s="224" t="e">
        <f t="shared" si="17"/>
        <v>#DIV/0!</v>
      </c>
      <c r="C59" s="176">
        <f t="shared" si="16"/>
        <v>0</v>
      </c>
      <c r="D59" s="1076">
        <v>0.25</v>
      </c>
      <c r="E59" s="650"/>
      <c r="F59" s="1017" t="e">
        <f t="shared" si="15"/>
        <v>#DIV/0!</v>
      </c>
      <c r="G59" s="3383"/>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2594</v>
      </c>
      <c r="B60" s="224" t="e">
        <f t="shared" si="17"/>
        <v>#DIV/0!</v>
      </c>
      <c r="C60" s="176">
        <f t="shared" si="16"/>
        <v>0</v>
      </c>
      <c r="D60" s="1076">
        <v>0.25</v>
      </c>
      <c r="E60" s="650"/>
      <c r="F60" s="1017" t="e">
        <f t="shared" si="15"/>
        <v>#DIV/0!</v>
      </c>
      <c r="G60" s="3383"/>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2595</v>
      </c>
      <c r="B61" s="224" t="e">
        <f t="shared" si="17"/>
        <v>#DIV/0!</v>
      </c>
      <c r="C61" s="176">
        <f t="shared" si="16"/>
        <v>0</v>
      </c>
      <c r="D61" s="1076">
        <v>0.25</v>
      </c>
      <c r="E61" s="223">
        <f>'数据-汇总表'!E11</f>
        <v>0</v>
      </c>
      <c r="F61" s="1017" t="e">
        <f t="shared" si="15"/>
        <v>#DIV/0!</v>
      </c>
      <c r="G61" s="2174" t="s">
        <v>2596</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2601</v>
      </c>
      <c r="B64" s="224" t="e">
        <f t="shared" si="17"/>
        <v>#DIV/0!</v>
      </c>
      <c r="C64" s="176">
        <f t="shared" si="16"/>
        <v>0</v>
      </c>
      <c r="D64" s="1076">
        <v>0.25</v>
      </c>
      <c r="E64" s="223">
        <f>'数据-汇总表'!E14</f>
        <v>0</v>
      </c>
      <c r="F64" s="1017" t="e">
        <f t="shared" si="15"/>
        <v>#DIV/0!</v>
      </c>
      <c r="G64" s="2174" t="s">
        <v>2591</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4.4" thickBot="1">
      <c r="A65" s="649" t="s">
        <v>2602</v>
      </c>
      <c r="B65" s="224" t="e">
        <f t="shared" si="17"/>
        <v>#DIV/0!</v>
      </c>
      <c r="C65" s="176">
        <f t="shared" si="16"/>
        <v>0</v>
      </c>
      <c r="D65" s="1076">
        <v>0.25</v>
      </c>
      <c r="E65" s="223">
        <f>'数据-汇总表'!E15</f>
        <v>0</v>
      </c>
      <c r="F65" s="1017" t="e">
        <f t="shared" si="15"/>
        <v>#DIV/0!</v>
      </c>
      <c r="G65" s="2175" t="s">
        <v>2596</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thickBot="1">
      <c r="A66" s="651" t="s">
        <v>2603</v>
      </c>
      <c r="B66" s="652" t="s">
        <v>28</v>
      </c>
      <c r="C66" s="652" t="s">
        <v>29</v>
      </c>
      <c r="D66" s="652" t="s">
        <v>997</v>
      </c>
      <c r="E66" s="652">
        <f>IF(B46="楼面地价",SUM(E56:E65),'数据-汇总表'!D3)</f>
        <v>671.51000000000022</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3"/>
      <c r="Q68" s="2953"/>
      <c r="R68" s="2953"/>
      <c r="S68" s="2953"/>
      <c r="T68" s="2953"/>
      <c r="U68" s="2953"/>
      <c r="V68" s="2953"/>
      <c r="W68" s="2953"/>
      <c r="X68" s="2953"/>
      <c r="Y68" s="2953"/>
      <c r="Z68" s="2953"/>
      <c r="AA68" s="2953"/>
      <c r="AB68" s="2953"/>
      <c r="AC68" s="2953"/>
    </row>
    <row r="69" spans="1:29" ht="22.2" thickBot="1">
      <c r="A69" s="703" t="s">
        <v>2496</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4.4">
      <c r="A70" s="2176" t="s">
        <v>2604</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4"/>
      <c r="Q70" s="2969"/>
      <c r="R70" s="2969"/>
      <c r="S70" s="2969"/>
      <c r="T70" s="2969"/>
      <c r="U70" s="2969"/>
      <c r="V70" s="2969"/>
      <c r="W70" s="2969"/>
      <c r="X70" s="2969"/>
      <c r="Y70" s="2969"/>
      <c r="Z70" s="2969"/>
      <c r="AA70" s="2969"/>
      <c r="AB70" s="2969"/>
      <c r="AC70" s="2969"/>
    </row>
    <row r="71" spans="1:29" s="113" customFormat="1" ht="30" customHeight="1">
      <c r="A71" s="2177" t="s">
        <v>2605</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 thickBot="1">
      <c r="A72" s="472" t="s">
        <v>2407</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4.4">
      <c r="A73" s="478" t="s">
        <v>2372</v>
      </c>
      <c r="B73" s="467"/>
      <c r="C73" s="479" t="s">
        <v>2474</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4.4"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ht="14.4">
      <c r="A75" s="484" t="s">
        <v>2410</v>
      </c>
      <c r="B75" s="485" t="s">
        <v>2376</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4.4"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9.4" thickTop="1">
      <c r="A77" s="491"/>
      <c r="B77" s="495" t="s">
        <v>2379</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4.4"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4.4"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4.4"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4.4"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4.4"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4.4"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4.4"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ht="14.4">
      <c r="A88" s="484" t="s">
        <v>2381</v>
      </c>
      <c r="B88" s="485" t="s">
        <v>2418</v>
      </c>
      <c r="C88" s="530" t="s">
        <v>2419</v>
      </c>
      <c r="D88" s="530" t="s">
        <v>2420</v>
      </c>
      <c r="E88" s="530" t="s">
        <v>2421</v>
      </c>
      <c r="F88" s="530" t="s">
        <v>2422</v>
      </c>
      <c r="G88" s="530" t="s">
        <v>2423</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 thickTop="1">
      <c r="A90" s="491"/>
      <c r="B90" s="495" t="s">
        <v>2606</v>
      </c>
      <c r="C90" s="535" t="s">
        <v>2419</v>
      </c>
      <c r="D90" s="535" t="s">
        <v>2420</v>
      </c>
      <c r="E90" s="535" t="s">
        <v>2421</v>
      </c>
      <c r="F90" s="535" t="s">
        <v>2422</v>
      </c>
      <c r="G90" s="535" t="s">
        <v>2423</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 thickTop="1">
      <c r="A92" s="491"/>
      <c r="B92" s="495" t="s">
        <v>2519</v>
      </c>
      <c r="C92" s="535" t="s">
        <v>2419</v>
      </c>
      <c r="D92" s="535" t="s">
        <v>2420</v>
      </c>
      <c r="E92" s="535" t="s">
        <v>2421</v>
      </c>
      <c r="F92" s="535" t="s">
        <v>2422</v>
      </c>
      <c r="G92" s="535" t="s">
        <v>2423</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 thickTop="1">
      <c r="A94" s="491"/>
      <c r="B94" s="495" t="s">
        <v>2424</v>
      </c>
      <c r="C94" s="535" t="s">
        <v>2419</v>
      </c>
      <c r="D94" s="535" t="s">
        <v>2420</v>
      </c>
      <c r="E94" s="535" t="s">
        <v>2421</v>
      </c>
      <c r="F94" s="535" t="s">
        <v>2422</v>
      </c>
      <c r="G94" s="535" t="s">
        <v>2423</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29.4" thickTop="1">
      <c r="A96" s="536"/>
      <c r="B96" s="495" t="s">
        <v>2607</v>
      </c>
      <c r="C96" s="535" t="s">
        <v>2419</v>
      </c>
      <c r="D96" s="535" t="s">
        <v>2420</v>
      </c>
      <c r="E96" s="535" t="s">
        <v>2421</v>
      </c>
      <c r="F96" s="535" t="s">
        <v>2422</v>
      </c>
      <c r="G96" s="535" t="s">
        <v>2423</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9.4" thickTop="1">
      <c r="A98" s="536"/>
      <c r="B98" s="495" t="s">
        <v>2608</v>
      </c>
      <c r="C98" s="530" t="s">
        <v>2419</v>
      </c>
      <c r="D98" s="530" t="s">
        <v>2420</v>
      </c>
      <c r="E98" s="530" t="s">
        <v>2421</v>
      </c>
      <c r="F98" s="530" t="s">
        <v>2422</v>
      </c>
      <c r="G98" s="530" t="s">
        <v>2423</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 thickTop="1">
      <c r="A100" s="510"/>
      <c r="B100" s="495" t="s">
        <v>2476</v>
      </c>
      <c r="C100" s="530" t="s">
        <v>2419</v>
      </c>
      <c r="D100" s="530" t="s">
        <v>2420</v>
      </c>
      <c r="E100" s="530" t="s">
        <v>2421</v>
      </c>
      <c r="F100" s="530" t="s">
        <v>2422</v>
      </c>
      <c r="G100" s="530" t="s">
        <v>2423</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 thickTop="1">
      <c r="A102" s="510"/>
      <c r="B102" s="503" t="s">
        <v>2477</v>
      </c>
      <c r="C102" s="616" t="s">
        <v>2497</v>
      </c>
      <c r="D102" s="616" t="s">
        <v>2498</v>
      </c>
      <c r="E102" s="616" t="s">
        <v>2499</v>
      </c>
      <c r="F102" s="616" t="s">
        <v>2500</v>
      </c>
      <c r="G102" s="616" t="s">
        <v>2501</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 thickTop="1">
      <c r="A104" s="491"/>
      <c r="B104" s="495" t="str">
        <f>B31</f>
        <v>临街状况</v>
      </c>
      <c r="C104" s="496" t="s">
        <v>2609</v>
      </c>
      <c r="D104" s="496" t="s">
        <v>2610</v>
      </c>
      <c r="E104" s="496" t="s">
        <v>2611</v>
      </c>
      <c r="F104" s="496" t="s">
        <v>2612</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9.4" thickTop="1">
      <c r="A106" s="491"/>
      <c r="B106" s="495" t="s">
        <v>2513</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 thickTop="1">
      <c r="A108" s="491"/>
      <c r="B108" s="495" t="s">
        <v>2572</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4.4"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4.4"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4.4"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4.4"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4.4"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4.4"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ht="14.4">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4.4"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2614</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2615</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2616</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2617</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4.4"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4.4"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4.4"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4.4"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4.4"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4.4"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4.4">
      <c r="A4" s="361" t="s">
        <v>2467</v>
      </c>
      <c r="B4" s="362"/>
      <c r="C4" s="3329" t="s">
        <v>2468</v>
      </c>
      <c r="D4" s="3330"/>
      <c r="E4" s="3331" t="s">
        <v>2469</v>
      </c>
      <c r="F4" s="3332"/>
      <c r="G4" s="3329" t="s">
        <v>2470</v>
      </c>
      <c r="H4" s="3330"/>
      <c r="I4" s="3329" t="s">
        <v>2471</v>
      </c>
      <c r="J4" s="3330"/>
      <c r="K4" s="567" t="s">
        <v>2472</v>
      </c>
      <c r="L4" s="2943"/>
      <c r="M4" s="2944"/>
      <c r="N4" s="2944"/>
      <c r="O4" s="2944"/>
      <c r="P4" s="3333" t="s">
        <v>2473</v>
      </c>
      <c r="Q4" s="3334"/>
      <c r="R4" s="3339" t="s">
        <v>2469</v>
      </c>
      <c r="S4" s="3340"/>
      <c r="T4" s="3339" t="s">
        <v>2470</v>
      </c>
      <c r="U4" s="3340"/>
      <c r="V4" s="3345" t="s">
        <v>2471</v>
      </c>
      <c r="W4" s="3345"/>
      <c r="X4" s="1541"/>
      <c r="Y4" s="3339" t="s">
        <v>2473</v>
      </c>
      <c r="Z4" s="3340"/>
      <c r="AA4" s="3326" t="s">
        <v>2469</v>
      </c>
      <c r="AB4" s="3327" t="s">
        <v>2470</v>
      </c>
      <c r="AC4" s="3326" t="s">
        <v>2471</v>
      </c>
    </row>
    <row r="5" spans="1:29">
      <c r="A5" s="364"/>
      <c r="B5" s="365"/>
      <c r="C5" s="3348" t="s">
        <v>2364</v>
      </c>
      <c r="D5" s="3349"/>
      <c r="E5" s="3355" t="s">
        <v>2365</v>
      </c>
      <c r="F5" s="3356"/>
      <c r="G5" s="3348" t="s">
        <v>2366</v>
      </c>
      <c r="H5" s="3349"/>
      <c r="I5" s="3348" t="s">
        <v>2367</v>
      </c>
      <c r="J5" s="3349"/>
      <c r="K5" s="567"/>
      <c r="L5" s="2943"/>
      <c r="M5" s="2944"/>
      <c r="N5" s="2944"/>
      <c r="O5" s="2944"/>
      <c r="P5" s="3335"/>
      <c r="Q5" s="3336"/>
      <c r="R5" s="3341"/>
      <c r="S5" s="3342"/>
      <c r="T5" s="3341"/>
      <c r="U5" s="3342"/>
      <c r="V5" s="3345"/>
      <c r="W5" s="3345"/>
      <c r="X5" s="1541"/>
      <c r="Y5" s="3341"/>
      <c r="Z5" s="3342"/>
      <c r="AA5" s="3327"/>
      <c r="AB5" s="3327"/>
      <c r="AC5" s="3327"/>
    </row>
    <row r="6" spans="1:29" ht="15" thickBot="1">
      <c r="A6" s="366"/>
      <c r="B6" s="367"/>
      <c r="C6" s="3384" t="s">
        <v>2619</v>
      </c>
      <c r="D6" s="3385"/>
      <c r="E6" s="3386" t="s">
        <v>2619</v>
      </c>
      <c r="F6" s="3387"/>
      <c r="G6" s="3384" t="s">
        <v>2619</v>
      </c>
      <c r="H6" s="3385"/>
      <c r="I6" s="3384" t="s">
        <v>2619</v>
      </c>
      <c r="J6" s="3385"/>
      <c r="K6" s="567" t="s">
        <v>2369</v>
      </c>
      <c r="L6" s="2943"/>
      <c r="M6" s="2944"/>
      <c r="N6" s="2944"/>
      <c r="O6" s="2944"/>
      <c r="P6" s="3337"/>
      <c r="Q6" s="3338"/>
      <c r="R6" s="3341"/>
      <c r="S6" s="3342"/>
      <c r="T6" s="3343"/>
      <c r="U6" s="3344"/>
      <c r="V6" s="3345"/>
      <c r="W6" s="3345"/>
      <c r="X6" s="1541"/>
      <c r="Y6" s="3343"/>
      <c r="Z6" s="3344"/>
      <c r="AA6" s="3328"/>
      <c r="AB6" s="3328"/>
      <c r="AC6" s="3328"/>
    </row>
    <row r="7" spans="1:29" s="113" customFormat="1" ht="15" thickBot="1">
      <c r="A7" s="368" t="s">
        <v>2370</v>
      </c>
      <c r="B7" s="369"/>
      <c r="C7" s="370">
        <f>'数据-取费表'!B2</f>
        <v>44209</v>
      </c>
      <c r="D7" s="371">
        <v>100</v>
      </c>
      <c r="E7" s="372"/>
      <c r="F7" s="373">
        <f>SUMIF(65:65,YEAR(E7)&amp;"-"&amp;INT((MONTH(E7)+2)/3),66:66)</f>
        <v>0</v>
      </c>
      <c r="G7" s="2161"/>
      <c r="H7" s="371">
        <f>SUMIF(65:65,YEAR(G7)&amp;"-"&amp;INT((MONTH(G7)+2)/3),66:66)</f>
        <v>0</v>
      </c>
      <c r="I7" s="2161"/>
      <c r="J7" s="371">
        <f>SUMIF(65:65,YEAR(I7)&amp;"-"&amp;INT((MONTH(I7)+2)/3),66:66)</f>
        <v>0</v>
      </c>
      <c r="K7" s="568"/>
      <c r="L7" s="2945"/>
      <c r="M7" s="2946"/>
      <c r="N7" s="2946"/>
      <c r="O7" s="2946"/>
      <c r="P7" s="3350" t="s">
        <v>2371</v>
      </c>
      <c r="Q7" s="3352"/>
      <c r="R7" s="710" t="s">
        <v>17</v>
      </c>
      <c r="S7" s="711">
        <f t="shared" ref="S7:S15" si="0">F7</f>
        <v>0</v>
      </c>
      <c r="T7" s="710" t="s">
        <v>17</v>
      </c>
      <c r="U7" s="711">
        <f t="shared" ref="U7:U15" si="1">H7</f>
        <v>0</v>
      </c>
      <c r="V7" s="710" t="s">
        <v>17</v>
      </c>
      <c r="W7" s="711">
        <f t="shared" ref="W7:W15" si="2">J7</f>
        <v>0</v>
      </c>
      <c r="X7" s="712"/>
      <c r="Y7" s="3350" t="s">
        <v>2371</v>
      </c>
      <c r="Z7" s="3351"/>
      <c r="AA7" s="713" t="e">
        <f>D7/F7</f>
        <v>#DIV/0!</v>
      </c>
      <c r="AB7" s="713" t="e">
        <f>D7/H7</f>
        <v>#DIV/0!</v>
      </c>
      <c r="AC7" s="713" t="e">
        <f>D7/J7</f>
        <v>#DIV/0!</v>
      </c>
    </row>
    <row r="8" spans="1:29" s="113" customFormat="1" ht="1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50" t="s">
        <v>2374</v>
      </c>
      <c r="Q8" s="3351"/>
      <c r="R8" s="710" t="s">
        <v>17</v>
      </c>
      <c r="S8" s="711">
        <f t="shared" si="0"/>
        <v>0</v>
      </c>
      <c r="T8" s="710" t="s">
        <v>17</v>
      </c>
      <c r="U8" s="711">
        <f t="shared" si="1"/>
        <v>0</v>
      </c>
      <c r="V8" s="710" t="s">
        <v>17</v>
      </c>
      <c r="W8" s="711">
        <f t="shared" si="2"/>
        <v>0</v>
      </c>
      <c r="X8" s="712"/>
      <c r="Y8" s="3350" t="s">
        <v>2374</v>
      </c>
      <c r="Z8" s="3351"/>
      <c r="AA8" s="713" t="e">
        <f t="shared" ref="AA8:AA40" si="3">D8/F8</f>
        <v>#DIV/0!</v>
      </c>
      <c r="AB8" s="713" t="e">
        <f t="shared" ref="AB8:AB40" si="4">D8/H8</f>
        <v>#DIV/0!</v>
      </c>
      <c r="AC8" s="713" t="e">
        <f t="shared" ref="AC8:AC40" si="5">D8/J8</f>
        <v>#DIV/0!</v>
      </c>
    </row>
    <row r="9" spans="1:29" s="113" customFormat="1" ht="14.4">
      <c r="A9" s="375" t="s">
        <v>2375</v>
      </c>
      <c r="B9" s="67" t="s">
        <v>2376</v>
      </c>
      <c r="C9" s="2164"/>
      <c r="D9" s="131">
        <v>100</v>
      </c>
      <c r="E9" s="2164"/>
      <c r="F9" s="131">
        <f>SUMIF(70:70,E9,71:71)-SUMIF(70:70,C9,71:71)+100</f>
        <v>100</v>
      </c>
      <c r="G9" s="2164"/>
      <c r="H9" s="131">
        <f>SUMIF(70:70,G9,71:71)-SUMIF(70:70,C9,71:71)+100</f>
        <v>100</v>
      </c>
      <c r="I9" s="2164"/>
      <c r="J9" s="131">
        <f>SUMIF(70:70,I9,71:71)-SUMIF(70:70,C9,71:71)+100</f>
        <v>100</v>
      </c>
      <c r="K9" s="568"/>
      <c r="L9" s="2945"/>
      <c r="M9" s="2946"/>
      <c r="N9" s="2946"/>
      <c r="O9" s="3000"/>
      <c r="P9" s="3314" t="s">
        <v>2377</v>
      </c>
      <c r="Q9" s="1529" t="str">
        <f t="shared" ref="Q9:Q15" si="6">B9</f>
        <v>用途</v>
      </c>
      <c r="R9" s="710" t="s">
        <v>17</v>
      </c>
      <c r="S9" s="711">
        <f t="shared" si="0"/>
        <v>100</v>
      </c>
      <c r="T9" s="710" t="s">
        <v>17</v>
      </c>
      <c r="U9" s="711">
        <f t="shared" si="1"/>
        <v>100</v>
      </c>
      <c r="V9" s="710" t="s">
        <v>17</v>
      </c>
      <c r="W9" s="711">
        <f t="shared" si="2"/>
        <v>100</v>
      </c>
      <c r="X9" s="712"/>
      <c r="Y9" s="3184" t="s">
        <v>2378</v>
      </c>
      <c r="Z9" s="55" t="str">
        <f t="shared" ref="Z9:Z15" si="7">Q9</f>
        <v>用途</v>
      </c>
      <c r="AA9" s="713">
        <f t="shared" si="3"/>
        <v>1</v>
      </c>
      <c r="AB9" s="713">
        <f t="shared" si="4"/>
        <v>1</v>
      </c>
      <c r="AC9" s="713">
        <f t="shared" si="5"/>
        <v>1</v>
      </c>
    </row>
    <row r="10" spans="1:29" s="386" customFormat="1" ht="28.8">
      <c r="A10" s="380"/>
      <c r="B10" s="381" t="s">
        <v>2379</v>
      </c>
      <c r="C10" s="391"/>
      <c r="D10" s="132">
        <v>100</v>
      </c>
      <c r="E10" s="391"/>
      <c r="F10" s="132">
        <f>ROUND(100/'数据-取费表'!G16,0)</f>
        <v>113</v>
      </c>
      <c r="G10" s="391"/>
      <c r="H10" s="132">
        <f>ROUND(100/'数据-取费表'!G16,0)</f>
        <v>113</v>
      </c>
      <c r="I10" s="391"/>
      <c r="J10" s="132">
        <f>ROUND(100/'数据-取费表'!G16,0)</f>
        <v>113</v>
      </c>
      <c r="K10" s="628"/>
      <c r="L10" s="2947"/>
      <c r="M10" s="2948"/>
      <c r="N10" s="2948"/>
      <c r="O10" s="3001"/>
      <c r="P10" s="3314"/>
      <c r="Q10" s="1529" t="str">
        <f t="shared" si="6"/>
        <v>土地使用年限（年）</v>
      </c>
      <c r="R10" s="710" t="s">
        <v>17</v>
      </c>
      <c r="S10" s="711">
        <f t="shared" si="0"/>
        <v>113</v>
      </c>
      <c r="T10" s="710" t="s">
        <v>17</v>
      </c>
      <c r="U10" s="711">
        <f t="shared" si="1"/>
        <v>113</v>
      </c>
      <c r="V10" s="710" t="s">
        <v>17</v>
      </c>
      <c r="W10" s="711">
        <f t="shared" si="2"/>
        <v>113</v>
      </c>
      <c r="X10" s="712"/>
      <c r="Y10" s="3184"/>
      <c r="Z10" s="55" t="str">
        <f t="shared" si="7"/>
        <v>土地使用年限（年）</v>
      </c>
      <c r="AA10" s="713">
        <f t="shared" si="3"/>
        <v>0.88495575221238942</v>
      </c>
      <c r="AB10" s="713">
        <f t="shared" si="4"/>
        <v>0.88495575221238942</v>
      </c>
      <c r="AC10" s="713">
        <f t="shared" si="5"/>
        <v>0.88495575221238942</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14"/>
      <c r="Q11" s="1529" t="str">
        <f t="shared" si="6"/>
        <v>容积率</v>
      </c>
      <c r="R11" s="710" t="s">
        <v>17</v>
      </c>
      <c r="S11" s="711" t="e">
        <f t="shared" si="0"/>
        <v>#N/A</v>
      </c>
      <c r="T11" s="710" t="s">
        <v>17</v>
      </c>
      <c r="U11" s="711" t="e">
        <f t="shared" si="1"/>
        <v>#N/A</v>
      </c>
      <c r="V11" s="710" t="s">
        <v>17</v>
      </c>
      <c r="W11" s="711" t="e">
        <f t="shared" si="2"/>
        <v>#N/A</v>
      </c>
      <c r="X11" s="712"/>
      <c r="Y11" s="3184"/>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14"/>
      <c r="Q12" s="1529">
        <f t="shared" si="6"/>
        <v>111</v>
      </c>
      <c r="R12" s="710" t="s">
        <v>17</v>
      </c>
      <c r="S12" s="711">
        <f t="shared" si="0"/>
        <v>100</v>
      </c>
      <c r="T12" s="710" t="s">
        <v>17</v>
      </c>
      <c r="U12" s="711">
        <f t="shared" si="1"/>
        <v>100</v>
      </c>
      <c r="V12" s="710" t="s">
        <v>17</v>
      </c>
      <c r="W12" s="711">
        <f t="shared" si="2"/>
        <v>100</v>
      </c>
      <c r="X12" s="712"/>
      <c r="Y12" s="3184"/>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14"/>
      <c r="Q13" s="1529">
        <f t="shared" si="6"/>
        <v>111</v>
      </c>
      <c r="R13" s="710" t="s">
        <v>17</v>
      </c>
      <c r="S13" s="711">
        <f t="shared" si="0"/>
        <v>100</v>
      </c>
      <c r="T13" s="710" t="s">
        <v>17</v>
      </c>
      <c r="U13" s="711">
        <f t="shared" si="1"/>
        <v>100</v>
      </c>
      <c r="V13" s="710" t="s">
        <v>17</v>
      </c>
      <c r="W13" s="711">
        <f t="shared" si="2"/>
        <v>100</v>
      </c>
      <c r="X13" s="712"/>
      <c r="Y13" s="3184"/>
      <c r="Z13" s="55">
        <f t="shared" si="7"/>
        <v>111</v>
      </c>
      <c r="AA13" s="713">
        <f t="shared" si="3"/>
        <v>1</v>
      </c>
      <c r="AB13" s="713">
        <f t="shared" si="4"/>
        <v>1</v>
      </c>
      <c r="AC13" s="713">
        <f t="shared" si="5"/>
        <v>1</v>
      </c>
    </row>
    <row r="14" spans="1:29" ht="15.6"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14"/>
      <c r="Q14" s="1529">
        <f t="shared" si="6"/>
        <v>111</v>
      </c>
      <c r="R14" s="710" t="s">
        <v>17</v>
      </c>
      <c r="S14" s="711">
        <f t="shared" si="0"/>
        <v>100</v>
      </c>
      <c r="T14" s="710" t="s">
        <v>17</v>
      </c>
      <c r="U14" s="711">
        <f t="shared" si="1"/>
        <v>100</v>
      </c>
      <c r="V14" s="710" t="s">
        <v>17</v>
      </c>
      <c r="W14" s="711">
        <f t="shared" si="2"/>
        <v>100</v>
      </c>
      <c r="X14" s="712"/>
      <c r="Y14" s="3184"/>
      <c r="Z14" s="55">
        <f t="shared" si="7"/>
        <v>111</v>
      </c>
      <c r="AA14" s="713">
        <f t="shared" si="3"/>
        <v>1</v>
      </c>
      <c r="AB14" s="713">
        <f t="shared" si="4"/>
        <v>1</v>
      </c>
      <c r="AC14" s="713">
        <f t="shared" si="5"/>
        <v>1</v>
      </c>
    </row>
    <row r="15" spans="1:29" ht="69">
      <c r="A15" s="399" t="s">
        <v>2381</v>
      </c>
      <c r="B15" s="585" t="s">
        <v>2620</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16" t="s">
        <v>2382</v>
      </c>
      <c r="Q15" s="1538" t="str">
        <f t="shared" si="6"/>
        <v>产业集聚程度</v>
      </c>
      <c r="R15" s="714" t="s">
        <v>17</v>
      </c>
      <c r="S15" s="715">
        <f t="shared" si="0"/>
        <v>100</v>
      </c>
      <c r="T15" s="714" t="s">
        <v>17</v>
      </c>
      <c r="U15" s="715">
        <f t="shared" si="1"/>
        <v>100</v>
      </c>
      <c r="V15" s="714" t="s">
        <v>17</v>
      </c>
      <c r="W15" s="715">
        <f t="shared" si="2"/>
        <v>100</v>
      </c>
      <c r="X15" s="1541"/>
      <c r="Y15" s="3316"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0"/>
      <c r="M16" s="2944"/>
      <c r="N16" s="2944"/>
      <c r="O16" s="3002"/>
      <c r="P16" s="3317"/>
      <c r="Q16" s="1538"/>
      <c r="R16" s="714"/>
      <c r="S16" s="715"/>
      <c r="T16" s="714"/>
      <c r="U16" s="715"/>
      <c r="V16" s="714"/>
      <c r="W16" s="715"/>
      <c r="X16" s="1541"/>
      <c r="Y16" s="3317"/>
      <c r="Z16" s="1542"/>
      <c r="AA16" s="1539">
        <v>1</v>
      </c>
      <c r="AB16" s="1539">
        <v>1</v>
      </c>
      <c r="AC16" s="1539">
        <v>1</v>
      </c>
    </row>
    <row r="17" spans="1:29" ht="96.6">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17"/>
      <c r="Q17" s="1538" t="str">
        <f>B17</f>
        <v>交通便捷度</v>
      </c>
      <c r="R17" s="714" t="s">
        <v>17</v>
      </c>
      <c r="S17" s="715">
        <f>F17</f>
        <v>100</v>
      </c>
      <c r="T17" s="714" t="s">
        <v>17</v>
      </c>
      <c r="U17" s="715">
        <f>H17</f>
        <v>100</v>
      </c>
      <c r="V17" s="714" t="s">
        <v>17</v>
      </c>
      <c r="W17" s="715">
        <f>J17</f>
        <v>100</v>
      </c>
      <c r="X17" s="1541"/>
      <c r="Y17" s="3317"/>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0"/>
      <c r="M18" s="2944"/>
      <c r="N18" s="2944"/>
      <c r="O18" s="3002"/>
      <c r="P18" s="3317"/>
      <c r="Q18" s="1538"/>
      <c r="R18" s="714"/>
      <c r="S18" s="715"/>
      <c r="T18" s="714"/>
      <c r="U18" s="715"/>
      <c r="V18" s="714"/>
      <c r="W18" s="715"/>
      <c r="X18" s="1541"/>
      <c r="Y18" s="3317"/>
      <c r="Z18" s="1542"/>
      <c r="AA18" s="1539">
        <v>1</v>
      </c>
      <c r="AB18" s="1539">
        <v>1</v>
      </c>
      <c r="AC18" s="1539">
        <v>1</v>
      </c>
    </row>
    <row r="19" spans="1:29" ht="28.8">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17"/>
      <c r="Q19" s="1538" t="str">
        <f t="shared" ref="Q19:Q33" si="8">B19</f>
        <v>区域土地利用方向</v>
      </c>
      <c r="R19" s="714" t="s">
        <v>17</v>
      </c>
      <c r="S19" s="715">
        <f>F19</f>
        <v>100</v>
      </c>
      <c r="T19" s="714" t="s">
        <v>17</v>
      </c>
      <c r="U19" s="715">
        <f>H19</f>
        <v>100</v>
      </c>
      <c r="V19" s="714" t="s">
        <v>17</v>
      </c>
      <c r="W19" s="715">
        <f>J19</f>
        <v>100</v>
      </c>
      <c r="X19" s="1541"/>
      <c r="Y19" s="3317"/>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0"/>
      <c r="M20" s="2944"/>
      <c r="N20" s="2944"/>
      <c r="O20" s="3002"/>
      <c r="P20" s="3317"/>
      <c r="Q20" s="1538"/>
      <c r="R20" s="714"/>
      <c r="S20" s="715"/>
      <c r="T20" s="714"/>
      <c r="U20" s="715"/>
      <c r="V20" s="714"/>
      <c r="W20" s="715"/>
      <c r="X20" s="1541"/>
      <c r="Y20" s="3317"/>
      <c r="Z20" s="1542"/>
      <c r="AA20" s="1539"/>
      <c r="AB20" s="1539"/>
      <c r="AC20" s="1539"/>
    </row>
    <row r="21" spans="1:29" ht="82.8">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17"/>
      <c r="Q21" s="1538" t="str">
        <f t="shared" si="8"/>
        <v>环境状况</v>
      </c>
      <c r="R21" s="714" t="s">
        <v>17</v>
      </c>
      <c r="S21" s="715">
        <f>F21</f>
        <v>100</v>
      </c>
      <c r="T21" s="714" t="s">
        <v>17</v>
      </c>
      <c r="U21" s="715">
        <f>H21</f>
        <v>100</v>
      </c>
      <c r="V21" s="714" t="s">
        <v>17</v>
      </c>
      <c r="W21" s="715">
        <f>J21</f>
        <v>100</v>
      </c>
      <c r="X21" s="1541"/>
      <c r="Y21" s="3317"/>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0"/>
      <c r="M22" s="2944"/>
      <c r="N22" s="2944"/>
      <c r="O22" s="3002"/>
      <c r="P22" s="3317"/>
      <c r="Q22" s="1538"/>
      <c r="R22" s="714"/>
      <c r="S22" s="715"/>
      <c r="T22" s="714"/>
      <c r="U22" s="715"/>
      <c r="V22" s="714"/>
      <c r="W22" s="715"/>
      <c r="X22" s="1541"/>
      <c r="Y22" s="3317"/>
      <c r="Z22" s="1542"/>
      <c r="AA22" s="1539">
        <v>1</v>
      </c>
      <c r="AB22" s="1539">
        <v>1</v>
      </c>
      <c r="AC22" s="1539">
        <v>1</v>
      </c>
    </row>
    <row r="23" spans="1:29" s="113" customFormat="1" ht="41.4">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17"/>
      <c r="Q23" s="1529" t="str">
        <f t="shared" si="8"/>
        <v>公共配套设施</v>
      </c>
      <c r="R23" s="710" t="s">
        <v>17</v>
      </c>
      <c r="S23" s="711">
        <f>F23</f>
        <v>100</v>
      </c>
      <c r="T23" s="710" t="s">
        <v>17</v>
      </c>
      <c r="U23" s="711">
        <f>H23</f>
        <v>100</v>
      </c>
      <c r="V23" s="710" t="s">
        <v>17</v>
      </c>
      <c r="W23" s="711">
        <f>J23</f>
        <v>100</v>
      </c>
      <c r="X23" s="712"/>
      <c r="Y23" s="3317"/>
      <c r="Z23" s="55" t="str">
        <f>Q23</f>
        <v>公共配套设施</v>
      </c>
      <c r="AA23" s="1539">
        <f>D23/F23</f>
        <v>1</v>
      </c>
      <c r="AB23" s="1539">
        <f>D23/H23</f>
        <v>1</v>
      </c>
      <c r="AC23" s="1539">
        <f>D23/J23</f>
        <v>1</v>
      </c>
    </row>
    <row r="24" spans="1:29" s="113" customFormat="1" ht="15">
      <c r="A24" s="605"/>
      <c r="B24" s="588"/>
      <c r="C24" s="2165"/>
      <c r="D24" s="407"/>
      <c r="E24" s="2092"/>
      <c r="F24" s="407"/>
      <c r="G24" s="2092"/>
      <c r="H24" s="407"/>
      <c r="I24" s="406"/>
      <c r="J24" s="407"/>
      <c r="K24" s="628"/>
      <c r="L24" s="2945"/>
      <c r="M24" s="2946"/>
      <c r="N24" s="2946"/>
      <c r="O24" s="3000"/>
      <c r="P24" s="3317"/>
      <c r="Q24" s="1529"/>
      <c r="R24" s="710"/>
      <c r="S24" s="711"/>
      <c r="T24" s="710"/>
      <c r="U24" s="711"/>
      <c r="V24" s="710"/>
      <c r="W24" s="711"/>
      <c r="X24" s="712"/>
      <c r="Y24" s="3317"/>
      <c r="Z24" s="55"/>
      <c r="AA24" s="713">
        <v>1</v>
      </c>
      <c r="AB24" s="713">
        <v>1</v>
      </c>
      <c r="AC24" s="713">
        <v>1</v>
      </c>
    </row>
    <row r="25" spans="1:29" s="113" customFormat="1" ht="41.4">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17"/>
      <c r="Q25" s="1529" t="str">
        <f t="shared" ref="Q25" si="9">B25</f>
        <v>基础设施水平</v>
      </c>
      <c r="R25" s="710" t="s">
        <v>17</v>
      </c>
      <c r="S25" s="711">
        <f>F25</f>
        <v>100</v>
      </c>
      <c r="T25" s="710" t="s">
        <v>17</v>
      </c>
      <c r="U25" s="711">
        <f>H25</f>
        <v>100</v>
      </c>
      <c r="V25" s="710" t="s">
        <v>17</v>
      </c>
      <c r="W25" s="711">
        <f>J25</f>
        <v>100</v>
      </c>
      <c r="X25" s="712"/>
      <c r="Y25" s="3317"/>
      <c r="Z25" s="55" t="str">
        <f>Q25</f>
        <v>基础设施水平</v>
      </c>
      <c r="AA25" s="1539">
        <f>D25/F25</f>
        <v>1</v>
      </c>
      <c r="AB25" s="1539">
        <f>D25/H25</f>
        <v>1</v>
      </c>
      <c r="AC25" s="1539">
        <f>D25/J25</f>
        <v>1</v>
      </c>
    </row>
    <row r="26" spans="1:29" s="113" customFormat="1" ht="15">
      <c r="A26" s="605"/>
      <c r="B26" s="588"/>
      <c r="C26" s="2165"/>
      <c r="D26" s="407"/>
      <c r="E26" s="2166"/>
      <c r="F26" s="407"/>
      <c r="G26" s="2166"/>
      <c r="H26" s="407"/>
      <c r="I26" s="2166"/>
      <c r="J26" s="407"/>
      <c r="K26" s="628"/>
      <c r="L26" s="2945"/>
      <c r="M26" s="2946"/>
      <c r="N26" s="2946"/>
      <c r="O26" s="3000"/>
      <c r="P26" s="3317"/>
      <c r="Q26" s="1529"/>
      <c r="R26" s="710"/>
      <c r="S26" s="711"/>
      <c r="T26" s="710"/>
      <c r="U26" s="711"/>
      <c r="V26" s="710"/>
      <c r="W26" s="711"/>
      <c r="X26" s="712"/>
      <c r="Y26" s="3317"/>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17"/>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17"/>
      <c r="Z27" s="1542" t="str">
        <f t="shared" ref="Z27:Z40" si="13">Q27</f>
        <v>临街状况</v>
      </c>
      <c r="AA27" s="1539">
        <f t="shared" si="3"/>
        <v>1</v>
      </c>
      <c r="AB27" s="1539">
        <f t="shared" si="4"/>
        <v>1</v>
      </c>
      <c r="AC27" s="1539">
        <f t="shared" si="5"/>
        <v>1</v>
      </c>
    </row>
    <row r="28" spans="1:29" ht="28.8">
      <c r="A28" s="387"/>
      <c r="B28" s="589" t="s">
        <v>2513</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17"/>
      <c r="Q28" s="1538" t="str">
        <f t="shared" si="8"/>
        <v>毗邻道路的类型与等级</v>
      </c>
      <c r="R28" s="714" t="s">
        <v>17</v>
      </c>
      <c r="S28" s="715">
        <f t="shared" si="10"/>
        <v>100</v>
      </c>
      <c r="T28" s="714" t="s">
        <v>17</v>
      </c>
      <c r="U28" s="715">
        <f t="shared" si="11"/>
        <v>100</v>
      </c>
      <c r="V28" s="714" t="s">
        <v>17</v>
      </c>
      <c r="W28" s="715">
        <f t="shared" si="12"/>
        <v>100</v>
      </c>
      <c r="X28" s="1541"/>
      <c r="Y28" s="3317"/>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0"/>
      <c r="M29" s="2944"/>
      <c r="N29" s="2944"/>
      <c r="O29" s="3002"/>
      <c r="P29" s="3317"/>
      <c r="Q29" s="1538"/>
      <c r="R29" s="714"/>
      <c r="S29" s="715"/>
      <c r="T29" s="714"/>
      <c r="U29" s="715"/>
      <c r="V29" s="714"/>
      <c r="W29" s="715"/>
      <c r="X29" s="1541"/>
      <c r="Y29" s="3317"/>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17"/>
      <c r="Q30" s="1538" t="str">
        <f t="shared" si="8"/>
        <v>土地级别</v>
      </c>
      <c r="R30" s="714" t="s">
        <v>17</v>
      </c>
      <c r="S30" s="715">
        <f t="shared" si="10"/>
        <v>100</v>
      </c>
      <c r="T30" s="714" t="s">
        <v>17</v>
      </c>
      <c r="U30" s="715">
        <f t="shared" si="11"/>
        <v>100</v>
      </c>
      <c r="V30" s="714" t="s">
        <v>17</v>
      </c>
      <c r="W30" s="715">
        <f t="shared" si="12"/>
        <v>100</v>
      </c>
      <c r="X30" s="1541"/>
      <c r="Y30" s="3317"/>
      <c r="Z30" s="1542" t="str">
        <f t="shared" si="13"/>
        <v>土地级别</v>
      </c>
      <c r="AA30" s="1539">
        <f t="shared" si="3"/>
        <v>1</v>
      </c>
      <c r="AB30" s="1539">
        <f t="shared" si="4"/>
        <v>1</v>
      </c>
      <c r="AC30" s="1539">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17"/>
      <c r="Q31" s="1538">
        <f t="shared" si="8"/>
        <v>111</v>
      </c>
      <c r="R31" s="714" t="s">
        <v>17</v>
      </c>
      <c r="S31" s="715">
        <f t="shared" si="10"/>
        <v>100</v>
      </c>
      <c r="T31" s="714" t="s">
        <v>17</v>
      </c>
      <c r="U31" s="715">
        <f t="shared" si="11"/>
        <v>100</v>
      </c>
      <c r="V31" s="714" t="s">
        <v>17</v>
      </c>
      <c r="W31" s="715">
        <f t="shared" si="12"/>
        <v>100</v>
      </c>
      <c r="X31" s="1541"/>
      <c r="Y31" s="3317"/>
      <c r="Z31" s="1542">
        <f t="shared" si="13"/>
        <v>111</v>
      </c>
      <c r="AA31" s="1539">
        <f t="shared" si="3"/>
        <v>1</v>
      </c>
      <c r="AB31" s="1539">
        <f t="shared" si="4"/>
        <v>1</v>
      </c>
      <c r="AC31" s="1539">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78" t="s">
        <v>2387</v>
      </c>
      <c r="Q32" s="1538">
        <f t="shared" si="8"/>
        <v>111</v>
      </c>
      <c r="R32" s="714" t="s">
        <v>17</v>
      </c>
      <c r="S32" s="715">
        <f t="shared" si="10"/>
        <v>100</v>
      </c>
      <c r="T32" s="714" t="s">
        <v>17</v>
      </c>
      <c r="U32" s="715">
        <f t="shared" si="11"/>
        <v>100</v>
      </c>
      <c r="V32" s="714" t="s">
        <v>17</v>
      </c>
      <c r="W32" s="715">
        <f t="shared" si="12"/>
        <v>100</v>
      </c>
      <c r="X32" s="1541"/>
      <c r="Y32" s="3321" t="s">
        <v>2387</v>
      </c>
      <c r="Z32" s="1542">
        <f t="shared" si="13"/>
        <v>111</v>
      </c>
      <c r="AA32" s="1539">
        <f t="shared" si="3"/>
        <v>1</v>
      </c>
      <c r="AB32" s="1539">
        <f t="shared" si="4"/>
        <v>1</v>
      </c>
      <c r="AC32" s="1539">
        <f t="shared" si="5"/>
        <v>1</v>
      </c>
    </row>
    <row r="33" spans="1:31" s="430" customFormat="1" ht="15.6"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21"/>
      <c r="Q33" s="1538">
        <f t="shared" si="8"/>
        <v>111</v>
      </c>
      <c r="R33" s="717" t="s">
        <v>17</v>
      </c>
      <c r="S33" s="718">
        <f t="shared" si="10"/>
        <v>100</v>
      </c>
      <c r="T33" s="717" t="s">
        <v>17</v>
      </c>
      <c r="U33" s="718">
        <f t="shared" si="11"/>
        <v>100</v>
      </c>
      <c r="V33" s="717" t="s">
        <v>17</v>
      </c>
      <c r="W33" s="718">
        <f t="shared" si="12"/>
        <v>100</v>
      </c>
      <c r="X33" s="719"/>
      <c r="Y33" s="3321"/>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21"/>
      <c r="Q34" s="1538" t="str">
        <f>B34</f>
        <v>宗地面积</v>
      </c>
      <c r="R34" s="714" t="s">
        <v>17</v>
      </c>
      <c r="S34" s="715" t="e">
        <f t="shared" si="10"/>
        <v>#N/A</v>
      </c>
      <c r="T34" s="714" t="s">
        <v>17</v>
      </c>
      <c r="U34" s="715" t="e">
        <f t="shared" si="11"/>
        <v>#N/A</v>
      </c>
      <c r="V34" s="714" t="s">
        <v>17</v>
      </c>
      <c r="W34" s="715" t="e">
        <f t="shared" si="12"/>
        <v>#N/A</v>
      </c>
      <c r="X34" s="1541"/>
      <c r="Y34" s="3321"/>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0"/>
      <c r="M35" s="2944"/>
      <c r="N35" s="2944"/>
      <c r="O35" s="3002"/>
      <c r="P35" s="3321"/>
      <c r="Q35" s="1538" t="str">
        <f t="shared" ref="Q35:Q40" si="14">B35</f>
        <v>宗地形状</v>
      </c>
      <c r="R35" s="714" t="s">
        <v>17</v>
      </c>
      <c r="S35" s="715">
        <f t="shared" si="10"/>
        <v>100</v>
      </c>
      <c r="T35" s="714" t="s">
        <v>17</v>
      </c>
      <c r="U35" s="715">
        <f t="shared" si="11"/>
        <v>100</v>
      </c>
      <c r="V35" s="714" t="s">
        <v>17</v>
      </c>
      <c r="W35" s="715">
        <f t="shared" si="12"/>
        <v>100</v>
      </c>
      <c r="X35" s="1541"/>
      <c r="Y35" s="3321"/>
      <c r="Z35" s="1542" t="str">
        <f t="shared" si="13"/>
        <v>宗地形状</v>
      </c>
      <c r="AA35" s="1539">
        <f t="shared" si="3"/>
        <v>1</v>
      </c>
      <c r="AB35" s="1539">
        <f t="shared" si="4"/>
        <v>1</v>
      </c>
      <c r="AC35" s="1539">
        <f t="shared" si="5"/>
        <v>1</v>
      </c>
    </row>
    <row r="36" spans="1:31" s="113" customFormat="1" ht="15">
      <c r="A36" s="432"/>
      <c r="B36" s="381" t="s">
        <v>2576</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5"/>
      <c r="M36" s="2946"/>
      <c r="N36" s="2946"/>
      <c r="O36" s="3000"/>
      <c r="P36" s="3321"/>
      <c r="Q36" s="1538" t="str">
        <f t="shared" si="14"/>
        <v>宗地开发程度</v>
      </c>
      <c r="R36" s="710" t="s">
        <v>17</v>
      </c>
      <c r="S36" s="711">
        <f t="shared" si="10"/>
        <v>100</v>
      </c>
      <c r="T36" s="710" t="s">
        <v>17</v>
      </c>
      <c r="U36" s="711">
        <f t="shared" si="11"/>
        <v>100</v>
      </c>
      <c r="V36" s="710" t="s">
        <v>17</v>
      </c>
      <c r="W36" s="711">
        <f t="shared" si="12"/>
        <v>100</v>
      </c>
      <c r="X36" s="712"/>
      <c r="Y36" s="3321"/>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0"/>
      <c r="M37" s="2944"/>
      <c r="N37" s="2944"/>
      <c r="O37" s="3002"/>
      <c r="P37" s="3321" t="s">
        <v>2387</v>
      </c>
      <c r="Q37" s="1538" t="str">
        <f t="shared" si="14"/>
        <v>工程地质条件</v>
      </c>
      <c r="R37" s="714" t="s">
        <v>17</v>
      </c>
      <c r="S37" s="715">
        <f t="shared" si="10"/>
        <v>100</v>
      </c>
      <c r="T37" s="714" t="s">
        <v>17</v>
      </c>
      <c r="U37" s="715">
        <f t="shared" si="11"/>
        <v>100</v>
      </c>
      <c r="V37" s="714" t="s">
        <v>17</v>
      </c>
      <c r="W37" s="715">
        <f t="shared" si="12"/>
        <v>100</v>
      </c>
      <c r="X37" s="1541"/>
      <c r="Y37" s="3321"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21"/>
      <c r="Q38" s="1538">
        <f t="shared" si="14"/>
        <v>111</v>
      </c>
      <c r="R38" s="714" t="s">
        <v>17</v>
      </c>
      <c r="S38" s="715">
        <f t="shared" si="10"/>
        <v>100</v>
      </c>
      <c r="T38" s="714" t="s">
        <v>17</v>
      </c>
      <c r="U38" s="715">
        <f t="shared" si="11"/>
        <v>100</v>
      </c>
      <c r="V38" s="714" t="s">
        <v>17</v>
      </c>
      <c r="W38" s="715">
        <f t="shared" si="12"/>
        <v>100</v>
      </c>
      <c r="X38" s="1541"/>
      <c r="Y38" s="3321"/>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21"/>
      <c r="Q39" s="1538">
        <f t="shared" si="14"/>
        <v>111</v>
      </c>
      <c r="R39" s="714" t="s">
        <v>17</v>
      </c>
      <c r="S39" s="715">
        <f t="shared" si="10"/>
        <v>100</v>
      </c>
      <c r="T39" s="714" t="s">
        <v>17</v>
      </c>
      <c r="U39" s="715">
        <f t="shared" si="11"/>
        <v>100</v>
      </c>
      <c r="V39" s="714" t="s">
        <v>17</v>
      </c>
      <c r="W39" s="715">
        <f t="shared" si="12"/>
        <v>100</v>
      </c>
      <c r="X39" s="1541"/>
      <c r="Y39" s="3321"/>
      <c r="Z39" s="1542">
        <f t="shared" si="13"/>
        <v>111</v>
      </c>
      <c r="AA39" s="1539">
        <f t="shared" si="3"/>
        <v>1</v>
      </c>
      <c r="AB39" s="1539">
        <f t="shared" si="4"/>
        <v>1</v>
      </c>
      <c r="AC39" s="1539">
        <f t="shared" si="5"/>
        <v>1</v>
      </c>
    </row>
    <row r="40" spans="1:31" s="430" customFormat="1" ht="15.6"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21"/>
      <c r="Q40" s="1538">
        <f t="shared" si="14"/>
        <v>111</v>
      </c>
      <c r="R40" s="717" t="s">
        <v>17</v>
      </c>
      <c r="S40" s="718">
        <f t="shared" si="10"/>
        <v>100</v>
      </c>
      <c r="T40" s="717" t="s">
        <v>17</v>
      </c>
      <c r="U40" s="718">
        <f t="shared" si="11"/>
        <v>100</v>
      </c>
      <c r="V40" s="717" t="s">
        <v>17</v>
      </c>
      <c r="W40" s="718">
        <f t="shared" si="12"/>
        <v>100</v>
      </c>
      <c r="X40" s="719"/>
      <c r="Y40" s="3321"/>
      <c r="Z40" s="720">
        <f t="shared" si="13"/>
        <v>111</v>
      </c>
      <c r="AA40" s="1539">
        <f t="shared" si="3"/>
        <v>1</v>
      </c>
      <c r="AB40" s="1539">
        <f t="shared" si="4"/>
        <v>1</v>
      </c>
      <c r="AC40" s="1539">
        <f t="shared" si="5"/>
        <v>1</v>
      </c>
    </row>
    <row r="41" spans="1:31" ht="14.4">
      <c r="A41" s="438" t="s">
        <v>2542</v>
      </c>
      <c r="B41" s="2169" t="s">
        <v>2622</v>
      </c>
      <c r="C41" s="638" t="s">
        <v>1</v>
      </c>
      <c r="D41" s="440"/>
      <c r="E41" s="441"/>
      <c r="F41" s="442"/>
      <c r="G41" s="443"/>
      <c r="H41" s="444"/>
      <c r="I41" s="441"/>
      <c r="J41" s="444"/>
      <c r="K41" s="723"/>
      <c r="L41" s="2952"/>
      <c r="M41" s="2944"/>
      <c r="N41" s="2944"/>
      <c r="O41" s="2953"/>
      <c r="P41" s="3314" t="str">
        <f>A41</f>
        <v>成交单价</v>
      </c>
      <c r="Q41" s="3314"/>
      <c r="R41" s="3345">
        <f>E41</f>
        <v>0</v>
      </c>
      <c r="S41" s="3345"/>
      <c r="T41" s="3345">
        <f>G41</f>
        <v>0</v>
      </c>
      <c r="U41" s="3345"/>
      <c r="V41" s="3345">
        <f>I41</f>
        <v>0</v>
      </c>
      <c r="W41" s="3345"/>
      <c r="X41" s="699"/>
      <c r="Y41" s="721"/>
      <c r="Z41" s="699"/>
      <c r="AA41" s="699"/>
      <c r="AB41" s="699"/>
      <c r="AC41" s="699"/>
    </row>
    <row r="42" spans="1:31" ht="15" thickBot="1">
      <c r="A42" s="445" t="s">
        <v>2491</v>
      </c>
      <c r="B42" s="639"/>
      <c r="C42" s="448" t="e">
        <f>R43</f>
        <v>#DIV/0!</v>
      </c>
      <c r="D42" s="2539" t="s">
        <v>2879</v>
      </c>
      <c r="E42" s="448" t="e">
        <f>R42</f>
        <v>#DIV/0!</v>
      </c>
      <c r="F42" s="2540"/>
      <c r="G42" s="447" t="e">
        <f>T42</f>
        <v>#DIV/0!</v>
      </c>
      <c r="H42" s="2540"/>
      <c r="I42" s="448" t="e">
        <f>V42</f>
        <v>#DIV/0!</v>
      </c>
      <c r="J42" s="2540"/>
      <c r="K42" s="2542">
        <f>F42+H42+J42</f>
        <v>0</v>
      </c>
      <c r="L42" s="2952"/>
      <c r="M42" s="2944"/>
      <c r="N42" s="2944"/>
      <c r="O42" s="2953"/>
      <c r="P42" s="3314" t="str">
        <f>A42</f>
        <v>比较价值（元/平方米）</v>
      </c>
      <c r="Q42" s="3314"/>
      <c r="R42" s="3380" t="e">
        <f>ROUND(PRODUCT(R41,AA7:AA40),0)</f>
        <v>#DIV/0!</v>
      </c>
      <c r="S42" s="3380"/>
      <c r="T42" s="3380" t="e">
        <f>ROUND(PRODUCT(T41,AB7:AB40),0)</f>
        <v>#DIV/0!</v>
      </c>
      <c r="U42" s="3380"/>
      <c r="V42" s="3380" t="e">
        <f>ROUND(PRODUCT(V41,AC7:AC40),0)</f>
        <v>#DIV/0!</v>
      </c>
      <c r="W42" s="3380"/>
      <c r="X42" s="699"/>
      <c r="Y42" s="699"/>
      <c r="Z42" s="699"/>
      <c r="AA42" s="699"/>
      <c r="AB42" s="699"/>
      <c r="AC42" s="699"/>
    </row>
    <row r="43" spans="1:31" ht="15" thickBot="1">
      <c r="A43" s="449" t="s">
        <v>2492</v>
      </c>
      <c r="B43" s="450"/>
      <c r="C43" s="451" t="e">
        <f>R43</f>
        <v>#DIV/0!</v>
      </c>
      <c r="D43" s="451"/>
      <c r="E43" s="451"/>
      <c r="F43" s="451"/>
      <c r="G43" s="451"/>
      <c r="H43" s="451"/>
      <c r="I43" s="451"/>
      <c r="J43" s="451"/>
      <c r="K43" s="724"/>
      <c r="L43" s="2952"/>
      <c r="M43" s="2944"/>
      <c r="N43" s="2944"/>
      <c r="O43" s="2953"/>
      <c r="P43" s="3311" t="str">
        <f>A43</f>
        <v>估价对象XX用房的比较价值（楼面单价，元/平方米）</v>
      </c>
      <c r="Q43" s="3312"/>
      <c r="R43" s="3381" t="e">
        <f>ROUND(IF(D42="简单平均",AVERAGE(R42:W42),R42*F42+T42*H42+V42*J42),0)</f>
        <v>#DIV/0!</v>
      </c>
      <c r="S43" s="3381"/>
      <c r="T43" s="3381"/>
      <c r="U43" s="3381"/>
      <c r="V43" s="3381"/>
      <c r="W43" s="3381"/>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4.4"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8.8">
      <c r="A50" s="640" t="s">
        <v>2580</v>
      </c>
      <c r="B50" s="641" t="s">
        <v>2581</v>
      </c>
      <c r="C50" s="2170" t="s">
        <v>2582</v>
      </c>
      <c r="D50" s="2171" t="s">
        <v>2583</v>
      </c>
      <c r="E50" s="642" t="s">
        <v>2584</v>
      </c>
      <c r="F50" s="643" t="s">
        <v>2585</v>
      </c>
      <c r="G50" s="3329" t="s">
        <v>2586</v>
      </c>
      <c r="H50" s="3382"/>
      <c r="I50" s="1542" t="s">
        <v>2623</v>
      </c>
      <c r="J50" s="1542">
        <f>项目基本情况!F35</f>
        <v>0</v>
      </c>
      <c r="K50" s="2173" t="s">
        <v>2588</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2589</v>
      </c>
      <c r="B51" s="645" t="e">
        <f>C43</f>
        <v>#DIV/0!</v>
      </c>
      <c r="C51" s="646">
        <v>1</v>
      </c>
      <c r="D51" s="1075">
        <v>1</v>
      </c>
      <c r="E51" s="646">
        <f>'数据-汇总表'!E8+'数据-汇总表'!E9</f>
        <v>671.51000000000022</v>
      </c>
      <c r="F51" s="647" t="e">
        <f t="shared" ref="F51:F60" si="15">ROUND(B51*E51/10000,0)</f>
        <v>#DIV/0!</v>
      </c>
      <c r="G51" s="3325"/>
      <c r="H51" s="3314"/>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2590</v>
      </c>
      <c r="B52" s="224" t="e">
        <f>ROUND($C$43*C52*D52,0)</f>
        <v>#DIV/0!</v>
      </c>
      <c r="C52" s="176">
        <f t="shared" ref="C52:C60" si="16">IF($C$50="北京市系数",I52,J52)</f>
        <v>0</v>
      </c>
      <c r="D52" s="1076">
        <v>0.25</v>
      </c>
      <c r="E52" s="650"/>
      <c r="F52" s="647" t="e">
        <f t="shared" si="15"/>
        <v>#DIV/0!</v>
      </c>
      <c r="G52" s="3383" t="s">
        <v>2591</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2592</v>
      </c>
      <c r="B53" s="224" t="e">
        <f t="shared" ref="B53:B60" si="17">ROUND($C$43*C53*D53,0)</f>
        <v>#DIV/0!</v>
      </c>
      <c r="C53" s="176">
        <f t="shared" si="16"/>
        <v>0</v>
      </c>
      <c r="D53" s="1076">
        <v>0.25</v>
      </c>
      <c r="E53" s="650"/>
      <c r="F53" s="647" t="e">
        <f t="shared" si="15"/>
        <v>#DIV/0!</v>
      </c>
      <c r="G53" s="3383"/>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2593</v>
      </c>
      <c r="B54" s="224" t="e">
        <f t="shared" si="17"/>
        <v>#DIV/0!</v>
      </c>
      <c r="C54" s="176">
        <f t="shared" si="16"/>
        <v>0</v>
      </c>
      <c r="D54" s="1076">
        <v>0.25</v>
      </c>
      <c r="E54" s="650"/>
      <c r="F54" s="647" t="e">
        <f t="shared" si="15"/>
        <v>#DIV/0!</v>
      </c>
      <c r="G54" s="3383"/>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2594</v>
      </c>
      <c r="B55" s="224" t="e">
        <f t="shared" si="17"/>
        <v>#DIV/0!</v>
      </c>
      <c r="C55" s="176">
        <f t="shared" si="16"/>
        <v>0</v>
      </c>
      <c r="D55" s="1076">
        <v>0.25</v>
      </c>
      <c r="E55" s="650"/>
      <c r="F55" s="647" t="e">
        <f t="shared" si="15"/>
        <v>#DIV/0!</v>
      </c>
      <c r="G55" s="3383"/>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2595</v>
      </c>
      <c r="B56" s="224" t="e">
        <f t="shared" si="17"/>
        <v>#DIV/0!</v>
      </c>
      <c r="C56" s="176">
        <f t="shared" si="16"/>
        <v>0</v>
      </c>
      <c r="D56" s="1076">
        <v>0.25</v>
      </c>
      <c r="E56" s="223">
        <f>'数据-汇总表'!E11</f>
        <v>0</v>
      </c>
      <c r="F56" s="647" t="e">
        <f t="shared" si="15"/>
        <v>#DIV/0!</v>
      </c>
      <c r="G56" s="2174" t="s">
        <v>2596</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2601</v>
      </c>
      <c r="B59" s="224" t="e">
        <f t="shared" si="17"/>
        <v>#DIV/0!</v>
      </c>
      <c r="C59" s="176">
        <f t="shared" si="16"/>
        <v>0</v>
      </c>
      <c r="D59" s="1076">
        <v>0.25</v>
      </c>
      <c r="E59" s="223">
        <f>'数据-汇总表'!E14</f>
        <v>0</v>
      </c>
      <c r="F59" s="647" t="e">
        <f t="shared" si="15"/>
        <v>#DIV/0!</v>
      </c>
      <c r="G59" s="2174" t="s">
        <v>2591</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4.4" thickBot="1">
      <c r="A60" s="649" t="s">
        <v>2602</v>
      </c>
      <c r="B60" s="224" t="e">
        <f t="shared" si="17"/>
        <v>#DIV/0!</v>
      </c>
      <c r="C60" s="176">
        <f t="shared" si="16"/>
        <v>0</v>
      </c>
      <c r="D60" s="1076">
        <v>0.25</v>
      </c>
      <c r="E60" s="223">
        <f>'数据-汇总表'!E15</f>
        <v>0</v>
      </c>
      <c r="F60" s="647" t="e">
        <f t="shared" si="15"/>
        <v>#DIV/0!</v>
      </c>
      <c r="G60" s="2175" t="s">
        <v>2596</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4.4"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3"/>
      <c r="Q63" s="2953"/>
      <c r="R63" s="2953"/>
      <c r="S63" s="2953"/>
      <c r="T63" s="2953"/>
      <c r="U63" s="2953"/>
      <c r="V63" s="2953"/>
      <c r="W63" s="2953"/>
      <c r="X63" s="2953"/>
      <c r="Y63" s="2953"/>
      <c r="Z63" s="2953"/>
      <c r="AA63" s="2953"/>
      <c r="AB63" s="2953"/>
      <c r="AC63" s="2953"/>
      <c r="AD63" s="2953"/>
      <c r="AE63" s="2953"/>
    </row>
    <row r="64" spans="1:31" ht="22.2" thickBot="1">
      <c r="A64" s="703" t="s">
        <v>2496</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4.4">
      <c r="A65" s="2176" t="s">
        <v>2604</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1" t="s">
        <v>2624</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 thickBot="1">
      <c r="A67" s="472" t="s">
        <v>2407</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4.4">
      <c r="A68" s="478" t="s">
        <v>2372</v>
      </c>
      <c r="B68" s="467"/>
      <c r="C68" s="479" t="s">
        <v>2474</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4.4"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ht="14.4">
      <c r="A70" s="484" t="s">
        <v>2410</v>
      </c>
      <c r="B70" s="485" t="s">
        <v>2376</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4.4"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9.4" thickTop="1">
      <c r="A72" s="491"/>
      <c r="B72" s="495" t="s">
        <v>2379</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4.4"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4.4"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4.4"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4.4"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4.4"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4.4"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4.4"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ht="14.4">
      <c r="A83" s="484" t="s">
        <v>2381</v>
      </c>
      <c r="B83" s="485" t="s">
        <v>2527</v>
      </c>
      <c r="C83" s="530" t="s">
        <v>2419</v>
      </c>
      <c r="D83" s="530" t="s">
        <v>2420</v>
      </c>
      <c r="E83" s="530" t="s">
        <v>2421</v>
      </c>
      <c r="F83" s="530" t="s">
        <v>2422</v>
      </c>
      <c r="G83" s="530" t="s">
        <v>2423</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 thickTop="1">
      <c r="A85" s="491"/>
      <c r="B85" s="495" t="s">
        <v>2424</v>
      </c>
      <c r="C85" s="535" t="s">
        <v>2419</v>
      </c>
      <c r="D85" s="535" t="s">
        <v>2420</v>
      </c>
      <c r="E85" s="535" t="s">
        <v>2421</v>
      </c>
      <c r="F85" s="535" t="s">
        <v>2422</v>
      </c>
      <c r="G85" s="535" t="s">
        <v>2423</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29.4" thickTop="1">
      <c r="A87" s="536"/>
      <c r="B87" s="495" t="s">
        <v>2607</v>
      </c>
      <c r="C87" s="530" t="s">
        <v>2419</v>
      </c>
      <c r="D87" s="530" t="s">
        <v>2420</v>
      </c>
      <c r="E87" s="530" t="s">
        <v>2421</v>
      </c>
      <c r="F87" s="530" t="s">
        <v>2422</v>
      </c>
      <c r="G87" s="530" t="s">
        <v>2423</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9.4" thickTop="1">
      <c r="A89" s="536"/>
      <c r="B89" s="495" t="s">
        <v>2608</v>
      </c>
      <c r="C89" s="530" t="s">
        <v>2419</v>
      </c>
      <c r="D89" s="530" t="s">
        <v>2420</v>
      </c>
      <c r="E89" s="530" t="s">
        <v>2421</v>
      </c>
      <c r="F89" s="530" t="s">
        <v>2422</v>
      </c>
      <c r="G89" s="530" t="s">
        <v>2423</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 thickTop="1">
      <c r="A91" s="510"/>
      <c r="B91" s="495" t="s">
        <v>2476</v>
      </c>
      <c r="C91" s="530" t="s">
        <v>2419</v>
      </c>
      <c r="D91" s="530" t="s">
        <v>2420</v>
      </c>
      <c r="E91" s="530" t="s">
        <v>2421</v>
      </c>
      <c r="F91" s="530" t="s">
        <v>2422</v>
      </c>
      <c r="G91" s="530" t="s">
        <v>2423</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 thickTop="1">
      <c r="A93" s="510"/>
      <c r="B93" s="503" t="s">
        <v>2625</v>
      </c>
      <c r="C93" s="616" t="s">
        <v>2497</v>
      </c>
      <c r="D93" s="616" t="s">
        <v>2498</v>
      </c>
      <c r="E93" s="616" t="s">
        <v>2499</v>
      </c>
      <c r="F93" s="616" t="s">
        <v>2500</v>
      </c>
      <c r="G93" s="616" t="s">
        <v>2501</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 thickTop="1">
      <c r="A95" s="491"/>
      <c r="B95" s="495" t="str">
        <f>B27</f>
        <v>临街状况</v>
      </c>
      <c r="C95" s="496" t="s">
        <v>2609</v>
      </c>
      <c r="D95" s="496" t="s">
        <v>2610</v>
      </c>
      <c r="E95" s="496" t="s">
        <v>2611</v>
      </c>
      <c r="F95" s="496" t="s">
        <v>2612</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9.4" thickTop="1">
      <c r="A97" s="491"/>
      <c r="B97" s="495" t="s">
        <v>2513</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 thickTop="1">
      <c r="A99" s="491"/>
      <c r="B99" s="495" t="s">
        <v>2572</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4.4"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4.4"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4.4"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4.4"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4.4"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4.4"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ht="14.4">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4.4"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2614</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2616</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2617</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4.4"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4.4"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4.4"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4.4"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4.4"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4.4"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3.2"/>
  <cols>
    <col min="1" max="1" width="9.77734375" style="2251" customWidth="1"/>
    <col min="2" max="2" width="19.21875" style="2354" customWidth="1"/>
    <col min="3" max="4" width="12" style="2185"/>
    <col min="5" max="5" width="14.6640625" style="2185" customWidth="1"/>
    <col min="6" max="8" width="12" style="2185"/>
    <col min="9" max="9" width="12.21875" style="2185" bestFit="1" customWidth="1"/>
    <col min="10" max="10" width="12" style="2185"/>
    <col min="11" max="11" width="8.109375" style="2246" customWidth="1"/>
    <col min="12" max="12" width="12" style="2185"/>
    <col min="13" max="13" width="8.44140625" style="2185" customWidth="1"/>
    <col min="14" max="14" width="9.77734375" style="2185" customWidth="1"/>
    <col min="15" max="25" width="12" style="2185"/>
    <col min="26" max="26" width="9.33203125" style="2251" customWidth="1"/>
    <col min="27" max="32" width="9.33203125" style="1282" customWidth="1"/>
    <col min="33" max="36" width="9.33203125" style="2251" customWidth="1"/>
    <col min="37" max="38" width="9.33203125" style="2185" customWidth="1"/>
    <col min="39" max="16384" width="12" style="2185"/>
  </cols>
  <sheetData>
    <row r="1" spans="1:36" ht="31.2">
      <c r="A1" s="202" t="s">
        <v>2626</v>
      </c>
      <c r="B1" s="203"/>
      <c r="C1" s="207" t="s">
        <v>2627</v>
      </c>
      <c r="D1" s="348">
        <f>SUM(D29:D30,D33:D39)</f>
        <v>0</v>
      </c>
      <c r="E1" s="2182"/>
      <c r="F1" s="2182"/>
      <c r="G1" s="2182"/>
      <c r="H1" s="2182"/>
      <c r="I1" s="2182"/>
      <c r="J1" s="2182"/>
      <c r="K1" s="1280"/>
      <c r="L1" s="2183" t="s">
        <v>2628</v>
      </c>
      <c r="M1" s="994">
        <f>SUMPRODUCT((区片价!B5:B9=I2)*(区片价!C3:F3=E2)*(区片价!C5:F9))</f>
        <v>0</v>
      </c>
      <c r="N1" s="997">
        <f>SUMPRODUCT((因素修正幅度!B5:B9=I2)*(因素修正幅度!C3:F3=E2)*(因素修正幅度!C5:F9))</f>
        <v>0</v>
      </c>
      <c r="O1" s="2184"/>
      <c r="P1" s="2184"/>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6">
      <c r="A2" s="207" t="s">
        <v>2634</v>
      </c>
      <c r="B2" s="210" t="e">
        <f>C26</f>
        <v>#DIV/0!</v>
      </c>
      <c r="C2" s="2186" t="s">
        <v>2635</v>
      </c>
      <c r="D2" s="2187" t="s">
        <v>2636</v>
      </c>
      <c r="E2" s="2188"/>
      <c r="F2" s="2187" t="s">
        <v>2637</v>
      </c>
      <c r="G2" s="2189">
        <f>IF(E2="商业",项目基本情况!B37,IF(E2="办公",项目基本情况!C37,IF(E2="住宅",项目基本情况!D37,项目基本情况!E37)))</f>
        <v>0</v>
      </c>
      <c r="H2" s="2187" t="s">
        <v>2638</v>
      </c>
      <c r="I2" s="2189">
        <f>IF(E2="商业",项目基本情况!B38,IF(E2="办公",项目基本情况!C38,IF(E2="住宅",项目基本情况!D38,项目基本情况!E38)))</f>
        <v>0</v>
      </c>
      <c r="J2" s="2190"/>
      <c r="K2" s="1280"/>
      <c r="L2" s="2191" t="s">
        <v>2639</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6">
      <c r="A3" s="209" t="s">
        <v>2640</v>
      </c>
      <c r="B3" s="210" t="e">
        <f>ROUND(B2*10000/D1,0)</f>
        <v>#DIV/0!</v>
      </c>
      <c r="C3" s="2186" t="s">
        <v>2641</v>
      </c>
      <c r="D3" s="2187" t="s">
        <v>2642</v>
      </c>
      <c r="E3" s="2192"/>
      <c r="F3" s="2193" t="s">
        <v>2643</v>
      </c>
      <c r="G3" s="855" t="e">
        <f>IF(F3="宗地容积率",'数据-汇总表'!I4,IF(F3="估价对象容积率",'数据-汇总表'!I6,'数据-汇总表'!I7))</f>
        <v>#DIV/0!</v>
      </c>
      <c r="H3" s="175" t="s">
        <v>2644</v>
      </c>
      <c r="I3" s="881"/>
      <c r="J3" s="2190" t="s">
        <v>2645</v>
      </c>
      <c r="K3" s="1280"/>
      <c r="L3" s="2191" t="s">
        <v>2646</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6">
      <c r="A4" s="3391"/>
      <c r="B4" s="3392"/>
      <c r="C4" s="3392"/>
      <c r="D4" s="3393"/>
      <c r="E4" s="3393"/>
      <c r="F4" s="3393"/>
      <c r="G4" s="3393"/>
      <c r="H4" s="3393"/>
      <c r="I4" s="3393"/>
      <c r="J4" s="3394"/>
      <c r="K4" s="1280"/>
      <c r="L4" s="2191" t="s">
        <v>2647</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3" customFormat="1" ht="15.6" thickBot="1">
      <c r="A5" s="2194" t="s">
        <v>807</v>
      </c>
      <c r="B5" s="2195" t="s">
        <v>2648</v>
      </c>
      <c r="C5" s="856" t="e">
        <f>ROUND(IF(E2="商业",C6*C7+C16,(IF(E2="住宅",C6*C12+C16,C6+C16))),0)</f>
        <v>#DIV/0!</v>
      </c>
      <c r="D5" s="1525" t="e">
        <f>ROUND(C6+C16,0)</f>
        <v>#DIV/0!</v>
      </c>
      <c r="E5" s="1525"/>
      <c r="F5" s="2196"/>
      <c r="G5" s="2197"/>
      <c r="H5" s="2197"/>
      <c r="I5" s="2197"/>
      <c r="J5" s="2198"/>
      <c r="K5" s="2199"/>
      <c r="L5" s="2191" t="s">
        <v>2649</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200"/>
      <c r="AD5" s="2201"/>
      <c r="AE5" s="2201"/>
      <c r="AF5" s="2201"/>
      <c r="AG5" s="2201"/>
      <c r="AH5" s="2201"/>
      <c r="AI5" s="2201"/>
      <c r="AJ5" s="2202"/>
    </row>
    <row r="6" spans="1:36" ht="15.6" thickBot="1">
      <c r="A6" s="2204" t="s">
        <v>2650</v>
      </c>
      <c r="B6" s="2205" t="s">
        <v>2651</v>
      </c>
      <c r="C6" s="857">
        <f>SUMIF(L1:L12,G2,M1:M12)</f>
        <v>0</v>
      </c>
      <c r="D6" s="2206" t="s">
        <v>2652</v>
      </c>
      <c r="E6" s="2207"/>
      <c r="F6" s="2207"/>
      <c r="G6" s="2208"/>
      <c r="H6" s="2208"/>
      <c r="I6" s="2208"/>
      <c r="J6" s="2209"/>
      <c r="K6" s="1570"/>
      <c r="L6" s="2191" t="s">
        <v>2653</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200"/>
      <c r="AD6" s="2201"/>
      <c r="AE6" s="2201"/>
      <c r="AF6" s="2201"/>
      <c r="AG6" s="2201"/>
      <c r="AH6" s="2201"/>
      <c r="AI6" s="2201"/>
      <c r="AJ6" s="2202"/>
    </row>
    <row r="7" spans="1:36" ht="24">
      <c r="A7" s="3395" t="str">
        <f>IF(E2="商业",IF(C8="不临58条商业街","",2),"")</f>
        <v/>
      </c>
      <c r="B7" s="2210" t="s">
        <v>2654</v>
      </c>
      <c r="C7" s="858" t="e">
        <f>IF(C8="不临58条商业街",1,ROUND(1+(1.6*E8+1.2*E9+0.8*E10+0.4*E11)*C9,4))</f>
        <v>#DIV/0!</v>
      </c>
      <c r="D7" s="2211" t="s">
        <v>2655</v>
      </c>
      <c r="E7" s="882"/>
      <c r="F7" s="2212"/>
      <c r="G7" s="2213"/>
      <c r="H7" s="2213"/>
      <c r="I7" s="2213"/>
      <c r="J7" s="2214"/>
      <c r="K7" s="1570"/>
      <c r="L7" s="2191" t="s">
        <v>2656</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4" t="s">
        <v>2657</v>
      </c>
      <c r="X7" s="1376">
        <f>G2</f>
        <v>0</v>
      </c>
      <c r="Y7" s="1376" t="s">
        <v>2658</v>
      </c>
      <c r="Z7" s="1377" t="e">
        <f>G3</f>
        <v>#DIV/0!</v>
      </c>
      <c r="AA7" s="1378"/>
      <c r="AB7" s="1378"/>
      <c r="AC7" s="1379"/>
      <c r="AD7" s="1380"/>
      <c r="AE7" s="1380"/>
      <c r="AF7" s="1380"/>
      <c r="AG7" s="1380"/>
      <c r="AH7" s="1380"/>
      <c r="AI7" s="1380"/>
      <c r="AJ7" s="1381"/>
    </row>
    <row r="8" spans="1:36" ht="15">
      <c r="A8" s="3396"/>
      <c r="B8" s="175" t="s">
        <v>2659</v>
      </c>
      <c r="C8" s="2215"/>
      <c r="D8" s="859" t="s">
        <v>139</v>
      </c>
      <c r="E8" s="860" t="e">
        <f>ROUND(C11/E7,4)</f>
        <v>#DIV/0!</v>
      </c>
      <c r="F8" s="2216" t="s">
        <v>2660</v>
      </c>
      <c r="G8" s="2217"/>
      <c r="H8" s="2217"/>
      <c r="I8" s="2217"/>
      <c r="J8" s="2218"/>
      <c r="K8" s="1280"/>
      <c r="L8" s="2191"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88" t="s">
        <v>2662</v>
      </c>
      <c r="X8" s="3389"/>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396"/>
      <c r="B9" s="175" t="s">
        <v>2675</v>
      </c>
      <c r="C9" s="861">
        <f>SUMIF(修正!C59:C119,C8,修正!E59:E119)</f>
        <v>0</v>
      </c>
      <c r="D9" s="176" t="s">
        <v>140</v>
      </c>
      <c r="E9" s="176" t="e">
        <f>ROUND(C11/E7,4)</f>
        <v>#DIV/0!</v>
      </c>
      <c r="F9" s="2216" t="s">
        <v>2676</v>
      </c>
      <c r="G9" s="2217"/>
      <c r="H9" s="2217"/>
      <c r="I9" s="2217"/>
      <c r="J9" s="2218"/>
      <c r="K9" s="1280"/>
      <c r="L9" s="2191"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90"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6"/>
      <c r="B10" s="175" t="s">
        <v>2680</v>
      </c>
      <c r="C10" s="176">
        <f>SUMIF(修正!C59:C119,C8,修正!F59:F119)</f>
        <v>0</v>
      </c>
      <c r="D10" s="176" t="s">
        <v>141</v>
      </c>
      <c r="E10" s="176" t="e">
        <f>ROUND(C11/E7,4)</f>
        <v>#DIV/0!</v>
      </c>
      <c r="F10" s="2216" t="s">
        <v>2681</v>
      </c>
      <c r="G10" s="2217"/>
      <c r="H10" s="2217"/>
      <c r="I10" s="2217"/>
      <c r="J10" s="2218"/>
      <c r="K10" s="1280"/>
      <c r="L10" s="2191" t="s">
        <v>2682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9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6" thickBot="1">
      <c r="A11" s="3396"/>
      <c r="B11" s="2219" t="s">
        <v>2683</v>
      </c>
      <c r="C11" s="862">
        <f>C10/4</f>
        <v>0</v>
      </c>
      <c r="D11" s="862" t="s">
        <v>142</v>
      </c>
      <c r="E11" s="862" t="e">
        <f>ROUND(C11/E7,4)</f>
        <v>#DIV/0!</v>
      </c>
      <c r="F11" s="2220" t="s">
        <v>2684</v>
      </c>
      <c r="G11" s="2221"/>
      <c r="H11" s="2221"/>
      <c r="I11" s="2221"/>
      <c r="J11" s="2222"/>
      <c r="K11" s="1280"/>
      <c r="L11" s="2191"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90" t="s">
        <v>2686</v>
      </c>
      <c r="X11" s="1386" t="s">
        <v>2687</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8" thickBot="1">
      <c r="A12" s="3395" t="s">
        <v>2688</v>
      </c>
      <c r="B12" s="2223" t="s">
        <v>2689</v>
      </c>
      <c r="C12" s="858">
        <f>ROUND(C15*D15*E15*F15*G15*H15*I15*J15,4)</f>
        <v>1</v>
      </c>
      <c r="D12" s="2224" t="s">
        <v>2690</v>
      </c>
      <c r="E12" s="2225"/>
      <c r="F12" s="2225"/>
      <c r="G12" s="2226"/>
      <c r="H12" s="2226"/>
      <c r="I12" s="2226"/>
      <c r="J12" s="2227"/>
      <c r="K12" s="1280"/>
      <c r="L12" s="2228"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90"/>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7"/>
      <c r="B13" s="2229" t="s">
        <v>2693</v>
      </c>
      <c r="C13" s="2230" t="s">
        <v>2694</v>
      </c>
      <c r="D13" s="1536" t="s">
        <v>2695</v>
      </c>
      <c r="E13" s="1536" t="s">
        <v>2696</v>
      </c>
      <c r="F13" s="30" t="s">
        <v>2697</v>
      </c>
      <c r="G13" s="2231" t="s">
        <v>2698</v>
      </c>
      <c r="H13" s="2231" t="s">
        <v>2698</v>
      </c>
      <c r="I13" s="2231" t="s">
        <v>2698</v>
      </c>
      <c r="J13" s="2232" t="s">
        <v>2698</v>
      </c>
      <c r="K13" s="1280"/>
      <c r="L13" s="1280"/>
      <c r="M13" s="1280"/>
      <c r="N13" s="1280"/>
      <c r="O13" s="1280"/>
      <c r="P13" s="1280"/>
      <c r="Q13" s="1280"/>
      <c r="R13" s="1374">
        <v>12</v>
      </c>
      <c r="S13" s="1375"/>
      <c r="T13" s="1374" t="e">
        <f t="shared" si="0"/>
        <v>#DIV/0!</v>
      </c>
      <c r="U13" s="1375"/>
      <c r="V13" s="1374" t="e">
        <f t="shared" si="1"/>
        <v>#DIV/0!</v>
      </c>
      <c r="W13" s="3390"/>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397"/>
      <c r="B14" s="2233"/>
      <c r="C14" s="2234"/>
      <c r="D14" s="2235"/>
      <c r="E14" s="2235"/>
      <c r="F14" s="2236"/>
      <c r="G14" s="2237" t="s">
        <v>2699</v>
      </c>
      <c r="H14" s="2238"/>
      <c r="I14" s="2239"/>
      <c r="J14" s="2240"/>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9"/>
      <c r="AE14" s="3019"/>
      <c r="AF14" s="3019"/>
      <c r="AG14" s="3019"/>
      <c r="AH14" s="3019"/>
      <c r="AI14" s="3019"/>
      <c r="AJ14" s="3020"/>
    </row>
    <row r="15" spans="1:36" ht="15.6" thickBot="1">
      <c r="A15" s="3398"/>
      <c r="B15" s="2241" t="s">
        <v>2700</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t="e">
        <f t="shared" si="0"/>
        <v>#DIV/0!</v>
      </c>
      <c r="U15" s="1375"/>
      <c r="V15" s="1374" t="e">
        <f t="shared" si="1"/>
        <v>#DIV/0!</v>
      </c>
      <c r="W15" s="1378"/>
      <c r="X15" s="1378"/>
      <c r="Y15" s="1378"/>
      <c r="Z15" s="1378"/>
      <c r="AA15" s="1378"/>
      <c r="AB15" s="1378"/>
      <c r="AC15" s="1379"/>
      <c r="AD15" s="3019"/>
      <c r="AE15" s="3019"/>
      <c r="AF15" s="3019"/>
      <c r="AG15" s="3019"/>
      <c r="AH15" s="3019"/>
      <c r="AI15" s="3019"/>
      <c r="AJ15" s="3020"/>
    </row>
    <row r="16" spans="1:36" ht="24.6" customHeight="1">
      <c r="A16" s="3395" t="s">
        <v>2705</v>
      </c>
      <c r="B16" s="2210" t="s">
        <v>2706</v>
      </c>
      <c r="C16" s="2372" t="e">
        <f>ROUND(IF(F17="与级别开发程度一致",0,(G17-E17)/C17),0)</f>
        <v>#DIV/0!</v>
      </c>
      <c r="D16" s="3411" t="s">
        <v>2710</v>
      </c>
      <c r="E16" s="3412"/>
      <c r="F16" s="3411" t="s">
        <v>2707</v>
      </c>
      <c r="G16" s="3412"/>
      <c r="H16" s="2242"/>
      <c r="I16" s="2242"/>
      <c r="J16" s="2376"/>
      <c r="K16" s="2242"/>
      <c r="L16" s="2242"/>
      <c r="M16" s="2242"/>
      <c r="N16" s="2242"/>
      <c r="O16" s="2243"/>
      <c r="P16" s="2184"/>
      <c r="Q16" s="1280"/>
      <c r="R16" s="1374">
        <v>15</v>
      </c>
      <c r="S16" s="1375"/>
      <c r="T16" s="1374" t="e">
        <f t="shared" si="0"/>
        <v>#DIV/0!</v>
      </c>
      <c r="U16" s="1375"/>
      <c r="V16" s="1374" t="e">
        <f t="shared" si="1"/>
        <v>#DIV/0!</v>
      </c>
      <c r="W16" s="1378"/>
      <c r="X16" s="1378"/>
      <c r="Y16" s="1378"/>
      <c r="Z16" s="1378"/>
      <c r="AA16" s="1378"/>
      <c r="AB16" s="1378"/>
      <c r="AC16" s="1379"/>
      <c r="AD16" s="3019"/>
      <c r="AE16" s="3019"/>
      <c r="AF16" s="3019"/>
      <c r="AG16" s="3019"/>
      <c r="AH16" s="3019"/>
      <c r="AI16" s="3019"/>
      <c r="AJ16" s="3020"/>
    </row>
    <row r="17" spans="1:37" ht="13.8" thickBot="1">
      <c r="A17" s="3399"/>
      <c r="B17" s="2383" t="s">
        <v>2709</v>
      </c>
      <c r="C17" s="2384">
        <f>SUMPRODUCT((修正!A2:A5=E2)*(修正!B1:M1=G2)*(修正!B2:M5))</f>
        <v>0</v>
      </c>
      <c r="D17" s="193"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 thickBot="1">
      <c r="A18" s="2377" t="s">
        <v>808</v>
      </c>
      <c r="B18" s="2378" t="s">
        <v>2712</v>
      </c>
      <c r="C18" s="2379">
        <f>SUMIF(修正!C18:C39,E3,修正!E18:E39)</f>
        <v>0</v>
      </c>
      <c r="D18" s="2380"/>
      <c r="E18" s="2381"/>
      <c r="F18" s="2381"/>
      <c r="G18" s="2381"/>
      <c r="H18" s="2381"/>
      <c r="I18" s="2381"/>
      <c r="J18" s="2382"/>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8"/>
    </row>
    <row r="19" spans="1:37" s="2203" customFormat="1" ht="29.4" thickBot="1">
      <c r="A19" s="2247" t="s">
        <v>809</v>
      </c>
      <c r="B19" s="2248" t="s">
        <v>2713</v>
      </c>
      <c r="C19" s="863" t="e">
        <f>ROUND(IF(H19="按公示增长率计算",SUMPRODUCT((地价!A3:A33=YEAR(G19)&amp;"-"&amp;ROUNDUP(MONTH(G19)/3,0))*(地价!X2:AB2=E2)*(地价!X3:AB33)),IF(H19="地价指数",M20/M19,(1+I19)^O19)),4)</f>
        <v>#VALUE!</v>
      </c>
      <c r="D19" s="2252" t="s">
        <v>2714</v>
      </c>
      <c r="E19" s="864">
        <v>41640</v>
      </c>
      <c r="F19" s="2252" t="s">
        <v>2715</v>
      </c>
      <c r="G19" s="865">
        <f>'数据-取费表'!B2</f>
        <v>44209</v>
      </c>
      <c r="H19" s="2253"/>
      <c r="I19" s="866" t="str">
        <f>IF(H19="季度增幅（自定义）",SUMIF(N21:N24,E2,O21:O24),"")</f>
        <v/>
      </c>
      <c r="J19" s="2250"/>
      <c r="K19" s="1287"/>
      <c r="L19" s="2254" t="s">
        <v>2716</v>
      </c>
      <c r="M19" s="1498">
        <f>ROUND(SUMIF(地价!B2:F2,E2,地价!B33:F33),0)</f>
        <v>0</v>
      </c>
      <c r="N19" s="2255" t="s">
        <v>2717</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1"/>
      <c r="AH19" s="2341"/>
      <c r="AI19" s="3022"/>
      <c r="AJ19" s="3022"/>
      <c r="AK19" s="2256"/>
    </row>
    <row r="20" spans="1:37" s="2203" customFormat="1" ht="29.4" thickBot="1">
      <c r="A20" s="2257" t="s">
        <v>810</v>
      </c>
      <c r="B20" s="2258" t="s">
        <v>2718</v>
      </c>
      <c r="C20" s="868" t="e">
        <f>ROUND(POWER(1+G20,J20-I20)*(POWER(1+G20,I20)-1)/(POWER(1+G20,J20)-1),4)</f>
        <v>#DIV/0!</v>
      </c>
      <c r="D20" s="2259" t="s">
        <v>2719</v>
      </c>
      <c r="E20" s="1507">
        <f ca="1">存贷款利率!D4/100</f>
        <v>4.3499999999999997E-2</v>
      </c>
      <c r="F20" s="2259" t="s">
        <v>2711</v>
      </c>
      <c r="G20" s="873">
        <f>SUMIF(M26:P26,E2,M28:P28)</f>
        <v>0</v>
      </c>
      <c r="H20" s="2259" t="s">
        <v>2720</v>
      </c>
      <c r="I20" s="874" t="e">
        <f>SUMIF('数据-取费表'!C6:C15,E2,'数据-取费表'!F6:F15)/COUNTIF('数据-取费表'!C6:C15,E2)</f>
        <v>#DIV/0!</v>
      </c>
      <c r="J20" s="875">
        <f>IF(E2="住宅",70,IF(E2="商业",40,50))</f>
        <v>50</v>
      </c>
      <c r="K20" s="1287"/>
      <c r="L20" s="2260" t="s">
        <v>2721</v>
      </c>
      <c r="M20" s="1499">
        <f>ROUND(SUMPRODUCT((地价!A4:A33=YEAR(G19)&amp;"-"&amp;ROUNDUP(MONTH(G19)/3,0))*(地价!B2:F2=E2)*(地价!B4:F33)),0)</f>
        <v>0</v>
      </c>
      <c r="N20" s="2261" t="s">
        <v>2722</v>
      </c>
      <c r="O20" s="2262" t="s">
        <v>2723</v>
      </c>
      <c r="P20" s="2263" t="s">
        <v>2724</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3" customFormat="1" ht="14.4">
      <c r="A21" s="2264" t="s">
        <v>811</v>
      </c>
      <c r="B21" s="2265" t="s">
        <v>2725</v>
      </c>
      <c r="C21" s="876" t="e">
        <f>IF(B21="容积率修正",IF(G3&lt;=10,D22,J22),C23)</f>
        <v>#DIV/0!</v>
      </c>
      <c r="D21" s="2266"/>
      <c r="E21" s="2266"/>
      <c r="F21" s="2266"/>
      <c r="G21" s="2266"/>
      <c r="H21" s="2266"/>
      <c r="I21" s="2266"/>
      <c r="J21" s="2267"/>
      <c r="K21" s="1287"/>
      <c r="L21" s="3018"/>
      <c r="M21" s="3018"/>
      <c r="N21" s="2268" t="s">
        <v>2726</v>
      </c>
      <c r="O21" s="1335"/>
      <c r="P21" s="1336">
        <f>SUMPRODUCT((地价!A3:A33=YEAR(G19)&amp;"-"&amp;ROUNDUP(MONTH(G19)/3,0))*(地价!AD2:AH2=N21)*(地价!AD3:AH33))</f>
        <v>1.0999999999999999E-2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3" customFormat="1" ht="14.4">
      <c r="A22" s="2143" t="s">
        <v>2727</v>
      </c>
      <c r="B22" s="2269" t="s">
        <v>2728</v>
      </c>
      <c r="C22" s="1538" t="s">
        <v>2729</v>
      </c>
      <c r="D22" s="1538" t="e">
        <f>IF(E22=G22,F22,IF(G3&lt;=10,ROUND(F22+(H22-F22)*(G3-E22)/(G22-E22),4),"——"))</f>
        <v>#DIV/0!</v>
      </c>
      <c r="E22" s="855" t="e">
        <f>ROUNDDOWN(G3,1)</f>
        <v>#DIV/0!</v>
      </c>
      <c r="F22" s="15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8" t="s">
        <v>155</v>
      </c>
      <c r="J22" s="877" t="e">
        <f>IF(G3&gt;10,D113,"——")</f>
        <v>#DIV/0!</v>
      </c>
      <c r="K22" s="1287"/>
      <c r="L22" s="3018"/>
      <c r="M22" s="3018"/>
      <c r="N22" s="2268" t="s">
        <v>2730</v>
      </c>
      <c r="O22" s="1335"/>
      <c r="P22" s="1336">
        <f>SUMPRODUCT((地价!A3:A33=YEAR(G19)&amp;"-"&amp;ROUNDUP(MONTH(G19)/3,0))*(地价!AD2:AH2=N22)*(地价!AD3:AH33))</f>
        <v>1.0999999999999999E-2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9.4" thickBot="1">
      <c r="A23" s="2143" t="s">
        <v>2731</v>
      </c>
      <c r="B23" s="2270" t="s">
        <v>2732</v>
      </c>
      <c r="C23" s="950" t="e">
        <f>ROUND(IF(G3&gt;1,IF(I3&lt;7,SUMPRODUCT((B93:B98=I3)*(C92:N92=G2)*(C93:N98)),SUMIF(C92:N92,G2,C100:N100)),IF(I3&lt;7,SUMPRODUCT((B102:B107=I3)*(C92:N92=G2)*(C102:N107)),SUMIF(C92:N92,G2,C109:N109))),4)</f>
        <v>#DIV/0!</v>
      </c>
      <c r="D23" s="2238"/>
      <c r="E23" s="2238"/>
      <c r="F23" s="2271"/>
      <c r="G23" s="2272"/>
      <c r="H23" s="2273"/>
      <c r="I23" s="2274"/>
      <c r="J23" s="2275"/>
      <c r="K23" s="1280"/>
      <c r="L23" s="2184"/>
      <c r="M23" s="2184"/>
      <c r="N23" s="2268" t="s">
        <v>2733</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 thickBot="1">
      <c r="A24" s="2257" t="s">
        <v>812</v>
      </c>
      <c r="B24" s="2248" t="s">
        <v>2734</v>
      </c>
      <c r="C24" s="863">
        <f>SUMIF(A45:A88,E2,B45:B88)</f>
        <v>0</v>
      </c>
      <c r="D24" s="2249"/>
      <c r="E24" s="2276"/>
      <c r="F24" s="2276"/>
      <c r="G24" s="2276"/>
      <c r="H24" s="2276"/>
      <c r="I24" s="2276"/>
      <c r="J24" s="2277"/>
      <c r="K24" s="1287"/>
      <c r="L24" s="3018"/>
      <c r="M24" s="3018"/>
      <c r="N24" s="2278" t="s">
        <v>2735</v>
      </c>
      <c r="O24" s="1337"/>
      <c r="P24" s="1338">
        <f>SUMPRODUCT((地价!A3:A33=YEAR(G19)&amp;"-"&amp;ROUNDUP(MONTH(G19)/3,0))*(地价!AD2:AH2=N24)*(地价!AD3:AH33))</f>
        <v>1.1900000000000001E-2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 thickBot="1">
      <c r="A25" s="2257" t="s">
        <v>813</v>
      </c>
      <c r="B25" s="2279" t="s">
        <v>2736</v>
      </c>
      <c r="C25" s="869"/>
      <c r="D25" s="2213"/>
      <c r="E25" s="2213"/>
      <c r="F25" s="2280"/>
      <c r="G25" s="2213"/>
      <c r="H25" s="2213"/>
      <c r="I25" s="2213"/>
      <c r="J25" s="2214"/>
      <c r="K25" s="1280"/>
      <c r="L25" s="2184"/>
      <c r="M25" s="2184"/>
      <c r="N25" s="3013" t="s">
        <v>2737</v>
      </c>
      <c r="O25" s="3014"/>
      <c r="P25" s="3015">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4.4">
      <c r="A26" s="2281"/>
      <c r="B26" s="2269" t="s">
        <v>2738</v>
      </c>
      <c r="C26" s="2543" t="e">
        <f>IF(B21="容积率修正",E29+SUM(E33:E39),SUM(V2:V16)+SUM(E33:E39))</f>
        <v>#DIV/0!</v>
      </c>
      <c r="D26" s="2282"/>
      <c r="E26" s="2238"/>
      <c r="F26" s="2283"/>
      <c r="G26" s="2238"/>
      <c r="H26" s="2238"/>
      <c r="I26" s="2238"/>
      <c r="J26" s="2284"/>
      <c r="K26" s="1280"/>
      <c r="L26" s="3016" t="s">
        <v>2636</v>
      </c>
      <c r="M26" s="2211" t="s">
        <v>2701</v>
      </c>
      <c r="N26" s="2211" t="s">
        <v>2702</v>
      </c>
      <c r="O26" s="2211" t="s">
        <v>2703</v>
      </c>
      <c r="P26" s="3017" t="s">
        <v>2704</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 thickBot="1">
      <c r="A27" s="2281"/>
      <c r="B27" s="2285" t="s">
        <v>2739</v>
      </c>
      <c r="C27" s="870" t="e">
        <f>E30+SUM(I33:I39)</f>
        <v>#DIV/0!</v>
      </c>
      <c r="D27" s="2286"/>
      <c r="E27" s="2287"/>
      <c r="F27" s="2288"/>
      <c r="G27" s="2287"/>
      <c r="H27" s="2287"/>
      <c r="I27" s="2287"/>
      <c r="J27" s="2289"/>
      <c r="K27" s="1280"/>
      <c r="L27" s="2244"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 thickBot="1">
      <c r="A28" s="2290"/>
      <c r="B28" s="2291" t="s">
        <v>2740</v>
      </c>
      <c r="C28" s="2292" t="s">
        <v>2741</v>
      </c>
      <c r="D28" s="2292" t="s">
        <v>2742</v>
      </c>
      <c r="E28" s="2293" t="s">
        <v>2743</v>
      </c>
      <c r="F28" s="2294"/>
      <c r="G28" s="2226"/>
      <c r="H28" s="2226"/>
      <c r="I28" s="2226"/>
      <c r="J28" s="2227"/>
      <c r="K28" s="1280"/>
      <c r="L28" s="2245"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2744</v>
      </c>
      <c r="C29" s="180" t="e">
        <f>ROUND(C5*C18*C19*C20*C21*C24,0)</f>
        <v>#DIV/0!</v>
      </c>
      <c r="D29" s="2297"/>
      <c r="E29" s="879" t="e">
        <f>ROUND(C29*D29/10000,0)</f>
        <v>#DIV/0!</v>
      </c>
      <c r="F29" s="2298" t="s">
        <v>2745</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8" thickBot="1">
      <c r="A30" s="2301"/>
      <c r="B30" s="2302" t="s">
        <v>2746</v>
      </c>
      <c r="C30" s="193" t="e">
        <f>ROUND(IF(E2="工业",C29*M39,C29*M38),0)</f>
        <v>#DIV/0!</v>
      </c>
      <c r="D30" s="2303"/>
      <c r="E30" s="879" t="e">
        <f>ROUND(C30*D30/10000,0)</f>
        <v>#DIV/0!</v>
      </c>
      <c r="F30" s="2304" t="s">
        <v>2747</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3.8">
      <c r="A31" s="2307"/>
      <c r="B31" s="2308" t="s">
        <v>2748</v>
      </c>
      <c r="C31" s="2309" t="s">
        <v>2749</v>
      </c>
      <c r="D31" s="2226"/>
      <c r="E31" s="2309"/>
      <c r="F31" s="2309"/>
      <c r="G31" s="2224" t="s">
        <v>2750</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36">
      <c r="A32" s="2295"/>
      <c r="B32" s="2311"/>
      <c r="C32" s="458" t="s">
        <v>2741</v>
      </c>
      <c r="D32" s="455" t="s">
        <v>2742</v>
      </c>
      <c r="E32" s="455" t="s">
        <v>2743</v>
      </c>
      <c r="F32" s="348" t="s">
        <v>2751</v>
      </c>
      <c r="G32" s="2312" t="s">
        <v>2741</v>
      </c>
      <c r="H32" s="2312" t="s">
        <v>2742</v>
      </c>
      <c r="I32" s="2312" t="s">
        <v>2743</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408"/>
      <c r="B33" s="2313" t="s">
        <v>2752</v>
      </c>
      <c r="C33" s="180" t="e">
        <f>ROUND(D5*C19*C20*C24*F33,0)</f>
        <v>#DIV/0!</v>
      </c>
      <c r="D33" s="2297"/>
      <c r="E33" s="176" t="e">
        <f>ROUND(C33*D33/10000,0)</f>
        <v>#DIV/0!</v>
      </c>
      <c r="F33" s="176">
        <f>SUMIF(修正!A45:A56,G2,修正!B45:B56)</f>
        <v>0</v>
      </c>
      <c r="G33" s="176" t="e">
        <f t="shared" ref="G33" si="6">ROUND(IF(E2="工业",C33*$M$39,C33*$M$38),0)</f>
        <v>#DIV/0!</v>
      </c>
      <c r="H33" s="176">
        <f>D33</f>
        <v>0</v>
      </c>
      <c r="I33" s="176" t="e">
        <f>ROUND(G33*H33/10000,0)</f>
        <v>#DIV/0!</v>
      </c>
      <c r="J33" s="3413"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3.8">
      <c r="A34" s="3409"/>
      <c r="B34" s="2230" t="s">
        <v>2753</v>
      </c>
      <c r="C34" s="180" t="e">
        <f>ROUND(D5*C19*C20*C24*F34,0)</f>
        <v>#DIV/0!</v>
      </c>
      <c r="D34" s="229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0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409"/>
      <c r="B35" s="2230" t="s">
        <v>2754</v>
      </c>
      <c r="C35" s="180" t="e">
        <f>ROUND(D5*C19*C20*C24*F35,0)</f>
        <v>#DIV/0!</v>
      </c>
      <c r="D35" s="2297"/>
      <c r="E35" s="176" t="e">
        <f t="shared" si="7"/>
        <v>#DIV/0!</v>
      </c>
      <c r="F35" s="176">
        <f>SUMIF(修正!A45:A56,G2,修正!D45:D56)</f>
        <v>0</v>
      </c>
      <c r="G35" s="176" t="e">
        <f>ROUND(IF(E2="工业",C35*$M$39,C35*$M$38),0)</f>
        <v>#DIV/0!</v>
      </c>
      <c r="H35" s="176">
        <f t="shared" si="8"/>
        <v>0</v>
      </c>
      <c r="I35" s="176" t="e">
        <f t="shared" si="9"/>
        <v>#DIV/0!</v>
      </c>
      <c r="J35" s="340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8" thickBot="1">
      <c r="A36" s="3410"/>
      <c r="B36" s="2230" t="s">
        <v>2755</v>
      </c>
      <c r="C36" s="180" t="e">
        <f>ROUND(D5*C19*C20*C24*F36,0)</f>
        <v>#DIV/0!</v>
      </c>
      <c r="D36" s="2297"/>
      <c r="E36" s="176" t="e">
        <f t="shared" si="7"/>
        <v>#DIV/0!</v>
      </c>
      <c r="F36" s="176">
        <f>SUMIF(修正!A45:A56,G2,修正!E45:E56)</f>
        <v>0</v>
      </c>
      <c r="G36" s="176" t="e">
        <f>ROUND(IF(E2="工业",C36*$M$39,C36*$M$38),0)</f>
        <v>#DIV/0!</v>
      </c>
      <c r="H36" s="176">
        <f t="shared" si="8"/>
        <v>0</v>
      </c>
      <c r="I36" s="176" t="e">
        <f t="shared" si="9"/>
        <v>#DIV/0!</v>
      </c>
      <c r="J36" s="3410"/>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2756</v>
      </c>
      <c r="C37" s="176" t="e">
        <f>ROUND(D5*C19*C20*C24*F37,0)</f>
        <v>#DIV/0!</v>
      </c>
      <c r="D37" s="2297"/>
      <c r="E37" s="176" t="e">
        <f t="shared" si="7"/>
        <v>#DIV/0!</v>
      </c>
      <c r="F37" s="180">
        <f>SUMIF(修正!A45:A56,G2,修正!F45:F56)</f>
        <v>0</v>
      </c>
      <c r="G37" s="176" t="e">
        <f>ROUND(IF(E2="工业",C37*$M$39,C37*$M$38),0)</f>
        <v>#DIV/0!</v>
      </c>
      <c r="H37" s="176">
        <f t="shared" si="8"/>
        <v>0</v>
      </c>
      <c r="I37" s="176" t="e">
        <f t="shared" si="9"/>
        <v>#DIV/0!</v>
      </c>
      <c r="J37" s="2314"/>
      <c r="K37" s="1280"/>
      <c r="L37" s="2316" t="s">
        <v>2757</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2758</v>
      </c>
      <c r="C38" s="176" t="e">
        <f>ROUND(D5*C19*C41*C24*F38,0)</f>
        <v>#DIV/0!</v>
      </c>
      <c r="D38" s="2297"/>
      <c r="E38" s="176" t="e">
        <f t="shared" si="7"/>
        <v>#DIV/0!</v>
      </c>
      <c r="F38" s="180">
        <f>SUMIF(修正!A45:A56,G2,修正!G45:G56)</f>
        <v>0</v>
      </c>
      <c r="G38" s="176" t="e">
        <f>ROUND(IF(E2="工业",C38*$M$39,C38*$M$38),0)</f>
        <v>#DIV/0!</v>
      </c>
      <c r="H38" s="176">
        <f t="shared" si="8"/>
        <v>0</v>
      </c>
      <c r="I38" s="176" t="e">
        <f t="shared" si="9"/>
        <v>#DIV/0!</v>
      </c>
      <c r="J38" s="2314"/>
      <c r="K38" s="1280"/>
      <c r="L38" s="1607" t="s">
        <v>2759</v>
      </c>
      <c r="M38" s="2318">
        <v>0.25</v>
      </c>
      <c r="N38" s="1280"/>
      <c r="O38" s="1280"/>
      <c r="P38" s="1280"/>
      <c r="Q38" s="1280"/>
      <c r="R38" s="1280"/>
      <c r="S38" s="1280"/>
      <c r="T38" s="1280"/>
      <c r="U38" s="1280"/>
      <c r="V38" s="1280"/>
      <c r="W38" s="1280"/>
      <c r="X38" s="1280"/>
      <c r="Y38" s="1280"/>
      <c r="Z38" s="1281"/>
      <c r="AA38" s="1281"/>
      <c r="AB38" s="1281"/>
      <c r="AC38" s="1281"/>
      <c r="AD38" s="1281"/>
    </row>
    <row r="39" spans="1:37" ht="13.8" thickBot="1">
      <c r="A39" s="2301"/>
      <c r="B39" s="2319" t="s">
        <v>2760</v>
      </c>
      <c r="C39" s="193" t="e">
        <f>ROUND(D5*C19*C41*C24*F39,0)</f>
        <v>#DIV/0!</v>
      </c>
      <c r="D39" s="2303"/>
      <c r="E39" s="193" t="e">
        <f t="shared" si="7"/>
        <v>#DIV/0!</v>
      </c>
      <c r="F39" s="871">
        <f>SUMIF(修正!A45:A56,G2,修正!H45:H56)</f>
        <v>0</v>
      </c>
      <c r="G39" s="193" t="e">
        <f>ROUND(IF(E2="工业",C39*$M$39,C39*$M$38),0)</f>
        <v>#DIV/0!</v>
      </c>
      <c r="H39" s="193">
        <f t="shared" si="8"/>
        <v>0</v>
      </c>
      <c r="I39" s="193" t="e">
        <f t="shared" si="9"/>
        <v>#DIV/0!</v>
      </c>
      <c r="J39" s="2320"/>
      <c r="K39" s="1280"/>
      <c r="L39" s="2321" t="s">
        <v>2704</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
      <c r="A41" s="1281"/>
      <c r="B41" s="2371" t="s">
        <v>2862</v>
      </c>
      <c r="C41" s="348" t="e">
        <f>ROUND(POWER(1+E41,H41-G41)*(POWER(1+E41,G41)-1)/(POWER(1+E41,H41)-1),4)</f>
        <v>#DIV/0!</v>
      </c>
      <c r="D41" s="176" t="s">
        <v>2711</v>
      </c>
      <c r="E41" s="2370">
        <f>G20</f>
        <v>0</v>
      </c>
      <c r="F41" s="176" t="s">
        <v>2720</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 thickBot="1">
      <c r="A45" s="2324" t="s">
        <v>2761</v>
      </c>
      <c r="B45" s="2325"/>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4.4">
      <c r="A46" s="2326" t="s">
        <v>2762</v>
      </c>
      <c r="B46" s="2327">
        <f>1+E48</f>
        <v>1</v>
      </c>
      <c r="C46" s="2328"/>
      <c r="D46" s="753"/>
      <c r="E46" s="754"/>
      <c r="F46" s="2329"/>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5.2">
      <c r="A47" s="2330" t="s">
        <v>2763</v>
      </c>
      <c r="B47" s="1537" t="s">
        <v>2764</v>
      </c>
      <c r="C47" s="1537" t="s">
        <v>2765</v>
      </c>
      <c r="D47" s="1537" t="s">
        <v>2766</v>
      </c>
      <c r="E47" s="758" t="s">
        <v>2767</v>
      </c>
      <c r="F47" s="2331" t="s">
        <v>2768</v>
      </c>
      <c r="G47" s="1537" t="s">
        <v>754</v>
      </c>
      <c r="H47" s="2332" t="s">
        <v>2769</v>
      </c>
      <c r="I47" s="1537" t="s">
        <v>2770</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52.8">
      <c r="A48" s="2330" t="s">
        <v>2771</v>
      </c>
      <c r="B48" s="2333" t="str">
        <f>估价对象房地状况!C4</f>
        <v>估价对象位于XX商圈，周边商业氛围成熟，人流量大，商业繁华度好</v>
      </c>
      <c r="C48" s="2235"/>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66">
      <c r="A49" s="2330" t="s">
        <v>2772</v>
      </c>
      <c r="B49" s="2334" t="str">
        <f>估价对象房地状况!C18</f>
        <v>估价对象周边道路状况、公共交通通达情况、停车便捷程度，综合评价交通便捷度较好</v>
      </c>
      <c r="C49" s="2235"/>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2773</v>
      </c>
      <c r="B50" s="2334">
        <f>估价对象房地状况!C19</f>
        <v>0</v>
      </c>
      <c r="C50" s="2235"/>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50.4">
      <c r="A51" s="2330" t="s">
        <v>2774</v>
      </c>
      <c r="B51" s="2335" t="s">
        <v>2775</v>
      </c>
      <c r="C51" s="2235"/>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2776</v>
      </c>
      <c r="B52" s="2334">
        <f>估价对象房地状况!C24</f>
        <v>0</v>
      </c>
      <c r="C52" s="2235"/>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36">
      <c r="A53" s="2330" t="s">
        <v>2777</v>
      </c>
      <c r="B53" s="2336" t="s">
        <v>2778</v>
      </c>
      <c r="C53" s="2235"/>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6.4">
      <c r="A54" s="2337" t="s">
        <v>2779</v>
      </c>
      <c r="B54" s="1496" t="str">
        <f>估价对象房地状况!C21</f>
        <v>估价对象所在区域公共配套设施齐备情况</v>
      </c>
      <c r="C54" s="2235"/>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6.4">
      <c r="A55" s="2337" t="s">
        <v>2780</v>
      </c>
      <c r="B55" s="2334" t="str">
        <f>估价对象房地状况!C22</f>
        <v>估价对象所在区域基础设施水平</v>
      </c>
      <c r="C55" s="2235"/>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40.200000000000003" thickBot="1">
      <c r="A56" s="2338" t="s">
        <v>2781</v>
      </c>
      <c r="B56" s="2339" t="str">
        <f>估价对象房地状况!C20</f>
        <v>区域自然环境：；人文环境；综合评价环境状况一般</v>
      </c>
      <c r="C56" s="2235"/>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4.4">
      <c r="A57" s="2326" t="s">
        <v>2782</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2">
      <c r="A58" s="2330" t="s">
        <v>2763</v>
      </c>
      <c r="B58" s="1537"/>
      <c r="C58" s="1537" t="s">
        <v>2765</v>
      </c>
      <c r="D58" s="1537" t="s">
        <v>2766</v>
      </c>
      <c r="E58" s="758" t="s">
        <v>2767</v>
      </c>
      <c r="F58" s="2331" t="s">
        <v>2783</v>
      </c>
      <c r="G58" s="1537" t="s">
        <v>754</v>
      </c>
      <c r="H58" s="2332" t="s">
        <v>2769</v>
      </c>
      <c r="I58" s="1537" t="s">
        <v>2770</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52.8">
      <c r="A59" s="2330" t="s">
        <v>2784</v>
      </c>
      <c r="B59" s="2333" t="str">
        <f>估价对象房地状况!C17</f>
        <v>估价对象位于XX商圈，周边办公楼项目较多，入驻率高，办公集聚程度较好</v>
      </c>
      <c r="C59" s="2235"/>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66">
      <c r="A60" s="2330" t="s">
        <v>2772</v>
      </c>
      <c r="B60" s="2334" t="str">
        <f>估价对象房地状况!C18</f>
        <v>估价对象周边道路状况、公共交通通达情况、停车便捷程度，综合评价交通便捷度较好</v>
      </c>
      <c r="C60" s="2235"/>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2773</v>
      </c>
      <c r="B61" s="2334">
        <f>估价对象房地状况!C19</f>
        <v>0</v>
      </c>
      <c r="C61" s="2235"/>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50.4">
      <c r="A62" s="2330" t="s">
        <v>2774</v>
      </c>
      <c r="B62" s="2335" t="s">
        <v>2775</v>
      </c>
      <c r="C62" s="2235"/>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2776</v>
      </c>
      <c r="B63" s="2334">
        <f>估价对象房地状况!C24</f>
        <v>0</v>
      </c>
      <c r="C63" s="2235"/>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36">
      <c r="A64" s="2330" t="s">
        <v>2777</v>
      </c>
      <c r="B64" s="2336" t="s">
        <v>2778</v>
      </c>
      <c r="C64" s="2235"/>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6.4">
      <c r="A65" s="2330" t="s">
        <v>2779</v>
      </c>
      <c r="B65" s="1496" t="str">
        <f>估价对象房地状况!C21</f>
        <v>估价对象所在区域公共配套设施齐备情况</v>
      </c>
      <c r="C65" s="2235"/>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6.4">
      <c r="A66" s="2330" t="s">
        <v>2780</v>
      </c>
      <c r="B66" s="1496" t="str">
        <f>估价对象房地状况!C22</f>
        <v>估价对象所在区域基础设施水平</v>
      </c>
      <c r="C66" s="2235"/>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40.200000000000003" thickBot="1">
      <c r="A67" s="2338" t="s">
        <v>2781</v>
      </c>
      <c r="B67" s="2340" t="str">
        <f>估价对象房地状况!C20</f>
        <v>区域自然环境：；人文环境；综合评价环境状况一般</v>
      </c>
      <c r="C67" s="2235"/>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4.4">
      <c r="A68" s="2326" t="s">
        <v>2785</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2">
      <c r="A69" s="2330" t="s">
        <v>2763</v>
      </c>
      <c r="B69" s="1537"/>
      <c r="C69" s="1537" t="s">
        <v>2765</v>
      </c>
      <c r="D69" s="1537" t="s">
        <v>2766</v>
      </c>
      <c r="E69" s="758" t="s">
        <v>2767</v>
      </c>
      <c r="F69" s="2331" t="s">
        <v>2783</v>
      </c>
      <c r="G69" s="1537" t="s">
        <v>754</v>
      </c>
      <c r="H69" s="2332" t="s">
        <v>2769</v>
      </c>
      <c r="I69" s="1537" t="s">
        <v>2770</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66">
      <c r="A70" s="2330" t="s">
        <v>2786</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66">
      <c r="A71" s="2330" t="s">
        <v>2772</v>
      </c>
      <c r="B71" s="2334" t="str">
        <f>估价对象房地状况!C18</f>
        <v>估价对象周边道路状况、公共交通通达情况、停车便捷程度，综合评价交通便捷度较好</v>
      </c>
      <c r="C71" s="2235"/>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2773</v>
      </c>
      <c r="B72" s="2334">
        <f>估价对象房地状况!C19</f>
        <v>0</v>
      </c>
      <c r="C72" s="2235"/>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3.8">
      <c r="A73" s="2330" t="s">
        <v>2787</v>
      </c>
      <c r="B73" s="2334">
        <f>估价对象房地状况!C24</f>
        <v>0</v>
      </c>
      <c r="C73" s="2235"/>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6.4">
      <c r="A74" s="2330" t="s">
        <v>2779</v>
      </c>
      <c r="B74" s="1496" t="str">
        <f>估价对象房地状况!C21</f>
        <v>估价对象所在区域公共配套设施齐备情况</v>
      </c>
      <c r="C74" s="2235"/>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6.4">
      <c r="A75" s="2330" t="s">
        <v>2780</v>
      </c>
      <c r="B75" s="1496" t="str">
        <f>估价对象房地状况!C22</f>
        <v>估价对象所在区域基础设施水平</v>
      </c>
      <c r="C75" s="2235"/>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36">
      <c r="A76" s="2330" t="s">
        <v>2777</v>
      </c>
      <c r="B76" s="2336" t="s">
        <v>2778</v>
      </c>
      <c r="C76" s="2235"/>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9.6">
      <c r="A77" s="2330" t="s">
        <v>2781</v>
      </c>
      <c r="B77" s="2333" t="str">
        <f>估价对象房地状况!C20</f>
        <v>区域自然环境：；人文环境；综合评价环境状况一般</v>
      </c>
      <c r="C77" s="2235"/>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36.6" thickBot="1">
      <c r="A78" s="2338" t="s">
        <v>2788</v>
      </c>
      <c r="B78" s="2342"/>
      <c r="C78" s="2235"/>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4.4">
      <c r="A79" s="2326" t="s">
        <v>2789</v>
      </c>
      <c r="B79" s="2327">
        <f>1+E81</f>
        <v>1</v>
      </c>
      <c r="C79" s="753"/>
      <c r="D79" s="753"/>
      <c r="E79" s="754"/>
      <c r="F79" s="2329"/>
      <c r="G79" s="6"/>
      <c r="H79" s="6"/>
      <c r="I79" s="6"/>
      <c r="J79" s="7"/>
      <c r="K79" s="7"/>
      <c r="L79" s="7"/>
      <c r="M79" s="7"/>
      <c r="N79" s="7"/>
      <c r="Z79" s="2185"/>
      <c r="AA79" s="2251"/>
      <c r="AG79" s="1282"/>
      <c r="AK79" s="2251"/>
    </row>
    <row r="80" spans="1:37" ht="25.2">
      <c r="A80" s="2330" t="s">
        <v>2763</v>
      </c>
      <c r="B80" s="1537"/>
      <c r="C80" s="1537" t="s">
        <v>2765</v>
      </c>
      <c r="D80" s="1537" t="s">
        <v>2766</v>
      </c>
      <c r="E80" s="758" t="s">
        <v>2767</v>
      </c>
      <c r="F80" s="2331" t="s">
        <v>2783</v>
      </c>
      <c r="G80" s="1537" t="s">
        <v>754</v>
      </c>
      <c r="H80" s="2332" t="s">
        <v>2769</v>
      </c>
      <c r="I80" s="1537" t="s">
        <v>2770</v>
      </c>
      <c r="J80" s="560" t="s">
        <v>2419</v>
      </c>
      <c r="K80" s="560" t="s">
        <v>2420</v>
      </c>
      <c r="L80" s="560" t="s">
        <v>2421</v>
      </c>
      <c r="M80" s="560" t="s">
        <v>2422</v>
      </c>
      <c r="N80" s="560" t="s">
        <v>2423</v>
      </c>
      <c r="Z80" s="2185"/>
      <c r="AA80" s="2251"/>
      <c r="AG80" s="1282"/>
      <c r="AK80" s="2251"/>
    </row>
    <row r="81" spans="1:37" ht="39.6">
      <c r="A81" s="2330" t="s">
        <v>2790</v>
      </c>
      <c r="B81" s="2334" t="str">
        <f>估价对象房地状况!G15</f>
        <v>估价对象位于XX开发区，园区建设成熟度XX，产业集聚程度XX</v>
      </c>
      <c r="C81" s="2235"/>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66">
      <c r="A82" s="2330" t="s">
        <v>2772</v>
      </c>
      <c r="B82" s="2334" t="str">
        <f>估价对象房地状况!G16</f>
        <v>估价对象周边道路状况、公共交通通达情况、停车便捷程度，综合评价交通便捷度较好</v>
      </c>
      <c r="C82" s="2235"/>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2773</v>
      </c>
      <c r="B83" s="2334">
        <f>估价对象房地状况!G17</f>
        <v>0</v>
      </c>
      <c r="C83" s="2235"/>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3.8">
      <c r="A84" s="2330" t="s">
        <v>2787</v>
      </c>
      <c r="B84" s="2334">
        <f>估价对象房地状况!G22</f>
        <v>0</v>
      </c>
      <c r="C84" s="2235"/>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6.4">
      <c r="A85" s="2330" t="s">
        <v>2779</v>
      </c>
      <c r="B85" s="1496" t="str">
        <f>估价对象房地状况!G19</f>
        <v>估价对象所在区域公共配套设施齐备情况</v>
      </c>
      <c r="C85" s="2235"/>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6.4">
      <c r="A86" s="2330" t="s">
        <v>2780</v>
      </c>
      <c r="B86" s="1496" t="str">
        <f>估价对象房地状况!G20</f>
        <v>估价对象所在区域基础设施水平</v>
      </c>
      <c r="C86" s="2235"/>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36">
      <c r="A87" s="2330" t="s">
        <v>2777</v>
      </c>
      <c r="B87" s="2336" t="s">
        <v>2791</v>
      </c>
      <c r="C87" s="2235"/>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53.4" thickBot="1">
      <c r="A88" s="2338" t="s">
        <v>2792</v>
      </c>
      <c r="B88" s="2343" t="str">
        <f>估价对象房地状况!G18</f>
        <v>该园区内是否有污染型企业，绿化情况，卫生条件，整体环境状况判断</v>
      </c>
      <c r="C88" s="2235"/>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400" t="s">
        <v>2793</v>
      </c>
      <c r="B90" s="3400"/>
      <c r="C90" s="3400"/>
      <c r="D90" s="3400"/>
      <c r="E90" s="3400"/>
      <c r="F90" s="3400"/>
      <c r="G90" s="3400"/>
      <c r="H90" s="3400"/>
      <c r="I90" s="3400"/>
      <c r="J90" s="3400"/>
      <c r="K90" s="2344"/>
      <c r="L90" s="2344"/>
      <c r="M90" s="2344"/>
      <c r="N90" s="2344"/>
    </row>
    <row r="91" spans="1:37">
      <c r="A91" s="3402" t="s">
        <v>2794</v>
      </c>
      <c r="B91" s="3402" t="s">
        <v>2795</v>
      </c>
      <c r="C91" s="2298" t="s">
        <v>2796</v>
      </c>
      <c r="D91" s="2299"/>
      <c r="E91" s="2299"/>
      <c r="F91" s="2299"/>
      <c r="G91" s="2299"/>
      <c r="H91" s="2299"/>
      <c r="I91" s="2299"/>
      <c r="J91" s="2345"/>
      <c r="K91" s="2346"/>
      <c r="L91" s="2346"/>
      <c r="M91" s="2346"/>
      <c r="N91" s="2346"/>
    </row>
    <row r="92" spans="1:37">
      <c r="A92" s="3402"/>
      <c r="B92" s="3402"/>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403"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404"/>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404"/>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404"/>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404"/>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404"/>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404"/>
      <c r="B99" s="2347" t="s">
        <v>2679</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405"/>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403" t="s">
        <v>2798</v>
      </c>
      <c r="B101" s="2351" t="s">
        <v>2799</v>
      </c>
      <c r="C101" s="2352" t="e">
        <f>$G$3</f>
        <v>#DIV/0!</v>
      </c>
      <c r="D101" s="2352" t="e">
        <f t="shared" ref="D101:N101" si="31">$G$3</f>
        <v>#DIV/0!</v>
      </c>
      <c r="E101" s="2352" t="e">
        <f t="shared" si="31"/>
        <v>#DIV/0!</v>
      </c>
      <c r="F101" s="2352" t="e">
        <f t="shared" si="31"/>
        <v>#DIV/0!</v>
      </c>
      <c r="G101" s="2352" t="e">
        <f t="shared" si="31"/>
        <v>#DIV/0!</v>
      </c>
      <c r="H101" s="2352" t="e">
        <f t="shared" si="31"/>
        <v>#DIV/0!</v>
      </c>
      <c r="I101" s="2352" t="e">
        <f t="shared" si="31"/>
        <v>#DIV/0!</v>
      </c>
      <c r="J101" s="2352" t="e">
        <f t="shared" si="31"/>
        <v>#DIV/0!</v>
      </c>
      <c r="K101" s="2352" t="e">
        <f t="shared" si="31"/>
        <v>#DIV/0!</v>
      </c>
      <c r="L101" s="2352" t="e">
        <f t="shared" si="31"/>
        <v>#DIV/0!</v>
      </c>
      <c r="M101" s="2352" t="e">
        <f t="shared" si="31"/>
        <v>#DIV/0!</v>
      </c>
      <c r="N101" s="2352" t="e">
        <f t="shared" si="31"/>
        <v>#DIV/0!</v>
      </c>
    </row>
    <row r="102" spans="1:14">
      <c r="A102" s="3404"/>
      <c r="B102" s="2347">
        <v>1</v>
      </c>
      <c r="C102" s="2348" t="e">
        <f>1.9362/C101</f>
        <v>#DIV/0!</v>
      </c>
      <c r="D102" s="2348" t="e">
        <f>1.9362/D101</f>
        <v>#DIV/0!</v>
      </c>
      <c r="E102" s="2348" t="e">
        <f>1.8629/E101</f>
        <v>#DIV/0!</v>
      </c>
      <c r="F102" s="2348" t="e">
        <f>1.8629/F101</f>
        <v>#DIV/0!</v>
      </c>
      <c r="G102" s="2348" t="e">
        <f>1.8629/G101</f>
        <v>#DIV/0!</v>
      </c>
      <c r="H102" s="2348" t="e">
        <f>1.8629/H101</f>
        <v>#DIV/0!</v>
      </c>
      <c r="I102" s="2348" t="e">
        <f>1.8629/I101</f>
        <v>#DIV/0!</v>
      </c>
      <c r="J102" s="2348" t="e">
        <f>1.942/J101</f>
        <v>#DIV/0!</v>
      </c>
      <c r="K102" s="2348" t="e">
        <f>1.942/K101</f>
        <v>#DIV/0!</v>
      </c>
      <c r="L102" s="2348" t="e">
        <f>1.942/L101</f>
        <v>#DIV/0!</v>
      </c>
      <c r="M102" s="2348" t="e">
        <f>1.942/M101</f>
        <v>#DIV/0!</v>
      </c>
      <c r="N102" s="2348" t="e">
        <f>1.942/N101</f>
        <v>#DIV/0!</v>
      </c>
    </row>
    <row r="103" spans="1:14">
      <c r="A103" s="3404"/>
      <c r="B103" s="2347">
        <v>2</v>
      </c>
      <c r="C103" s="2348" t="e">
        <f>1.4198/C101</f>
        <v>#DIV/0!</v>
      </c>
      <c r="D103" s="2348" t="e">
        <f>1.4198/D101</f>
        <v>#DIV/0!</v>
      </c>
      <c r="E103" s="2348" t="e">
        <f>1.3372/E101</f>
        <v>#DIV/0!</v>
      </c>
      <c r="F103" s="2348" t="e">
        <f>1.3372/F101</f>
        <v>#DIV/0!</v>
      </c>
      <c r="G103" s="2348" t="e">
        <f>1.3372/G101</f>
        <v>#DIV/0!</v>
      </c>
      <c r="H103" s="2348" t="e">
        <f>1.3372/H101</f>
        <v>#DIV/0!</v>
      </c>
      <c r="I103" s="2348" t="e">
        <f>1.3372/I101</f>
        <v>#DIV/0!</v>
      </c>
      <c r="J103" s="2348" t="e">
        <f>1.2799/J101</f>
        <v>#DIV/0!</v>
      </c>
      <c r="K103" s="2348" t="e">
        <f>1.2799/K101</f>
        <v>#DIV/0!</v>
      </c>
      <c r="L103" s="2348" t="e">
        <f>1.2799/L101</f>
        <v>#DIV/0!</v>
      </c>
      <c r="M103" s="2348" t="e">
        <f>1.2799/M101</f>
        <v>#DIV/0!</v>
      </c>
      <c r="N103" s="2348" t="e">
        <f>1.2799/N101</f>
        <v>#DIV/0!</v>
      </c>
    </row>
    <row r="104" spans="1:14">
      <c r="A104" s="3404"/>
      <c r="B104" s="2347">
        <v>3</v>
      </c>
      <c r="C104" s="2348" t="e">
        <f>1.1594/C101</f>
        <v>#DIV/0!</v>
      </c>
      <c r="D104" s="2348" t="e">
        <f>1.1594/D101</f>
        <v>#DIV/0!</v>
      </c>
      <c r="E104" s="2348" t="e">
        <f>1.0788/E101</f>
        <v>#DIV/0!</v>
      </c>
      <c r="F104" s="2348" t="e">
        <f>1.0788/F101</f>
        <v>#DIV/0!</v>
      </c>
      <c r="G104" s="2348" t="e">
        <f>1.0788/G101</f>
        <v>#DIV/0!</v>
      </c>
      <c r="H104" s="2348" t="e">
        <f>1.0788/H101</f>
        <v>#DIV/0!</v>
      </c>
      <c r="I104" s="2348" t="e">
        <f>1.0788/I101</f>
        <v>#DIV/0!</v>
      </c>
      <c r="J104" s="2348" t="e">
        <f>1.0072/J101</f>
        <v>#DIV/0!</v>
      </c>
      <c r="K104" s="2348" t="e">
        <f>1.0072/K101</f>
        <v>#DIV/0!</v>
      </c>
      <c r="L104" s="2348" t="e">
        <f>1.0072/L101</f>
        <v>#DIV/0!</v>
      </c>
      <c r="M104" s="2348" t="e">
        <f>1.0072/M101</f>
        <v>#DIV/0!</v>
      </c>
      <c r="N104" s="2348" t="e">
        <f>1.0072/N101</f>
        <v>#DIV/0!</v>
      </c>
    </row>
    <row r="105" spans="1:14">
      <c r="A105" s="3404"/>
      <c r="B105" s="2347">
        <v>4</v>
      </c>
      <c r="C105" s="2348" t="e">
        <f>0.9622/C101</f>
        <v>#DIV/0!</v>
      </c>
      <c r="D105" s="2348" t="e">
        <f>0.9622/D101</f>
        <v>#DIV/0!</v>
      </c>
      <c r="E105" s="2348" t="e">
        <f>0.8656/E101</f>
        <v>#DIV/0!</v>
      </c>
      <c r="F105" s="2348" t="e">
        <f>0.8656/F101</f>
        <v>#DIV/0!</v>
      </c>
      <c r="G105" s="2348" t="e">
        <f>0.8656/G101</f>
        <v>#DIV/0!</v>
      </c>
      <c r="H105" s="2348" t="e">
        <f>0.8656/H101</f>
        <v>#DIV/0!</v>
      </c>
      <c r="I105" s="2348" t="e">
        <f>0.8656/I101</f>
        <v>#DIV/0!</v>
      </c>
      <c r="J105" s="2348" t="e">
        <f>0.7525/J101</f>
        <v>#DIV/0!</v>
      </c>
      <c r="K105" s="2348" t="e">
        <f>0.7525/K101</f>
        <v>#DIV/0!</v>
      </c>
      <c r="L105" s="2348" t="e">
        <f>0.7525/L101</f>
        <v>#DIV/0!</v>
      </c>
      <c r="M105" s="2348" t="e">
        <f>0.7525/M101</f>
        <v>#DIV/0!</v>
      </c>
      <c r="N105" s="2348" t="e">
        <f>0.7525/N101</f>
        <v>#DIV/0!</v>
      </c>
    </row>
    <row r="106" spans="1:14">
      <c r="A106" s="3404"/>
      <c r="B106" s="2347">
        <v>5</v>
      </c>
      <c r="C106" s="2348" t="e">
        <f>0.8417/C101</f>
        <v>#DIV/0!</v>
      </c>
      <c r="D106" s="2348" t="e">
        <f>0.8417/D101</f>
        <v>#DIV/0!</v>
      </c>
      <c r="E106" s="2348" t="e">
        <f>0.7371/E101</f>
        <v>#DIV/0!</v>
      </c>
      <c r="F106" s="2348" t="e">
        <f>0.7371/F101</f>
        <v>#DIV/0!</v>
      </c>
      <c r="G106" s="2348" t="e">
        <f>0.7371/G101</f>
        <v>#DIV/0!</v>
      </c>
      <c r="H106" s="2348" t="e">
        <f>0.7371/H101</f>
        <v>#DIV/0!</v>
      </c>
      <c r="I106" s="2348" t="e">
        <f>0.7371/I101</f>
        <v>#DIV/0!</v>
      </c>
      <c r="J106" s="2348" t="e">
        <f>0.5659/J101</f>
        <v>#DIV/0!</v>
      </c>
      <c r="K106" s="2348" t="e">
        <f>0.5659/K101</f>
        <v>#DIV/0!</v>
      </c>
      <c r="L106" s="2348" t="e">
        <f>0.5659/L101</f>
        <v>#DIV/0!</v>
      </c>
      <c r="M106" s="2348" t="e">
        <f>0.5659/M101</f>
        <v>#DIV/0!</v>
      </c>
      <c r="N106" s="2348" t="e">
        <f>0.5659/N101</f>
        <v>#DIV/0!</v>
      </c>
    </row>
    <row r="107" spans="1:14">
      <c r="A107" s="3404"/>
      <c r="B107" s="2347">
        <v>6</v>
      </c>
      <c r="C107" s="2348" t="e">
        <f>0.7608/C101</f>
        <v>#DIV/0!</v>
      </c>
      <c r="D107" s="2348" t="e">
        <f>0.7608/D101</f>
        <v>#DIV/0!</v>
      </c>
      <c r="E107" s="2348" t="e">
        <f>0.6482/E101</f>
        <v>#DIV/0!</v>
      </c>
      <c r="F107" s="2348" t="e">
        <f>0.6482/F101</f>
        <v>#DIV/0!</v>
      </c>
      <c r="G107" s="2348" t="e">
        <f>0.6482/G101</f>
        <v>#DIV/0!</v>
      </c>
      <c r="H107" s="2348" t="e">
        <f>0.6482/H101</f>
        <v>#DIV/0!</v>
      </c>
      <c r="I107" s="2348" t="e">
        <f>0.6482/I101</f>
        <v>#DIV/0!</v>
      </c>
      <c r="J107" s="2348" t="e">
        <f>0.4525/J101</f>
        <v>#DIV/0!</v>
      </c>
      <c r="K107" s="2348" t="e">
        <f>0.4525/K101</f>
        <v>#DIV/0!</v>
      </c>
      <c r="L107" s="2348" t="e">
        <f>0.4525/L101</f>
        <v>#DIV/0!</v>
      </c>
      <c r="M107" s="2348" t="e">
        <f>0.4525/M101</f>
        <v>#DIV/0!</v>
      </c>
      <c r="N107" s="2348" t="e">
        <f>0.4525/N101</f>
        <v>#DIV/0!</v>
      </c>
    </row>
    <row r="108" spans="1:14">
      <c r="A108" s="3404"/>
      <c r="B108" s="3406" t="s">
        <v>2800</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405"/>
      <c r="B109" s="3407"/>
      <c r="C109" s="2350" t="e">
        <f>(-0.163*(C108^2)-0.59*C108+7617)*(10^(-4))/C101</f>
        <v>#DIV/0!</v>
      </c>
      <c r="D109" s="2350" t="e">
        <f>(-0.163*(D108^2)-0.59*D108+7617)*(10^(-4))/D101</f>
        <v>#DIV/0!</v>
      </c>
      <c r="E109" s="2350" t="e">
        <f>(-0.161*(E108^2)-7.509*E108+6533)*(10^(-4))/E101</f>
        <v>#DIV/0!</v>
      </c>
      <c r="F109" s="2350" t="e">
        <f>(-0.161*(F108^2)-7.509*F108+6533)*(10^(-4))/F101</f>
        <v>#DIV/0!</v>
      </c>
      <c r="G109" s="2350" t="e">
        <f>(-0.161*(G108^2)-7.509*G108+6533)*(10^(-4))/G101</f>
        <v>#DIV/0!</v>
      </c>
      <c r="H109" s="2350" t="e">
        <f>(-0.161*(H108^2)-7.509*H108+6533)*(10^(-4))/H101</f>
        <v>#DIV/0!</v>
      </c>
      <c r="I109" s="2350" t="e">
        <f>(-0.161*(I108^2)-7.509*I108+6533)*(10^(-4))/I101</f>
        <v>#DIV/0!</v>
      </c>
      <c r="J109" s="2350" t="e">
        <f>(-0.214*(J108^2)-21.991*J108+4665)*(10^(-4))/J101</f>
        <v>#DIV/0!</v>
      </c>
      <c r="K109" s="2350" t="e">
        <f>(-0.214*(K108^2)-21.991*K108+4665)*(10^(-4))/K101</f>
        <v>#DIV/0!</v>
      </c>
      <c r="L109" s="2350" t="e">
        <f>(-0.214*(L108^2)-21.991*L108+4665)*(10^(-4))/L101</f>
        <v>#DIV/0!</v>
      </c>
      <c r="M109" s="2350" t="e">
        <f>(-0.214*(M108^2)-21.991*M108+4665)*(10^(-4))/M101</f>
        <v>#DIV/0!</v>
      </c>
      <c r="N109" s="2350" t="e">
        <f>(-0.214*(N108^2)-21.991*N108+4665)*(10^(-4))/N101</f>
        <v>#DIV/0!</v>
      </c>
    </row>
    <row r="110" spans="1:14">
      <c r="A110" s="3401" t="s">
        <v>2801</v>
      </c>
      <c r="B110" s="3401"/>
      <c r="C110" s="3401"/>
      <c r="D110" s="3401"/>
      <c r="E110" s="3401"/>
      <c r="F110" s="3401"/>
      <c r="G110" s="3401"/>
      <c r="H110" s="3401"/>
      <c r="I110" s="3401"/>
      <c r="J110" s="3401"/>
      <c r="K110" s="2353"/>
      <c r="L110" s="2353"/>
      <c r="M110" s="2353"/>
      <c r="N110" s="2353"/>
    </row>
    <row r="112" spans="1:14" ht="13.8" thickBot="1"/>
    <row r="113" spans="1:13" ht="25.8" thickBot="1">
      <c r="A113" s="842" t="s">
        <v>2802</v>
      </c>
      <c r="B113" s="1197" t="e">
        <f>G3</f>
        <v>#DIV/0!</v>
      </c>
      <c r="C113" s="843" t="s">
        <v>2803</v>
      </c>
      <c r="D113" s="844" t="e">
        <f>SUMPRODUCT((A115:A118=F113)*(B114:M114=H113)*B115:M118)</f>
        <v>#DIV/0!</v>
      </c>
      <c r="E113" s="2189" t="s">
        <v>2636</v>
      </c>
      <c r="F113" s="2355">
        <f>E2</f>
        <v>0</v>
      </c>
      <c r="G113" s="2189" t="s">
        <v>2637</v>
      </c>
      <c r="H113" s="2355">
        <f>G2</f>
        <v>0</v>
      </c>
      <c r="I113" s="2189"/>
      <c r="J113" s="2356"/>
      <c r="K113" s="2356"/>
      <c r="L113" s="2356"/>
      <c r="M113" s="2356"/>
    </row>
    <row r="114" spans="1:13">
      <c r="A114" s="847"/>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8" t="s">
        <v>2701</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2702</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2703</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8" thickBot="1">
      <c r="A118" s="670" t="s">
        <v>2704</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4" t="s">
        <v>183</v>
      </c>
      <c r="B18" s="821" t="s">
        <v>560</v>
      </c>
      <c r="C18" s="822" t="s">
        <v>561</v>
      </c>
      <c r="D18" s="823"/>
      <c r="E18" s="821">
        <v>1</v>
      </c>
      <c r="F18" s="824" t="s">
        <v>562</v>
      </c>
      <c r="G18" s="825"/>
      <c r="H18" s="817"/>
      <c r="I18" s="817"/>
    </row>
    <row r="19" spans="1:9" s="826" customFormat="1" ht="19.5" customHeight="1">
      <c r="A19" s="3414"/>
      <c r="B19" s="3414" t="s">
        <v>563</v>
      </c>
      <c r="C19" s="822" t="s">
        <v>564</v>
      </c>
      <c r="D19" s="823"/>
      <c r="E19" s="821">
        <v>0.9</v>
      </c>
      <c r="F19" s="824" t="s">
        <v>565</v>
      </c>
      <c r="G19" s="825"/>
      <c r="H19" s="817"/>
      <c r="I19" s="817"/>
    </row>
    <row r="20" spans="1:9" s="826" customFormat="1" ht="19.5" customHeight="1">
      <c r="A20" s="3414"/>
      <c r="B20" s="3414"/>
      <c r="C20" s="822" t="s">
        <v>566</v>
      </c>
      <c r="D20" s="823"/>
      <c r="E20" s="821">
        <v>1.1000000000000001</v>
      </c>
      <c r="F20" s="824" t="s">
        <v>567</v>
      </c>
      <c r="G20" s="825"/>
      <c r="H20" s="817"/>
      <c r="I20" s="817"/>
    </row>
    <row r="21" spans="1:9" s="826" customFormat="1" ht="19.5" customHeight="1">
      <c r="A21" s="3414"/>
      <c r="B21" s="3414"/>
      <c r="C21" s="822" t="s">
        <v>568</v>
      </c>
      <c r="D21" s="823"/>
      <c r="E21" s="821">
        <v>0.8</v>
      </c>
      <c r="F21" s="824" t="s">
        <v>569</v>
      </c>
      <c r="G21" s="825"/>
      <c r="H21" s="817"/>
      <c r="I21" s="817"/>
    </row>
    <row r="22" spans="1:9" s="826" customFormat="1" ht="19.5" customHeight="1">
      <c r="A22" s="3414"/>
      <c r="B22" s="3414"/>
      <c r="C22" s="822" t="s">
        <v>570</v>
      </c>
      <c r="D22" s="823"/>
      <c r="E22" s="821">
        <v>0.5</v>
      </c>
      <c r="F22" s="824"/>
      <c r="G22" s="825"/>
      <c r="H22" s="817"/>
      <c r="I22" s="817"/>
    </row>
    <row r="23" spans="1:9" s="826" customFormat="1" ht="19.5" customHeight="1">
      <c r="A23" s="3414" t="s">
        <v>184</v>
      </c>
      <c r="B23" s="821" t="s">
        <v>560</v>
      </c>
      <c r="C23" s="822" t="s">
        <v>571</v>
      </c>
      <c r="D23" s="823"/>
      <c r="E23" s="821">
        <v>1</v>
      </c>
      <c r="F23" s="824" t="s">
        <v>572</v>
      </c>
      <c r="G23" s="825"/>
      <c r="H23" s="817"/>
      <c r="I23" s="817"/>
    </row>
    <row r="24" spans="1:9" s="826" customFormat="1" ht="19.5" customHeight="1">
      <c r="A24" s="3414"/>
      <c r="B24" s="3414" t="s">
        <v>563</v>
      </c>
      <c r="C24" s="822" t="s">
        <v>573</v>
      </c>
      <c r="D24" s="823"/>
      <c r="E24" s="821">
        <v>0.5</v>
      </c>
      <c r="F24" s="824"/>
      <c r="G24" s="825"/>
      <c r="H24" s="817"/>
      <c r="I24" s="817"/>
    </row>
    <row r="25" spans="1:9" s="826" customFormat="1" ht="19.5" customHeight="1">
      <c r="A25" s="3414"/>
      <c r="B25" s="3414"/>
      <c r="C25" s="822" t="s">
        <v>574</v>
      </c>
      <c r="D25" s="823"/>
      <c r="E25" s="821">
        <v>1.1000000000000001</v>
      </c>
      <c r="F25" s="824"/>
      <c r="G25" s="825"/>
      <c r="H25" s="817"/>
      <c r="I25" s="817"/>
    </row>
    <row r="26" spans="1:9" s="826" customFormat="1" ht="19.5" customHeight="1">
      <c r="A26" s="3414"/>
      <c r="B26" s="3414"/>
      <c r="C26" s="822" t="s">
        <v>575</v>
      </c>
      <c r="D26" s="823"/>
      <c r="E26" s="821">
        <v>1.1000000000000001</v>
      </c>
      <c r="F26" s="824"/>
      <c r="G26" s="825"/>
      <c r="H26" s="817"/>
      <c r="I26" s="817"/>
    </row>
    <row r="27" spans="1:9" s="826" customFormat="1" ht="19.5" customHeight="1">
      <c r="A27" s="3414"/>
      <c r="B27" s="3414"/>
      <c r="C27" s="822" t="s">
        <v>576</v>
      </c>
      <c r="D27" s="823"/>
      <c r="E27" s="821">
        <v>0.9</v>
      </c>
      <c r="F27" s="824" t="s">
        <v>577</v>
      </c>
      <c r="G27" s="825"/>
      <c r="H27" s="817"/>
      <c r="I27" s="817"/>
    </row>
    <row r="28" spans="1:9" s="826" customFormat="1" ht="19.5" customHeight="1">
      <c r="A28" s="3414"/>
      <c r="B28" s="3414"/>
      <c r="C28" s="822" t="s">
        <v>578</v>
      </c>
      <c r="D28" s="823"/>
      <c r="E28" s="821">
        <v>0.9</v>
      </c>
      <c r="F28" s="824" t="s">
        <v>579</v>
      </c>
      <c r="G28" s="825"/>
      <c r="H28" s="817"/>
      <c r="I28" s="817"/>
    </row>
    <row r="29" spans="1:9" s="826" customFormat="1" ht="19.5" customHeight="1">
      <c r="A29" s="3414"/>
      <c r="B29" s="3414"/>
      <c r="C29" s="822" t="s">
        <v>580</v>
      </c>
      <c r="D29" s="823"/>
      <c r="E29" s="821">
        <v>0.9</v>
      </c>
      <c r="F29" s="824" t="s">
        <v>581</v>
      </c>
      <c r="G29" s="825"/>
      <c r="H29" s="817"/>
      <c r="I29" s="817"/>
    </row>
    <row r="30" spans="1:9" s="826" customFormat="1" ht="19.5" customHeight="1">
      <c r="A30" s="3414"/>
      <c r="B30" s="3414"/>
      <c r="C30" s="822" t="s">
        <v>582</v>
      </c>
      <c r="D30" s="823"/>
      <c r="E30" s="821">
        <v>0.9</v>
      </c>
      <c r="F30" s="824" t="s">
        <v>583</v>
      </c>
      <c r="G30" s="825"/>
      <c r="H30" s="817"/>
      <c r="I30" s="817"/>
    </row>
    <row r="31" spans="1:9" s="826" customFormat="1" ht="19.5" customHeight="1">
      <c r="A31" s="3414"/>
      <c r="B31" s="3414"/>
      <c r="C31" s="822" t="s">
        <v>584</v>
      </c>
      <c r="D31" s="823"/>
      <c r="E31" s="821">
        <v>0.8</v>
      </c>
      <c r="F31" s="824" t="s">
        <v>585</v>
      </c>
      <c r="G31" s="825"/>
      <c r="H31" s="817"/>
      <c r="I31" s="817"/>
    </row>
    <row r="32" spans="1:9" s="826" customFormat="1" ht="19.5" customHeight="1">
      <c r="A32" s="3414"/>
      <c r="B32" s="3414"/>
      <c r="C32" s="822" t="s">
        <v>586</v>
      </c>
      <c r="D32" s="823"/>
      <c r="E32" s="821">
        <v>0.8</v>
      </c>
      <c r="F32" s="824" t="s">
        <v>587</v>
      </c>
      <c r="G32" s="825"/>
      <c r="H32" s="817"/>
      <c r="I32" s="817"/>
    </row>
    <row r="33" spans="1:9" s="826" customFormat="1" ht="19.5" customHeight="1">
      <c r="A33" s="3414" t="s">
        <v>185</v>
      </c>
      <c r="B33" s="821" t="s">
        <v>560</v>
      </c>
      <c r="C33" s="822" t="s">
        <v>588</v>
      </c>
      <c r="D33" s="823"/>
      <c r="E33" s="821">
        <v>1</v>
      </c>
      <c r="F33" s="824" t="s">
        <v>589</v>
      </c>
      <c r="G33" s="825"/>
      <c r="H33" s="817"/>
      <c r="I33" s="817"/>
    </row>
    <row r="34" spans="1:9" s="826" customFormat="1" ht="19.5" customHeight="1">
      <c r="A34" s="3414"/>
      <c r="B34" s="821" t="s">
        <v>563</v>
      </c>
      <c r="C34" s="822" t="s">
        <v>590</v>
      </c>
      <c r="D34" s="823"/>
      <c r="E34" s="821">
        <v>1.5</v>
      </c>
      <c r="F34" s="824" t="s">
        <v>591</v>
      </c>
      <c r="G34" s="825"/>
      <c r="H34" s="817"/>
      <c r="I34" s="817"/>
    </row>
    <row r="35" spans="1:9" s="826" customFormat="1" ht="19.5" customHeight="1">
      <c r="A35" s="3414" t="s">
        <v>186</v>
      </c>
      <c r="B35" s="821" t="s">
        <v>560</v>
      </c>
      <c r="C35" s="822" t="s">
        <v>592</v>
      </c>
      <c r="D35" s="823"/>
      <c r="E35" s="821">
        <v>1</v>
      </c>
      <c r="F35" s="824" t="s">
        <v>593</v>
      </c>
      <c r="G35" s="825"/>
      <c r="H35" s="817"/>
      <c r="I35" s="817"/>
    </row>
    <row r="36" spans="1:9" s="826" customFormat="1" ht="19.5" customHeight="1">
      <c r="A36" s="3414"/>
      <c r="B36" s="3414" t="s">
        <v>563</v>
      </c>
      <c r="C36" s="822" t="s">
        <v>594</v>
      </c>
      <c r="D36" s="823"/>
      <c r="E36" s="821">
        <v>1</v>
      </c>
      <c r="F36" s="824" t="s">
        <v>595</v>
      </c>
      <c r="G36" s="825"/>
      <c r="H36" s="817"/>
      <c r="I36" s="817"/>
    </row>
    <row r="37" spans="1:9" s="826" customFormat="1" ht="19.5" customHeight="1">
      <c r="A37" s="3414"/>
      <c r="B37" s="3414"/>
      <c r="C37" s="822" t="s">
        <v>596</v>
      </c>
      <c r="D37" s="823"/>
      <c r="E37" s="821">
        <v>1.5</v>
      </c>
      <c r="F37" s="824" t="s">
        <v>597</v>
      </c>
      <c r="G37" s="825"/>
      <c r="H37" s="817"/>
      <c r="I37" s="817"/>
    </row>
    <row r="38" spans="1:9" s="826" customFormat="1" ht="19.5" customHeight="1">
      <c r="A38" s="3414"/>
      <c r="B38" s="3414"/>
      <c r="C38" s="822" t="s">
        <v>598</v>
      </c>
      <c r="D38" s="823"/>
      <c r="E38" s="821">
        <v>1</v>
      </c>
      <c r="F38" s="824" t="s">
        <v>599</v>
      </c>
      <c r="G38" s="825"/>
      <c r="H38" s="817"/>
      <c r="I38" s="817"/>
    </row>
    <row r="39" spans="1:9" s="826" customFormat="1" ht="19.5" customHeight="1">
      <c r="A39" s="3414"/>
      <c r="B39" s="341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414" t="s">
        <v>614</v>
      </c>
      <c r="C61" s="757" t="s">
        <v>615</v>
      </c>
      <c r="D61" s="757" t="s">
        <v>616</v>
      </c>
      <c r="E61" s="834">
        <v>0.5</v>
      </c>
      <c r="F61" s="821">
        <v>80</v>
      </c>
    </row>
    <row r="62" spans="1:8" s="817" customFormat="1" ht="36">
      <c r="A62" s="821">
        <v>2</v>
      </c>
      <c r="B62" s="3414"/>
      <c r="C62" s="757" t="s">
        <v>617</v>
      </c>
      <c r="D62" s="757" t="s">
        <v>618</v>
      </c>
      <c r="E62" s="834">
        <v>0.5</v>
      </c>
      <c r="F62" s="821">
        <v>80</v>
      </c>
    </row>
    <row r="63" spans="1:8" s="817" customFormat="1" ht="48">
      <c r="A63" s="821">
        <v>3</v>
      </c>
      <c r="B63" s="3414"/>
      <c r="C63" s="757" t="s">
        <v>619</v>
      </c>
      <c r="D63" s="757" t="s">
        <v>620</v>
      </c>
      <c r="E63" s="834">
        <v>0.5</v>
      </c>
      <c r="F63" s="821">
        <v>80</v>
      </c>
    </row>
    <row r="64" spans="1:8" s="817" customFormat="1" ht="48">
      <c r="A64" s="821">
        <v>4</v>
      </c>
      <c r="B64" s="3414"/>
      <c r="C64" s="757" t="s">
        <v>621</v>
      </c>
      <c r="D64" s="757" t="s">
        <v>622</v>
      </c>
      <c r="E64" s="834">
        <v>0.4</v>
      </c>
      <c r="F64" s="821">
        <v>60</v>
      </c>
    </row>
    <row r="65" spans="1:6" s="817" customFormat="1" ht="48">
      <c r="A65" s="821">
        <v>5</v>
      </c>
      <c r="B65" s="3414"/>
      <c r="C65" s="757" t="s">
        <v>623</v>
      </c>
      <c r="D65" s="757" t="s">
        <v>624</v>
      </c>
      <c r="E65" s="834">
        <v>0.2</v>
      </c>
      <c r="F65" s="821">
        <v>30</v>
      </c>
    </row>
    <row r="66" spans="1:6" s="817" customFormat="1" ht="48">
      <c r="A66" s="821">
        <v>6</v>
      </c>
      <c r="B66" s="3414"/>
      <c r="C66" s="757" t="s">
        <v>625</v>
      </c>
      <c r="D66" s="757" t="s">
        <v>626</v>
      </c>
      <c r="E66" s="834">
        <v>0.3</v>
      </c>
      <c r="F66" s="821">
        <v>50</v>
      </c>
    </row>
    <row r="67" spans="1:6" s="817" customFormat="1" ht="48">
      <c r="A67" s="821">
        <v>7</v>
      </c>
      <c r="B67" s="3414"/>
      <c r="C67" s="757" t="s">
        <v>627</v>
      </c>
      <c r="D67" s="757" t="s">
        <v>628</v>
      </c>
      <c r="E67" s="834">
        <v>0.2</v>
      </c>
      <c r="F67" s="821">
        <v>30</v>
      </c>
    </row>
    <row r="68" spans="1:6" s="817" customFormat="1" ht="48">
      <c r="A68" s="821">
        <v>8</v>
      </c>
      <c r="B68" s="3414"/>
      <c r="C68" s="757" t="s">
        <v>629</v>
      </c>
      <c r="D68" s="757" t="s">
        <v>630</v>
      </c>
      <c r="E68" s="834">
        <v>0.2</v>
      </c>
      <c r="F68" s="821">
        <v>30</v>
      </c>
    </row>
    <row r="69" spans="1:6" s="817" customFormat="1" ht="48">
      <c r="A69" s="821">
        <v>9</v>
      </c>
      <c r="B69" s="3414"/>
      <c r="C69" s="757" t="s">
        <v>631</v>
      </c>
      <c r="D69" s="757" t="s">
        <v>632</v>
      </c>
      <c r="E69" s="834">
        <v>0.2</v>
      </c>
      <c r="F69" s="821">
        <v>30</v>
      </c>
    </row>
    <row r="70" spans="1:6" s="817" customFormat="1" ht="60">
      <c r="A70" s="821">
        <v>10</v>
      </c>
      <c r="B70" s="3414"/>
      <c r="C70" s="757" t="s">
        <v>633</v>
      </c>
      <c r="D70" s="757" t="s">
        <v>634</v>
      </c>
      <c r="E70" s="834">
        <v>0.2</v>
      </c>
      <c r="F70" s="821">
        <v>30</v>
      </c>
    </row>
    <row r="71" spans="1:6" s="817" customFormat="1" ht="60">
      <c r="A71" s="821">
        <v>11</v>
      </c>
      <c r="B71" s="3414"/>
      <c r="C71" s="757" t="s">
        <v>635</v>
      </c>
      <c r="D71" s="757" t="s">
        <v>636</v>
      </c>
      <c r="E71" s="834">
        <v>0.2</v>
      </c>
      <c r="F71" s="821">
        <v>30</v>
      </c>
    </row>
    <row r="72" spans="1:6" s="817" customFormat="1" ht="36">
      <c r="A72" s="821">
        <v>12</v>
      </c>
      <c r="B72" s="3414"/>
      <c r="C72" s="757" t="s">
        <v>637</v>
      </c>
      <c r="D72" s="757" t="s">
        <v>638</v>
      </c>
      <c r="E72" s="834">
        <v>0.5</v>
      </c>
      <c r="F72" s="821">
        <v>80</v>
      </c>
    </row>
    <row r="73" spans="1:6" s="817" customFormat="1" ht="36">
      <c r="A73" s="821">
        <v>13</v>
      </c>
      <c r="B73" s="3414"/>
      <c r="C73" s="757" t="s">
        <v>639</v>
      </c>
      <c r="D73" s="757" t="s">
        <v>640</v>
      </c>
      <c r="E73" s="834">
        <v>0.4</v>
      </c>
      <c r="F73" s="821">
        <v>60</v>
      </c>
    </row>
    <row r="74" spans="1:6" s="817" customFormat="1" ht="36">
      <c r="A74" s="821">
        <v>14</v>
      </c>
      <c r="B74" s="3414"/>
      <c r="C74" s="757" t="s">
        <v>641</v>
      </c>
      <c r="D74" s="757" t="s">
        <v>642</v>
      </c>
      <c r="E74" s="834">
        <v>0.2</v>
      </c>
      <c r="F74" s="821">
        <v>30</v>
      </c>
    </row>
    <row r="75" spans="1:6" s="817" customFormat="1" ht="36">
      <c r="A75" s="821">
        <v>15</v>
      </c>
      <c r="B75" s="3414"/>
      <c r="C75" s="757" t="s">
        <v>643</v>
      </c>
      <c r="D75" s="757" t="s">
        <v>644</v>
      </c>
      <c r="E75" s="834">
        <v>0.2</v>
      </c>
      <c r="F75" s="821">
        <v>30</v>
      </c>
    </row>
    <row r="76" spans="1:6" s="817" customFormat="1" ht="36">
      <c r="A76" s="821">
        <v>16</v>
      </c>
      <c r="B76" s="3414" t="s">
        <v>645</v>
      </c>
      <c r="C76" s="757" t="s">
        <v>646</v>
      </c>
      <c r="D76" s="757" t="s">
        <v>647</v>
      </c>
      <c r="E76" s="834">
        <v>0.5</v>
      </c>
      <c r="F76" s="821">
        <v>80</v>
      </c>
    </row>
    <row r="77" spans="1:6" s="817" customFormat="1" ht="36">
      <c r="A77" s="821">
        <v>17</v>
      </c>
      <c r="B77" s="3414"/>
      <c r="C77" s="757" t="s">
        <v>648</v>
      </c>
      <c r="D77" s="757" t="s">
        <v>649</v>
      </c>
      <c r="E77" s="834">
        <v>0.5</v>
      </c>
      <c r="F77" s="821">
        <v>80</v>
      </c>
    </row>
    <row r="78" spans="1:6" s="817" customFormat="1" ht="36">
      <c r="A78" s="821">
        <v>18</v>
      </c>
      <c r="B78" s="3414"/>
      <c r="C78" s="757" t="s">
        <v>650</v>
      </c>
      <c r="D78" s="757" t="s">
        <v>651</v>
      </c>
      <c r="E78" s="834">
        <v>0.2</v>
      </c>
      <c r="F78" s="821">
        <v>30</v>
      </c>
    </row>
    <row r="79" spans="1:6" s="817" customFormat="1" ht="36">
      <c r="A79" s="821">
        <v>19</v>
      </c>
      <c r="B79" s="3414"/>
      <c r="C79" s="757" t="s">
        <v>652</v>
      </c>
      <c r="D79" s="757" t="s">
        <v>653</v>
      </c>
      <c r="E79" s="834">
        <v>0.5</v>
      </c>
      <c r="F79" s="821">
        <v>80</v>
      </c>
    </row>
    <row r="80" spans="1:6" s="817" customFormat="1" ht="36">
      <c r="A80" s="821">
        <v>20</v>
      </c>
      <c r="B80" s="3414"/>
      <c r="C80" s="757" t="s">
        <v>654</v>
      </c>
      <c r="D80" s="757" t="s">
        <v>655</v>
      </c>
      <c r="E80" s="834">
        <v>0.2</v>
      </c>
      <c r="F80" s="821">
        <v>30</v>
      </c>
    </row>
    <row r="81" spans="1:6" s="817" customFormat="1" ht="36">
      <c r="A81" s="821">
        <v>21</v>
      </c>
      <c r="B81" s="3414"/>
      <c r="C81" s="757" t="s">
        <v>656</v>
      </c>
      <c r="D81" s="757" t="s">
        <v>657</v>
      </c>
      <c r="E81" s="834">
        <v>0.2</v>
      </c>
      <c r="F81" s="821">
        <v>30</v>
      </c>
    </row>
    <row r="82" spans="1:6" s="817" customFormat="1" ht="60">
      <c r="A82" s="821">
        <v>22</v>
      </c>
      <c r="B82" s="3414"/>
      <c r="C82" s="757" t="s">
        <v>658</v>
      </c>
      <c r="D82" s="757" t="s">
        <v>659</v>
      </c>
      <c r="E82" s="834">
        <v>0.2</v>
      </c>
      <c r="F82" s="821">
        <v>30</v>
      </c>
    </row>
    <row r="83" spans="1:6" s="817" customFormat="1" ht="60">
      <c r="A83" s="821">
        <v>23</v>
      </c>
      <c r="B83" s="3414"/>
      <c r="C83" s="757" t="s">
        <v>660</v>
      </c>
      <c r="D83" s="757" t="s">
        <v>661</v>
      </c>
      <c r="E83" s="834">
        <v>0.2</v>
      </c>
      <c r="F83" s="821">
        <v>30</v>
      </c>
    </row>
    <row r="84" spans="1:6" s="817" customFormat="1" ht="48">
      <c r="A84" s="821">
        <v>24</v>
      </c>
      <c r="B84" s="3414"/>
      <c r="C84" s="757" t="s">
        <v>662</v>
      </c>
      <c r="D84" s="757" t="s">
        <v>663</v>
      </c>
      <c r="E84" s="834">
        <v>0.2</v>
      </c>
      <c r="F84" s="821">
        <v>30</v>
      </c>
    </row>
    <row r="85" spans="1:6" s="817" customFormat="1" ht="36">
      <c r="A85" s="821">
        <v>25</v>
      </c>
      <c r="B85" s="3414"/>
      <c r="C85" s="757" t="s">
        <v>664</v>
      </c>
      <c r="D85" s="757" t="s">
        <v>665</v>
      </c>
      <c r="E85" s="834">
        <v>0.5</v>
      </c>
      <c r="F85" s="821">
        <v>80</v>
      </c>
    </row>
    <row r="86" spans="1:6" s="817" customFormat="1" ht="36">
      <c r="A86" s="821">
        <v>26</v>
      </c>
      <c r="B86" s="3414"/>
      <c r="C86" s="757" t="s">
        <v>666</v>
      </c>
      <c r="D86" s="757" t="s">
        <v>667</v>
      </c>
      <c r="E86" s="834">
        <v>0.2</v>
      </c>
      <c r="F86" s="821">
        <v>30</v>
      </c>
    </row>
    <row r="87" spans="1:6" s="817" customFormat="1" ht="36">
      <c r="A87" s="821">
        <v>27</v>
      </c>
      <c r="B87" s="3414"/>
      <c r="C87" s="757" t="s">
        <v>668</v>
      </c>
      <c r="D87" s="757" t="s">
        <v>669</v>
      </c>
      <c r="E87" s="834">
        <v>0.2</v>
      </c>
      <c r="F87" s="821">
        <v>30</v>
      </c>
    </row>
    <row r="88" spans="1:6" s="817" customFormat="1" ht="36">
      <c r="A88" s="821">
        <v>28</v>
      </c>
      <c r="B88" s="3414"/>
      <c r="C88" s="757" t="s">
        <v>670</v>
      </c>
      <c r="D88" s="757" t="s">
        <v>671</v>
      </c>
      <c r="E88" s="834">
        <v>0.2</v>
      </c>
      <c r="F88" s="821">
        <v>30</v>
      </c>
    </row>
    <row r="89" spans="1:6" s="817" customFormat="1" ht="36">
      <c r="A89" s="821">
        <v>29</v>
      </c>
      <c r="B89" s="3414"/>
      <c r="C89" s="757" t="s">
        <v>672</v>
      </c>
      <c r="D89" s="757" t="s">
        <v>673</v>
      </c>
      <c r="E89" s="834">
        <v>0.2</v>
      </c>
      <c r="F89" s="821">
        <v>30</v>
      </c>
    </row>
    <row r="90" spans="1:6" s="817" customFormat="1" ht="36">
      <c r="A90" s="821">
        <v>30</v>
      </c>
      <c r="B90" s="3414"/>
      <c r="C90" s="757" t="s">
        <v>674</v>
      </c>
      <c r="D90" s="757" t="s">
        <v>675</v>
      </c>
      <c r="E90" s="834">
        <v>0.2</v>
      </c>
      <c r="F90" s="821">
        <v>30</v>
      </c>
    </row>
    <row r="91" spans="1:6" s="817" customFormat="1" ht="48">
      <c r="A91" s="821">
        <v>31</v>
      </c>
      <c r="B91" s="3414"/>
      <c r="C91" s="757" t="s">
        <v>676</v>
      </c>
      <c r="D91" s="757" t="s">
        <v>677</v>
      </c>
      <c r="E91" s="834">
        <v>0.2</v>
      </c>
      <c r="F91" s="821">
        <v>30</v>
      </c>
    </row>
    <row r="92" spans="1:6" s="817" customFormat="1" ht="36">
      <c r="A92" s="821">
        <v>32</v>
      </c>
      <c r="B92" s="3414" t="s">
        <v>678</v>
      </c>
      <c r="C92" s="821" t="s">
        <v>679</v>
      </c>
      <c r="D92" s="757" t="s">
        <v>680</v>
      </c>
      <c r="E92" s="834">
        <v>0.2</v>
      </c>
      <c r="F92" s="821">
        <v>30</v>
      </c>
    </row>
    <row r="93" spans="1:6" s="817" customFormat="1" ht="36">
      <c r="A93" s="821">
        <v>33</v>
      </c>
      <c r="B93" s="3414"/>
      <c r="C93" s="821" t="s">
        <v>681</v>
      </c>
      <c r="D93" s="757" t="s">
        <v>682</v>
      </c>
      <c r="E93" s="834">
        <v>0.2</v>
      </c>
      <c r="F93" s="821">
        <v>30</v>
      </c>
    </row>
    <row r="94" spans="1:6" s="817" customFormat="1" ht="60">
      <c r="A94" s="821">
        <v>34</v>
      </c>
      <c r="B94" s="3414"/>
      <c r="C94" s="821" t="s">
        <v>683</v>
      </c>
      <c r="D94" s="757" t="s">
        <v>684</v>
      </c>
      <c r="E94" s="834">
        <v>0.2</v>
      </c>
      <c r="F94" s="821">
        <v>30</v>
      </c>
    </row>
    <row r="95" spans="1:6" s="817" customFormat="1" ht="48">
      <c r="A95" s="821">
        <v>35</v>
      </c>
      <c r="B95" s="3414"/>
      <c r="C95" s="821" t="s">
        <v>685</v>
      </c>
      <c r="D95" s="757" t="s">
        <v>686</v>
      </c>
      <c r="E95" s="834">
        <v>0.2</v>
      </c>
      <c r="F95" s="821">
        <v>30</v>
      </c>
    </row>
    <row r="96" spans="1:6" s="817" customFormat="1" ht="72">
      <c r="A96" s="821">
        <v>36</v>
      </c>
      <c r="B96" s="3414"/>
      <c r="C96" s="757" t="s">
        <v>687</v>
      </c>
      <c r="D96" s="757" t="s">
        <v>688</v>
      </c>
      <c r="E96" s="834">
        <v>0.2</v>
      </c>
      <c r="F96" s="821">
        <v>30</v>
      </c>
    </row>
    <row r="97" spans="1:6" s="817" customFormat="1" ht="36">
      <c r="A97" s="821">
        <v>37</v>
      </c>
      <c r="B97" s="3414"/>
      <c r="C97" s="821" t="s">
        <v>689</v>
      </c>
      <c r="D97" s="757" t="s">
        <v>690</v>
      </c>
      <c r="E97" s="834">
        <v>0.2</v>
      </c>
      <c r="F97" s="821">
        <v>30</v>
      </c>
    </row>
    <row r="98" spans="1:6" s="817" customFormat="1" ht="36">
      <c r="A98" s="821">
        <v>38</v>
      </c>
      <c r="B98" s="3414"/>
      <c r="C98" s="821" t="s">
        <v>691</v>
      </c>
      <c r="D98" s="757" t="s">
        <v>692</v>
      </c>
      <c r="E98" s="834">
        <v>0.2</v>
      </c>
      <c r="F98" s="821">
        <v>30</v>
      </c>
    </row>
    <row r="99" spans="1:6" s="817" customFormat="1" ht="36">
      <c r="A99" s="821">
        <v>39</v>
      </c>
      <c r="B99" s="3414" t="s">
        <v>693</v>
      </c>
      <c r="C99" s="821" t="s">
        <v>694</v>
      </c>
      <c r="D99" s="757" t="s">
        <v>695</v>
      </c>
      <c r="E99" s="834">
        <v>0.3</v>
      </c>
      <c r="F99" s="821">
        <v>50</v>
      </c>
    </row>
    <row r="100" spans="1:6" s="817" customFormat="1" ht="36">
      <c r="A100" s="821">
        <v>40</v>
      </c>
      <c r="B100" s="3414"/>
      <c r="C100" s="821" t="s">
        <v>696</v>
      </c>
      <c r="D100" s="757" t="s">
        <v>697</v>
      </c>
      <c r="E100" s="834">
        <v>0.2</v>
      </c>
      <c r="F100" s="821">
        <v>30</v>
      </c>
    </row>
    <row r="101" spans="1:6" s="817" customFormat="1" ht="36">
      <c r="A101" s="821">
        <v>41</v>
      </c>
      <c r="B101" s="3414"/>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414" t="s">
        <v>708</v>
      </c>
      <c r="C105" s="821" t="s">
        <v>709</v>
      </c>
      <c r="D105" s="757" t="s">
        <v>710</v>
      </c>
      <c r="E105" s="834">
        <v>0.2</v>
      </c>
      <c r="F105" s="821">
        <v>30</v>
      </c>
    </row>
    <row r="106" spans="1:6" s="817" customFormat="1" ht="48">
      <c r="A106" s="821">
        <v>46</v>
      </c>
      <c r="B106" s="3414"/>
      <c r="C106" s="821" t="s">
        <v>711</v>
      </c>
      <c r="D106" s="757" t="s">
        <v>712</v>
      </c>
      <c r="E106" s="834">
        <v>0.2</v>
      </c>
      <c r="F106" s="821">
        <v>30</v>
      </c>
    </row>
    <row r="107" spans="1:6" s="817" customFormat="1" ht="36">
      <c r="A107" s="821">
        <v>47</v>
      </c>
      <c r="B107" s="3414" t="s">
        <v>713</v>
      </c>
      <c r="C107" s="821" t="s">
        <v>714</v>
      </c>
      <c r="D107" s="757" t="s">
        <v>715</v>
      </c>
      <c r="E107" s="834">
        <v>0.3</v>
      </c>
      <c r="F107" s="821">
        <v>50</v>
      </c>
    </row>
    <row r="108" spans="1:6" s="817" customFormat="1" ht="48">
      <c r="A108" s="821">
        <v>48</v>
      </c>
      <c r="B108" s="341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414" t="s">
        <v>724</v>
      </c>
      <c r="C111" s="821" t="s">
        <v>725</v>
      </c>
      <c r="D111" s="757" t="s">
        <v>726</v>
      </c>
      <c r="E111" s="834">
        <v>0.2</v>
      </c>
      <c r="F111" s="821">
        <v>30</v>
      </c>
    </row>
    <row r="112" spans="1:6" s="817" customFormat="1" ht="36">
      <c r="A112" s="821">
        <v>52</v>
      </c>
      <c r="B112" s="3414"/>
      <c r="C112" s="821" t="s">
        <v>727</v>
      </c>
      <c r="D112" s="757" t="s">
        <v>728</v>
      </c>
      <c r="E112" s="834">
        <v>0.2</v>
      </c>
      <c r="F112" s="821">
        <v>30</v>
      </c>
    </row>
    <row r="113" spans="1:6" s="817" customFormat="1" ht="36">
      <c r="A113" s="821">
        <v>53</v>
      </c>
      <c r="B113" s="3414"/>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414" t="s">
        <v>737</v>
      </c>
      <c r="C116" s="821" t="s">
        <v>738</v>
      </c>
      <c r="D116" s="757" t="s">
        <v>739</v>
      </c>
      <c r="E116" s="834">
        <v>0.2</v>
      </c>
      <c r="F116" s="821">
        <v>30</v>
      </c>
    </row>
    <row r="117" spans="1:6" ht="36">
      <c r="A117" s="821">
        <v>57</v>
      </c>
      <c r="B117" s="3414"/>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9" customWidth="1"/>
    <col min="2" max="2" width="37.21875" style="1679" customWidth="1"/>
    <col min="3" max="3" width="11.33203125" style="1679" customWidth="1"/>
    <col min="4" max="4" width="31.77734375" style="1679" customWidth="1"/>
    <col min="5" max="5" width="0.44140625" style="1679" customWidth="1"/>
    <col min="6" max="7" width="13" style="1679" customWidth="1"/>
    <col min="8" max="16384" width="9" style="1679"/>
  </cols>
  <sheetData>
    <row r="1" spans="1:5" ht="17.399999999999999">
      <c r="A1" s="1677" t="s">
        <v>1586</v>
      </c>
      <c r="B1" s="1678"/>
      <c r="C1" s="1678"/>
      <c r="D1" s="1678"/>
      <c r="E1" s="1678"/>
    </row>
    <row r="2" spans="1:5" ht="78" customHeight="1">
      <c r="A2" s="30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96"/>
      <c r="C2" s="3096"/>
      <c r="D2" s="3096"/>
      <c r="E2" s="3096"/>
    </row>
    <row r="3" spans="1:5" ht="17.399999999999999">
      <c r="A3" s="3097" t="str">
        <f>IF(项目基本情况!B9="房地产市场价值","估价结果一览表（市场价值不需“结果表-1”）","估价结果一览表")</f>
        <v>估价结果一览表（市场价值不需“结果表-1”）</v>
      </c>
      <c r="B3" s="3097"/>
      <c r="C3" s="3097"/>
      <c r="D3" s="3097"/>
      <c r="E3" s="3097"/>
    </row>
    <row r="4" spans="1:5" ht="18" thickBot="1">
      <c r="A4" s="1680"/>
      <c r="B4" s="3095" t="s">
        <v>1595</v>
      </c>
      <c r="C4" s="3095"/>
      <c r="D4" s="3095"/>
      <c r="E4" s="1680"/>
    </row>
    <row r="5" spans="1:5" ht="16.2" thickTop="1">
      <c r="A5" s="1678"/>
      <c r="B5" s="3093" t="s">
        <v>1587</v>
      </c>
      <c r="C5" s="1681" t="s">
        <v>1588</v>
      </c>
      <c r="D5" s="959">
        <f ca="1">结果表!H101</f>
        <v>403</v>
      </c>
      <c r="E5" s="1678"/>
    </row>
    <row r="6" spans="1:5" ht="15.6">
      <c r="A6" s="1678"/>
      <c r="B6" s="3093"/>
      <c r="C6" s="1681" t="s">
        <v>1589</v>
      </c>
      <c r="D6" s="959" t="str">
        <f ca="1">NUMBERSTRING(INT(D5*10000),2)&amp;"元整"</f>
        <v>肆佰零叁万元整</v>
      </c>
      <c r="E6" s="1678"/>
    </row>
    <row r="7" spans="1:5" ht="15.6">
      <c r="A7" s="1678"/>
      <c r="B7" s="3098"/>
      <c r="C7" s="1682" t="s">
        <v>1590</v>
      </c>
      <c r="D7" s="960">
        <f ca="1">结果表!H102</f>
        <v>34646</v>
      </c>
      <c r="E7" s="1678"/>
    </row>
    <row r="8" spans="1:5" ht="15.6">
      <c r="A8" s="1678"/>
      <c r="B8" s="3099" t="str">
        <f>结果表!E103</f>
        <v>2.估价师知悉的法定优先受偿款</v>
      </c>
      <c r="C8" s="1683" t="s">
        <v>1591</v>
      </c>
      <c r="D8" s="960">
        <f>结果表!H103</f>
        <v>0</v>
      </c>
      <c r="E8" s="1678"/>
    </row>
    <row r="9" spans="1:5" ht="15.6">
      <c r="A9" s="1678"/>
      <c r="B9" s="3101"/>
      <c r="C9" s="1681" t="s">
        <v>1589</v>
      </c>
      <c r="D9" s="959" t="str">
        <f>NUMBERSTRING(INT(D8*10000),2)&amp;"元整"</f>
        <v>零元整</v>
      </c>
      <c r="E9" s="1678"/>
    </row>
    <row r="10" spans="1:5" ht="15.6">
      <c r="A10" s="1678"/>
      <c r="B10" s="1684" t="s">
        <v>1594</v>
      </c>
      <c r="C10" s="1685" t="s">
        <v>1592</v>
      </c>
      <c r="D10" s="961">
        <f>结果表!H104</f>
        <v>0</v>
      </c>
      <c r="E10" s="1678"/>
    </row>
    <row r="11" spans="1:5" ht="15.6">
      <c r="A11" s="1678"/>
      <c r="B11" s="1684" t="s">
        <v>1596</v>
      </c>
      <c r="C11" s="1685" t="s">
        <v>1597</v>
      </c>
      <c r="D11" s="961">
        <f>结果表!H105</f>
        <v>0</v>
      </c>
      <c r="E11" s="1678"/>
    </row>
    <row r="12" spans="1:5" ht="15.6">
      <c r="A12" s="1678"/>
      <c r="B12" s="1684" t="s">
        <v>1598</v>
      </c>
      <c r="C12" s="1685" t="s">
        <v>1597</v>
      </c>
      <c r="D12" s="961">
        <f>结果表!H106</f>
        <v>0</v>
      </c>
      <c r="E12" s="1678"/>
    </row>
    <row r="13" spans="1:5" ht="15.6">
      <c r="A13" s="1678"/>
      <c r="B13" s="3092" t="str">
        <f>结果表!E107</f>
        <v>3.房地产抵押价值</v>
      </c>
      <c r="C13" s="1686" t="s">
        <v>1588</v>
      </c>
      <c r="D13" s="962">
        <f ca="1">结果表!H107</f>
        <v>403</v>
      </c>
      <c r="E13" s="1678"/>
    </row>
    <row r="14" spans="1:5" ht="15.6">
      <c r="A14" s="1678"/>
      <c r="B14" s="3093"/>
      <c r="C14" s="1681" t="s">
        <v>1589</v>
      </c>
      <c r="D14" s="959" t="str">
        <f ca="1">NUMBERSTRING(INT(D13*10000),2)&amp;"元整"</f>
        <v>肆佰零叁万元整</v>
      </c>
      <c r="E14" s="1678"/>
    </row>
    <row r="15" spans="1:5" ht="15.6">
      <c r="A15" s="1678"/>
      <c r="B15" s="3098"/>
      <c r="C15" s="1682" t="s">
        <v>1599</v>
      </c>
      <c r="D15" s="968">
        <f ca="1">结果表!H108</f>
        <v>6001</v>
      </c>
      <c r="E15" s="1678"/>
    </row>
    <row r="16" spans="1:5" ht="15.6">
      <c r="A16" s="1678"/>
      <c r="B16" s="3099" t="str">
        <f>结果表!E109</f>
        <v>4.抵押担保权已注销时的房地产抵押价值</v>
      </c>
      <c r="C16" s="1686" t="s">
        <v>1600</v>
      </c>
      <c r="D16" s="1687">
        <f ca="1">结果表!H109</f>
        <v>403</v>
      </c>
      <c r="E16" s="1678"/>
    </row>
    <row r="17" spans="1:5" ht="15.6">
      <c r="A17" s="1678"/>
      <c r="B17" s="3100"/>
      <c r="C17" s="1681" t="s">
        <v>1601</v>
      </c>
      <c r="D17" s="959" t="str">
        <f ca="1">NUMBERSTRING(INT(D16*10000),2)&amp;"元整"</f>
        <v>肆佰零叁万元整</v>
      </c>
      <c r="E17" s="1678"/>
    </row>
    <row r="18" spans="1:5" ht="15.6">
      <c r="A18" s="1678"/>
      <c r="B18" s="3101"/>
      <c r="C18" s="1682" t="s">
        <v>1590</v>
      </c>
      <c r="D18" s="968">
        <f ca="1">结果表!H110</f>
        <v>6001</v>
      </c>
      <c r="E18" s="1678"/>
    </row>
    <row r="19" spans="1:5" ht="15.6">
      <c r="A19" s="1678"/>
      <c r="B19" s="3092" t="str">
        <f>结果表!E111</f>
        <v>5.抵押净值</v>
      </c>
      <c r="C19" s="1686" t="s">
        <v>1588</v>
      </c>
      <c r="D19" s="960">
        <f ca="1">结果表!H111</f>
        <v>76</v>
      </c>
      <c r="E19" s="1678"/>
    </row>
    <row r="20" spans="1:5" ht="15.6">
      <c r="A20" s="1678"/>
      <c r="B20" s="3093"/>
      <c r="C20" s="1681" t="s">
        <v>1601</v>
      </c>
      <c r="D20" s="959" t="str">
        <f ca="1">NUMBERSTRING(INT(D19*10000),2)&amp;"元整"</f>
        <v>柒拾陆万元整</v>
      </c>
      <c r="E20" s="1678"/>
    </row>
    <row r="21" spans="1:5" ht="16.2" thickBot="1">
      <c r="A21" s="1678"/>
      <c r="B21" s="3094"/>
      <c r="C21" s="1688" t="s">
        <v>1599</v>
      </c>
      <c r="D21" s="969">
        <f ca="1">结果表!H112</f>
        <v>1132</v>
      </c>
      <c r="E21" s="1678"/>
    </row>
    <row r="22" spans="1:5" ht="14.4" thickTop="1">
      <c r="A22" s="1678"/>
      <c r="B22" s="1689" t="s">
        <v>1602</v>
      </c>
      <c r="C22" s="1678"/>
      <c r="D22" s="1678"/>
      <c r="E22" s="1678"/>
    </row>
    <row r="23" spans="1:5">
      <c r="A23" s="1678"/>
      <c r="B23" s="1678"/>
      <c r="C23" s="1678"/>
      <c r="D23" s="1678"/>
      <c r="E23" s="1678"/>
    </row>
    <row r="24" spans="1:5" ht="17.399999999999999">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64" customWidth="1"/>
    <col min="2" max="2" width="12.44140625" style="1664" customWidth="1"/>
    <col min="3" max="3" width="12.109375" style="1664" customWidth="1"/>
    <col min="4" max="4" width="14.109375" style="1664" customWidth="1"/>
    <col min="5" max="5" width="12.44140625" style="1664" customWidth="1"/>
    <col min="6" max="16384" width="9" style="1664"/>
  </cols>
  <sheetData>
    <row r="1" spans="1:16" ht="21.6">
      <c r="A1" s="2055" t="s">
        <v>2824</v>
      </c>
      <c r="B1" s="2364"/>
      <c r="C1" s="2364"/>
      <c r="D1" s="2364"/>
      <c r="E1" s="2364"/>
      <c r="F1" s="3023"/>
      <c r="G1" s="3023"/>
      <c r="H1" s="3023"/>
      <c r="I1" s="3023"/>
      <c r="J1" s="3023"/>
      <c r="K1" s="3023"/>
      <c r="L1" s="3023"/>
      <c r="M1" s="3023"/>
      <c r="N1" s="3023"/>
      <c r="O1" s="3023"/>
      <c r="P1" s="3023"/>
    </row>
    <row r="2" spans="1:16" ht="15.6">
      <c r="A2" s="2362" t="s">
        <v>2816</v>
      </c>
      <c r="B2" s="2827" t="e">
        <f ca="1">SUMIF(B6:B13,"&lt;&gt;#ref!",B6:B13)</f>
        <v>#DIV/0!</v>
      </c>
      <c r="C2" s="2362" t="s">
        <v>2817</v>
      </c>
      <c r="D2" s="2362" t="s">
        <v>2818</v>
      </c>
      <c r="E2" s="2837">
        <f ca="1">SUMIF(E6:E13,"&lt;&gt;#ref!",E6:E13)</f>
        <v>0</v>
      </c>
      <c r="F2" s="3023"/>
      <c r="G2" s="3023"/>
      <c r="H2" s="3023"/>
      <c r="I2" s="3023"/>
      <c r="J2" s="3023"/>
      <c r="K2" s="3023"/>
      <c r="L2" s="3023"/>
      <c r="M2" s="3023"/>
      <c r="N2" s="3023"/>
      <c r="O2" s="3023"/>
      <c r="P2" s="3023"/>
    </row>
    <row r="3" spans="1:16" ht="15.6">
      <c r="A3" s="2362" t="s">
        <v>2819</v>
      </c>
      <c r="B3" s="2827" t="e">
        <f ca="1">ROUND(B2*10000/E2,0)</f>
        <v>#DIV/0!</v>
      </c>
      <c r="C3" s="2362" t="s">
        <v>2825</v>
      </c>
      <c r="D3" s="3023"/>
      <c r="E3" s="3023"/>
      <c r="F3" s="3023"/>
      <c r="G3" s="3023"/>
      <c r="H3" s="3023"/>
      <c r="I3" s="3023"/>
      <c r="J3" s="3023"/>
      <c r="K3" s="3023"/>
      <c r="L3" s="3023"/>
      <c r="M3" s="3023"/>
      <c r="N3" s="3023"/>
      <c r="O3" s="3023"/>
      <c r="P3" s="3023"/>
    </row>
    <row r="4" spans="1:16" ht="15.6">
      <c r="A4" s="3024"/>
      <c r="B4" s="3023"/>
      <c r="C4" s="3023"/>
      <c r="D4" s="3023"/>
      <c r="E4" s="3023"/>
      <c r="F4" s="3023"/>
      <c r="G4" s="3023"/>
      <c r="H4" s="3023"/>
      <c r="I4" s="3023"/>
      <c r="J4" s="3023"/>
      <c r="K4" s="3023"/>
      <c r="L4" s="3023"/>
      <c r="M4" s="3023"/>
      <c r="N4" s="3023"/>
      <c r="O4" s="3023"/>
      <c r="P4" s="3023"/>
    </row>
    <row r="5" spans="1:16" ht="31.2">
      <c r="A5" s="2833" t="s">
        <v>2820</v>
      </c>
      <c r="B5" s="2835" t="s">
        <v>2821</v>
      </c>
      <c r="C5" s="2363"/>
      <c r="D5" s="3023"/>
      <c r="E5" s="2836" t="s">
        <v>2822</v>
      </c>
      <c r="F5" s="3023"/>
      <c r="G5" s="3023"/>
      <c r="H5" s="3023"/>
      <c r="I5" s="3023"/>
      <c r="J5" s="3023"/>
      <c r="K5" s="3023"/>
      <c r="L5" s="3023"/>
      <c r="M5" s="3023"/>
      <c r="N5" s="3023"/>
      <c r="O5" s="3023"/>
      <c r="P5" s="3023"/>
    </row>
    <row r="6" spans="1:16" ht="15.6">
      <c r="A6" s="2834" t="s">
        <v>2823</v>
      </c>
      <c r="B6" s="2827" t="e">
        <f ca="1">SUMIF(INDIRECT("'"&amp;A6&amp;"'"&amp;"!A:A"),"总价",INDIRECT("'"&amp;A6&amp;"'"&amp;"!B:B"))</f>
        <v>#DIV/0!</v>
      </c>
      <c r="C6" s="2362" t="s">
        <v>2817</v>
      </c>
      <c r="D6" s="3023"/>
      <c r="E6" s="2837">
        <f ca="1">SUMIF(INDIRECT("'"&amp;A6&amp;"'"&amp;"!C:C"),"建筑面积",INDIRECT("'"&amp;A6&amp;"'"&amp;"!D:D"))</f>
        <v>0</v>
      </c>
      <c r="F6" s="3023"/>
      <c r="G6" s="3023"/>
      <c r="H6" s="3023"/>
      <c r="I6" s="3023"/>
      <c r="J6" s="3023"/>
      <c r="K6" s="3023"/>
      <c r="L6" s="3023"/>
      <c r="M6" s="3023"/>
      <c r="N6" s="3023"/>
      <c r="O6" s="3023"/>
      <c r="P6" s="3023"/>
    </row>
    <row r="7" spans="1:16" ht="15.6">
      <c r="A7" s="2834"/>
      <c r="B7" s="2827" t="e">
        <f ca="1">SUMIF(INDIRECT("'"&amp;A7&amp;"'"&amp;"!A:A"),"总价",INDIRECT("'"&amp;A7&amp;"'"&amp;"!B:B"))</f>
        <v>#REF!</v>
      </c>
      <c r="C7" s="2362" t="s">
        <v>2817</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6">
      <c r="A8" s="2834"/>
      <c r="B8" s="2827" t="e">
        <f t="shared" ref="B8:B13" ca="1" si="1">SUMIF(INDIRECT("'"&amp;A8&amp;"'"&amp;"!A:A"),"总价",INDIRECT("'"&amp;A8&amp;"'"&amp;"!B:B"))</f>
        <v>#REF!</v>
      </c>
      <c r="C8" s="2362" t="s">
        <v>2817</v>
      </c>
      <c r="D8" s="3023"/>
      <c r="E8" s="2837" t="e">
        <f t="shared" ca="1" si="0"/>
        <v>#REF!</v>
      </c>
      <c r="F8" s="3023"/>
      <c r="G8" s="3023"/>
      <c r="H8" s="3023"/>
      <c r="I8" s="3023"/>
      <c r="J8" s="3023"/>
      <c r="K8" s="3023"/>
      <c r="L8" s="3023"/>
      <c r="M8" s="3023"/>
      <c r="N8" s="3023"/>
      <c r="O8" s="3023"/>
      <c r="P8" s="3023"/>
    </row>
    <row r="9" spans="1:16" ht="15.6">
      <c r="A9" s="2834"/>
      <c r="B9" s="2827" t="e">
        <f t="shared" ca="1" si="1"/>
        <v>#REF!</v>
      </c>
      <c r="C9" s="2362" t="s">
        <v>2817</v>
      </c>
      <c r="D9" s="3023"/>
      <c r="E9" s="2837" t="e">
        <f t="shared" ca="1" si="0"/>
        <v>#REF!</v>
      </c>
      <c r="F9" s="3023"/>
      <c r="G9" s="3023"/>
      <c r="H9" s="3023"/>
      <c r="I9" s="3023"/>
      <c r="J9" s="3023"/>
      <c r="K9" s="3023"/>
      <c r="L9" s="3023"/>
      <c r="M9" s="3023"/>
      <c r="N9" s="3023"/>
      <c r="O9" s="3023"/>
      <c r="P9" s="3023"/>
    </row>
    <row r="10" spans="1:16" ht="15.6">
      <c r="A10" s="2834"/>
      <c r="B10" s="2827" t="e">
        <f t="shared" ca="1" si="1"/>
        <v>#REF!</v>
      </c>
      <c r="C10" s="2362" t="s">
        <v>2817</v>
      </c>
      <c r="D10" s="3023"/>
      <c r="E10" s="2837" t="e">
        <f t="shared" ca="1" si="0"/>
        <v>#REF!</v>
      </c>
      <c r="F10" s="3023"/>
      <c r="G10" s="3023"/>
      <c r="H10" s="3023"/>
      <c r="I10" s="3023"/>
      <c r="J10" s="3023"/>
      <c r="K10" s="3023"/>
      <c r="L10" s="3023"/>
      <c r="M10" s="3023"/>
      <c r="N10" s="3023"/>
      <c r="O10" s="3023"/>
      <c r="P10" s="3023"/>
    </row>
    <row r="11" spans="1:16" ht="15.6">
      <c r="A11" s="2834"/>
      <c r="B11" s="2827" t="e">
        <f t="shared" ca="1" si="1"/>
        <v>#REF!</v>
      </c>
      <c r="C11" s="2362" t="s">
        <v>2817</v>
      </c>
      <c r="D11" s="3023"/>
      <c r="E11" s="2837" t="e">
        <f t="shared" ca="1" si="0"/>
        <v>#REF!</v>
      </c>
      <c r="F11" s="3023"/>
      <c r="G11" s="3023"/>
      <c r="H11" s="3023"/>
      <c r="I11" s="3023"/>
      <c r="J11" s="3023"/>
      <c r="K11" s="3023"/>
      <c r="L11" s="3023"/>
      <c r="M11" s="3023"/>
      <c r="N11" s="3023"/>
      <c r="O11" s="3023"/>
      <c r="P11" s="3023"/>
    </row>
    <row r="12" spans="1:16" ht="15.6">
      <c r="A12" s="2834"/>
      <c r="B12" s="2827" t="e">
        <f t="shared" ca="1" si="1"/>
        <v>#REF!</v>
      </c>
      <c r="C12" s="2362" t="s">
        <v>2817</v>
      </c>
      <c r="D12" s="3023"/>
      <c r="E12" s="2837" t="e">
        <f t="shared" ca="1" si="0"/>
        <v>#REF!</v>
      </c>
      <c r="F12" s="3023"/>
      <c r="G12" s="3023"/>
      <c r="H12" s="3023"/>
      <c r="I12" s="3023"/>
      <c r="J12" s="3023"/>
      <c r="K12" s="3023"/>
      <c r="L12" s="3023"/>
      <c r="M12" s="3023"/>
      <c r="N12" s="3023"/>
      <c r="O12" s="3023"/>
      <c r="P12" s="3023"/>
    </row>
    <row r="13" spans="1:16" ht="15.6">
      <c r="A13" s="2834"/>
      <c r="B13" s="2827" t="e">
        <f t="shared" ca="1" si="1"/>
        <v>#REF!</v>
      </c>
      <c r="C13" s="2362" t="s">
        <v>2817</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3.2"/>
  <cols>
    <col min="1" max="1" width="9" style="2411"/>
    <col min="2" max="6" width="9" style="2411" customWidth="1"/>
    <col min="7" max="7" width="9" style="2449"/>
    <col min="8" max="8" width="9" style="2411"/>
    <col min="9" max="12" width="9" style="2411" customWidth="1"/>
    <col min="13" max="13" width="2.21875" style="2411" customWidth="1"/>
    <col min="14" max="14" width="9" style="2449" customWidth="1"/>
    <col min="15" max="17" width="9" style="2411" customWidth="1"/>
    <col min="18" max="18" width="2.33203125" style="2411" customWidth="1"/>
    <col min="19" max="19" width="7.109375" style="2449" customWidth="1"/>
    <col min="20" max="22" width="7.109375" style="2411" customWidth="1"/>
    <col min="23" max="23" width="24.21875" style="2411" customWidth="1"/>
    <col min="24" max="25" width="9" style="2411"/>
    <col min="26" max="27" width="11.6640625" style="2411" customWidth="1"/>
    <col min="28" max="28" width="9" style="2411"/>
    <col min="29" max="29" width="2" style="2411" customWidth="1"/>
    <col min="30" max="16384" width="9" style="2411"/>
  </cols>
  <sheetData>
    <row r="1" spans="1:34" s="2390" customFormat="1">
      <c r="B1" s="3420" t="s">
        <v>1117</v>
      </c>
      <c r="C1" s="3420"/>
      <c r="D1" s="3420"/>
      <c r="E1" s="3420"/>
      <c r="F1" s="3420"/>
      <c r="G1" s="3419" t="s">
        <v>1118</v>
      </c>
      <c r="H1" s="3419"/>
      <c r="I1" s="3419"/>
      <c r="J1" s="3419"/>
      <c r="K1" s="3419"/>
      <c r="L1" s="3419"/>
      <c r="N1" s="3419" t="s">
        <v>1119</v>
      </c>
      <c r="O1" s="3419"/>
      <c r="P1" s="3419"/>
      <c r="Q1" s="3419"/>
      <c r="S1" s="3419" t="s">
        <v>1120</v>
      </c>
      <c r="T1" s="3419"/>
      <c r="U1" s="3419"/>
      <c r="V1" s="3419"/>
      <c r="X1" s="3418" t="s">
        <v>1121</v>
      </c>
      <c r="Y1" s="3419"/>
      <c r="Z1" s="3419"/>
      <c r="AA1" s="3419"/>
      <c r="AB1" s="3419"/>
      <c r="AD1" s="3418" t="s">
        <v>1122</v>
      </c>
      <c r="AE1" s="3419"/>
      <c r="AF1" s="3419"/>
      <c r="AG1" s="3419"/>
      <c r="AH1" s="3419"/>
    </row>
    <row r="2" spans="1:34" s="2391" customFormat="1" ht="1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4">
      <c r="A3" s="2395" t="s">
        <v>2854</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4">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2">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2855</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3060</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2">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3058</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39">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2871</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2869</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2868</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8" thickBot="1">
      <c r="A11" s="2424" t="s">
        <v>2867</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2865</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8" thickBot="1">
      <c r="A13" s="2424" t="s">
        <v>2863</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2866</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416">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 customHeight="1">
      <c r="A15" s="2424" t="s">
        <v>2861</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416"/>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 customHeight="1">
      <c r="A16" s="2424" t="s">
        <v>2860</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416"/>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2853</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425"/>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2851</v>
      </c>
      <c r="B18" s="2439">
        <v>439</v>
      </c>
      <c r="C18" s="2439">
        <v>327</v>
      </c>
      <c r="D18" s="2439">
        <f>C18</f>
        <v>327</v>
      </c>
      <c r="E18" s="2439">
        <v>627</v>
      </c>
      <c r="F18" s="2440">
        <v>283</v>
      </c>
      <c r="G18" s="3421">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 customHeight="1">
      <c r="A19" s="2424" t="s">
        <v>2852</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416"/>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416"/>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425"/>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421">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416"/>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416"/>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8"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417"/>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8" thickBot="1">
      <c r="A26" s="2424" t="s">
        <v>151</v>
      </c>
      <c r="B26" s="2439">
        <v>333</v>
      </c>
      <c r="C26" s="2439">
        <v>277</v>
      </c>
      <c r="D26" s="2439">
        <f t="shared" si="166"/>
        <v>277</v>
      </c>
      <c r="E26" s="2439">
        <v>459</v>
      </c>
      <c r="F26" s="2440">
        <v>249</v>
      </c>
      <c r="G26" s="3415">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416"/>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416"/>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417"/>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8" thickBot="1">
      <c r="A30" s="2424" t="s">
        <v>147</v>
      </c>
      <c r="B30" s="2453">
        <v>318</v>
      </c>
      <c r="C30" s="2453">
        <v>268</v>
      </c>
      <c r="D30" s="2453">
        <f t="shared" si="166"/>
        <v>268</v>
      </c>
      <c r="E30" s="2453">
        <v>437</v>
      </c>
      <c r="F30" s="2454">
        <v>237</v>
      </c>
      <c r="G30" s="3415">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416"/>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8"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416"/>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8"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417"/>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8" thickBot="1">
      <c r="A34" s="2424" t="s">
        <v>1130</v>
      </c>
      <c r="B34" s="2439">
        <v>299</v>
      </c>
      <c r="C34" s="2439">
        <v>252</v>
      </c>
      <c r="D34" s="2439">
        <f t="shared" si="166"/>
        <v>252</v>
      </c>
      <c r="E34" s="2439">
        <v>409</v>
      </c>
      <c r="F34" s="2440">
        <v>227</v>
      </c>
      <c r="G34" s="3422">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423"/>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423"/>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424"/>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8" thickBot="1">
      <c r="A38" s="2424" t="s">
        <v>1134</v>
      </c>
      <c r="B38" s="2474">
        <v>278</v>
      </c>
      <c r="C38" s="2474">
        <v>234</v>
      </c>
      <c r="D38" s="2474">
        <f t="shared" si="166"/>
        <v>234</v>
      </c>
      <c r="E38" s="2474">
        <v>379</v>
      </c>
      <c r="F38" s="2475">
        <v>220</v>
      </c>
      <c r="G38" s="3415">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416"/>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416"/>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8" thickBot="1">
      <c r="A41" s="2424" t="s">
        <v>1137</v>
      </c>
      <c r="B41" s="2425">
        <f>B40/(1+N40)</f>
        <v>275.19025476197027</v>
      </c>
      <c r="C41" s="2476">
        <v>232</v>
      </c>
      <c r="D41" s="2476">
        <f t="shared" si="166"/>
        <v>232</v>
      </c>
      <c r="E41" s="2425">
        <f t="shared" si="177"/>
        <v>375.65990977608692</v>
      </c>
      <c r="F41" s="2425">
        <f t="shared" si="177"/>
        <v>214.12518283971252</v>
      </c>
      <c r="G41" s="3417"/>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8" thickBot="1">
      <c r="A42" s="2424" t="s">
        <v>1138</v>
      </c>
      <c r="B42" s="2439">
        <v>275</v>
      </c>
      <c r="C42" s="2439">
        <v>232</v>
      </c>
      <c r="D42" s="2439">
        <f t="shared" si="166"/>
        <v>232</v>
      </c>
      <c r="E42" s="2439">
        <v>376</v>
      </c>
      <c r="F42" s="2440">
        <v>213</v>
      </c>
      <c r="G42" s="3415">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416">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416">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8"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417">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8" thickBot="1">
      <c r="A46" s="2424" t="s">
        <v>1142</v>
      </c>
      <c r="B46" s="2439">
        <v>269</v>
      </c>
      <c r="C46" s="2439">
        <v>221</v>
      </c>
      <c r="D46" s="2439">
        <f t="shared" si="166"/>
        <v>221</v>
      </c>
      <c r="E46" s="2439">
        <v>373</v>
      </c>
      <c r="F46" s="2440">
        <v>196</v>
      </c>
      <c r="G46" s="3415">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416">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416">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8"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417">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8" thickBot="1">
      <c r="A50" s="2424" t="s">
        <v>1146</v>
      </c>
      <c r="B50" s="2439">
        <v>220</v>
      </c>
      <c r="C50" s="2439">
        <v>187</v>
      </c>
      <c r="D50" s="2439">
        <f t="shared" si="166"/>
        <v>187</v>
      </c>
      <c r="E50" s="2439">
        <v>301</v>
      </c>
      <c r="F50" s="2440">
        <v>168</v>
      </c>
      <c r="G50" s="3415">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416">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416">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417">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8" thickBot="1">
      <c r="A54" s="2424" t="s">
        <v>1150</v>
      </c>
      <c r="B54" s="2474">
        <v>214</v>
      </c>
      <c r="C54" s="2474">
        <v>188</v>
      </c>
      <c r="D54" s="2474">
        <f t="shared" si="166"/>
        <v>188</v>
      </c>
      <c r="E54" s="2474">
        <v>289</v>
      </c>
      <c r="F54" s="2475">
        <v>166</v>
      </c>
      <c r="G54" s="3415">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416">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416">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8"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417">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8" thickBot="1">
      <c r="A58" s="2424" t="s">
        <v>1154</v>
      </c>
      <c r="B58" s="2439">
        <v>188</v>
      </c>
      <c r="C58" s="2439">
        <v>165</v>
      </c>
      <c r="D58" s="2439">
        <f t="shared" si="166"/>
        <v>165</v>
      </c>
      <c r="E58" s="2439">
        <v>254</v>
      </c>
      <c r="F58" s="2440">
        <v>148</v>
      </c>
      <c r="G58" s="3415">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416">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416">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417">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8" thickBot="1">
      <c r="A62" s="2424" t="s">
        <v>1158</v>
      </c>
      <c r="B62" s="2453">
        <v>159</v>
      </c>
      <c r="C62" s="2453">
        <v>141</v>
      </c>
      <c r="D62" s="2453">
        <f t="shared" si="166"/>
        <v>141</v>
      </c>
      <c r="E62" s="2453">
        <v>195</v>
      </c>
      <c r="F62" s="2454">
        <v>122</v>
      </c>
      <c r="G62" s="3415">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416">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416">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417">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8" thickBot="1">
      <c r="A66" s="2424" t="s">
        <v>1162</v>
      </c>
      <c r="B66" s="2453">
        <v>138</v>
      </c>
      <c r="C66" s="2453">
        <v>131</v>
      </c>
      <c r="D66" s="2453">
        <f t="shared" si="166"/>
        <v>131</v>
      </c>
      <c r="E66" s="2453">
        <v>155</v>
      </c>
      <c r="F66" s="2454">
        <v>114</v>
      </c>
      <c r="G66" s="3415">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416">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416">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417">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8" thickBot="1">
      <c r="A70" s="2424" t="s">
        <v>1166</v>
      </c>
      <c r="B70" s="2474">
        <v>121</v>
      </c>
      <c r="C70" s="2474">
        <v>122</v>
      </c>
      <c r="D70" s="2474">
        <f t="shared" si="166"/>
        <v>122</v>
      </c>
      <c r="E70" s="2474">
        <v>124</v>
      </c>
      <c r="F70" s="2475">
        <v>107</v>
      </c>
      <c r="G70" s="3415">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416">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416">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8"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417">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8" thickBot="1">
      <c r="A74" s="2424" t="s">
        <v>1170</v>
      </c>
      <c r="B74" s="2494">
        <v>111</v>
      </c>
      <c r="C74" s="2494">
        <v>114</v>
      </c>
      <c r="D74" s="2494">
        <f t="shared" si="166"/>
        <v>114</v>
      </c>
      <c r="E74" s="2494">
        <v>108</v>
      </c>
      <c r="F74" s="2495">
        <v>104</v>
      </c>
      <c r="G74" s="3415">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416">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416">
        <v>2003</v>
      </c>
      <c r="H76" s="2437">
        <v>2</v>
      </c>
      <c r="I76" s="2496"/>
      <c r="J76" s="2496"/>
      <c r="K76" s="2496"/>
      <c r="L76" s="2496"/>
      <c r="X76" s="2488"/>
      <c r="Y76" s="2488"/>
      <c r="Z76" s="2488"/>
    </row>
    <row r="77" spans="1:26" ht="13.8" thickBot="1">
      <c r="A77" s="2424" t="s">
        <v>1173</v>
      </c>
      <c r="B77" s="2498">
        <f t="shared" si="202"/>
        <v>107.25</v>
      </c>
      <c r="C77" s="2498">
        <f t="shared" si="202"/>
        <v>108.75</v>
      </c>
      <c r="D77" s="2498">
        <f t="shared" si="166"/>
        <v>108.75</v>
      </c>
      <c r="E77" s="2498">
        <f t="shared" si="203"/>
        <v>105.75</v>
      </c>
      <c r="F77" s="2498">
        <f t="shared" si="203"/>
        <v>102.5</v>
      </c>
      <c r="G77" s="3417">
        <v>2003</v>
      </c>
      <c r="H77" s="2499">
        <v>1</v>
      </c>
      <c r="I77" s="2496"/>
      <c r="J77" s="2496"/>
      <c r="K77" s="2496"/>
      <c r="L77" s="2496"/>
      <c r="S77" s="2427"/>
      <c r="T77" s="2412"/>
      <c r="U77" s="2412"/>
      <c r="X77" s="2488"/>
      <c r="Y77" s="2488"/>
      <c r="Z77" s="2488"/>
    </row>
    <row r="78" spans="1:26" ht="13.8" thickBot="1">
      <c r="A78" s="2424" t="s">
        <v>1174</v>
      </c>
      <c r="B78" s="2500">
        <v>106</v>
      </c>
      <c r="C78" s="2500">
        <v>107</v>
      </c>
      <c r="D78" s="2500">
        <f t="shared" si="166"/>
        <v>107</v>
      </c>
      <c r="E78" s="2500">
        <v>105</v>
      </c>
      <c r="F78" s="2501">
        <v>102</v>
      </c>
      <c r="G78" s="3415">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416">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416">
        <v>2002</v>
      </c>
      <c r="H80" s="2437">
        <v>2</v>
      </c>
      <c r="I80" s="2496"/>
      <c r="J80" s="2496"/>
      <c r="K80" s="2496"/>
      <c r="L80" s="2496"/>
      <c r="X80" s="2488"/>
      <c r="Y80" s="2488"/>
      <c r="Z80" s="2488"/>
    </row>
    <row r="81" spans="1:26" s="2461" customFormat="1" ht="13.8" thickBot="1">
      <c r="A81" s="2457" t="s">
        <v>1177</v>
      </c>
      <c r="B81" s="2464">
        <f t="shared" si="204"/>
        <v>103</v>
      </c>
      <c r="C81" s="2464">
        <f t="shared" si="204"/>
        <v>104</v>
      </c>
      <c r="D81" s="2464">
        <f t="shared" si="166"/>
        <v>104</v>
      </c>
      <c r="E81" s="2464">
        <f t="shared" si="205"/>
        <v>103.5</v>
      </c>
      <c r="F81" s="2464">
        <f t="shared" si="205"/>
        <v>100.5</v>
      </c>
      <c r="G81" s="3417">
        <v>2002</v>
      </c>
      <c r="H81" s="2502">
        <v>1</v>
      </c>
      <c r="I81" s="2503"/>
      <c r="J81" s="2503"/>
      <c r="K81" s="2503"/>
      <c r="L81" s="2503"/>
      <c r="N81" s="2504"/>
      <c r="S81" s="2504"/>
      <c r="X81" s="2505"/>
      <c r="Y81" s="2505"/>
      <c r="Z81" s="2505"/>
    </row>
    <row r="82" spans="1:26" ht="13.8"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8"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8"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70" zoomScaleNormal="70" workbookViewId="0">
      <pane ySplit="24" topLeftCell="A25" activePane="bottomLeft" state="frozen"/>
      <selection activeCell="C50" sqref="C50"/>
      <selection pane="bottomLeft" activeCell="W23" sqref="W23"/>
    </sheetView>
  </sheetViews>
  <sheetFormatPr defaultColWidth="9" defaultRowHeight="13.2"/>
  <cols>
    <col min="1" max="1" width="11.44140625" style="135" customWidth="1"/>
    <col min="2" max="2" width="9.21875" style="27" customWidth="1"/>
    <col min="3" max="3" width="8.33203125" style="27" customWidth="1"/>
    <col min="4" max="4" width="11.109375" style="27" customWidth="1"/>
    <col min="5" max="5" width="11.21875" style="27" customWidth="1"/>
    <col min="6" max="6" width="10.88671875" style="27" customWidth="1"/>
    <col min="7" max="7" width="9.5546875" style="27" customWidth="1"/>
    <col min="8" max="8" width="9" style="27"/>
    <col min="9" max="9" width="5" style="27"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hidden="1" customWidth="1"/>
    <col min="18" max="18" width="9" style="658"/>
    <col min="19" max="19" width="9" style="135"/>
    <col min="20" max="45" width="9" style="734"/>
    <col min="46" max="16384" width="9" style="135"/>
  </cols>
  <sheetData>
    <row r="1" spans="1:45" ht="14.25" customHeight="1" thickBot="1">
      <c r="A1" s="151"/>
      <c r="B1" s="1114" t="s">
        <v>2826</v>
      </c>
      <c r="C1" s="3429" t="s">
        <v>2827</v>
      </c>
      <c r="D1" s="3430"/>
      <c r="E1" s="3430"/>
      <c r="F1" s="3430"/>
      <c r="G1" s="3430"/>
      <c r="H1" s="3430"/>
      <c r="I1" s="3430"/>
      <c r="J1" s="3430"/>
      <c r="K1" s="3430"/>
      <c r="L1" s="3430"/>
      <c r="M1" s="3430"/>
      <c r="N1" s="3430"/>
      <c r="O1" s="3430"/>
      <c r="P1" s="3430"/>
      <c r="Q1" s="3430"/>
      <c r="R1" s="3430"/>
      <c r="S1" s="3431"/>
      <c r="T1" s="1114" t="s">
        <v>2828</v>
      </c>
    </row>
    <row r="2" spans="1:45" s="663" customFormat="1" ht="39.6">
      <c r="A2" s="1115"/>
      <c r="B2" s="659" t="s">
        <v>2829</v>
      </c>
      <c r="C2" s="660" t="str">
        <f t="shared" ref="C2:L2" si="0">C3&amp;"(含)"&amp;"-"&amp;D3</f>
        <v>0(含)-100</v>
      </c>
      <c r="D2" s="661" t="str">
        <f t="shared" si="0"/>
        <v>100(含)-200</v>
      </c>
      <c r="E2" s="661" t="str">
        <f t="shared" si="0"/>
        <v>200(含)-300</v>
      </c>
      <c r="F2" s="661" t="str">
        <f t="shared" si="0"/>
        <v>300(含)-400</v>
      </c>
      <c r="G2" s="661" t="str">
        <f t="shared" si="0"/>
        <v>400(含)-500</v>
      </c>
      <c r="H2" s="661" t="str">
        <f t="shared" si="0"/>
        <v>500(含)-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100</v>
      </c>
      <c r="E3" s="666">
        <v>200</v>
      </c>
      <c r="F3" s="1475">
        <v>300</v>
      </c>
      <c r="G3" s="1475">
        <v>400</v>
      </c>
      <c r="H3" s="1475">
        <v>500</v>
      </c>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v>100</v>
      </c>
      <c r="D4" s="1121">
        <v>99</v>
      </c>
      <c r="E4" s="1121">
        <v>98</v>
      </c>
      <c r="F4" s="1479">
        <v>97</v>
      </c>
      <c r="G4" s="1479">
        <v>97</v>
      </c>
      <c r="H4" s="1479">
        <v>96</v>
      </c>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3053" t="s">
        <v>3128</v>
      </c>
      <c r="C5" s="3054" t="s">
        <v>3129</v>
      </c>
      <c r="D5" s="3055" t="s">
        <v>3130</v>
      </c>
      <c r="E5" s="3055" t="s">
        <v>3131</v>
      </c>
      <c r="F5" s="3056" t="s">
        <v>3132</v>
      </c>
      <c r="G5" s="1482"/>
      <c r="H5" s="1482"/>
      <c r="I5" s="1482"/>
      <c r="J5" s="1482"/>
      <c r="K5" s="1482"/>
      <c r="L5" s="1483"/>
      <c r="M5" s="1484"/>
      <c r="N5" s="1484"/>
      <c r="O5" s="1482"/>
      <c r="P5" s="1482"/>
      <c r="Q5" s="1482"/>
      <c r="R5" s="1482"/>
      <c r="S5" s="1485"/>
      <c r="T5" s="3436">
        <v>10</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90</v>
      </c>
      <c r="E6" s="1033">
        <f t="shared" ref="E6:S6" si="7">D6-$T5</f>
        <v>80</v>
      </c>
      <c r="F6" s="1486">
        <f t="shared" si="7"/>
        <v>70</v>
      </c>
      <c r="G6" s="1486">
        <f t="shared" si="7"/>
        <v>60</v>
      </c>
      <c r="H6" s="1486">
        <f t="shared" si="7"/>
        <v>50</v>
      </c>
      <c r="I6" s="1486">
        <f t="shared" si="7"/>
        <v>40</v>
      </c>
      <c r="J6" s="1486">
        <f t="shared" si="7"/>
        <v>30</v>
      </c>
      <c r="K6" s="1486">
        <f t="shared" si="7"/>
        <v>20</v>
      </c>
      <c r="L6" s="1486">
        <f t="shared" si="7"/>
        <v>10</v>
      </c>
      <c r="M6" s="1486">
        <f t="shared" si="7"/>
        <v>0</v>
      </c>
      <c r="N6" s="1486">
        <f t="shared" si="7"/>
        <v>-10</v>
      </c>
      <c r="O6" s="1486">
        <f t="shared" si="7"/>
        <v>-20</v>
      </c>
      <c r="P6" s="1486">
        <f t="shared" si="7"/>
        <v>-30</v>
      </c>
      <c r="Q6" s="1486">
        <f t="shared" si="7"/>
        <v>-40</v>
      </c>
      <c r="R6" s="1486">
        <f t="shared" si="7"/>
        <v>-50</v>
      </c>
      <c r="S6" s="1486">
        <f t="shared" si="7"/>
        <v>-60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25"/>
      <c r="B7" s="3057" t="s">
        <v>3133</v>
      </c>
      <c r="C7" s="3058" t="s">
        <v>3135</v>
      </c>
      <c r="D7" s="3059" t="s">
        <v>3134</v>
      </c>
      <c r="E7" s="1029"/>
      <c r="F7" s="1487"/>
      <c r="G7" s="1487"/>
      <c r="H7" s="1487"/>
      <c r="I7" s="1487"/>
      <c r="J7" s="1487"/>
      <c r="K7" s="1487"/>
      <c r="L7" s="1487"/>
      <c r="M7" s="1488"/>
      <c r="N7" s="1489"/>
      <c r="O7" s="1490"/>
      <c r="P7" s="1491"/>
      <c r="Q7" s="1492"/>
      <c r="R7" s="1493"/>
      <c r="S7" s="1494"/>
      <c r="T7" s="669">
        <v>5</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95</v>
      </c>
      <c r="E8" s="1033">
        <f t="shared" ref="E8:S8" si="8">D8-$T7</f>
        <v>90</v>
      </c>
      <c r="F8" s="1486">
        <f t="shared" si="8"/>
        <v>85</v>
      </c>
      <c r="G8" s="1486">
        <f t="shared" si="8"/>
        <v>80</v>
      </c>
      <c r="H8" s="1486">
        <f t="shared" si="8"/>
        <v>75</v>
      </c>
      <c r="I8" s="1486">
        <f t="shared" si="8"/>
        <v>70</v>
      </c>
      <c r="J8" s="1486">
        <f t="shared" si="8"/>
        <v>65</v>
      </c>
      <c r="K8" s="1486">
        <f t="shared" si="8"/>
        <v>60</v>
      </c>
      <c r="L8" s="1486">
        <f t="shared" si="8"/>
        <v>55</v>
      </c>
      <c r="M8" s="1486">
        <f t="shared" si="8"/>
        <v>50</v>
      </c>
      <c r="N8" s="1486">
        <f t="shared" si="8"/>
        <v>45</v>
      </c>
      <c r="O8" s="1486">
        <f t="shared" si="8"/>
        <v>40</v>
      </c>
      <c r="P8" s="1486">
        <f t="shared" si="8"/>
        <v>35</v>
      </c>
      <c r="Q8" s="1486">
        <f t="shared" si="8"/>
        <v>30</v>
      </c>
      <c r="R8" s="1486">
        <f t="shared" si="8"/>
        <v>25</v>
      </c>
      <c r="S8" s="1486">
        <f t="shared" si="8"/>
        <v>20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6"/>
      <c r="F19" s="1526"/>
      <c r="G19" s="1526"/>
      <c r="H19" s="1190"/>
      <c r="I19" s="164"/>
      <c r="J19" s="164"/>
      <c r="K19" s="164"/>
      <c r="L19" s="164"/>
      <c r="M19" s="164"/>
      <c r="N19" s="164"/>
      <c r="O19" s="164"/>
      <c r="P19" s="164"/>
      <c r="Q19" s="164"/>
      <c r="R19" s="727"/>
      <c r="S19" s="134"/>
    </row>
    <row r="20" spans="1:45" ht="16.2" thickBot="1">
      <c r="A20" s="671" t="s">
        <v>2837</v>
      </c>
      <c r="B20" s="300">
        <f ca="1">IF(D20="——",S22,S22-F20)</f>
        <v>2302</v>
      </c>
      <c r="C20" s="164"/>
      <c r="D20" s="2368" t="s">
        <v>70</v>
      </c>
      <c r="E20" s="1527"/>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6">
      <c r="A21" s="671" t="s">
        <v>2839</v>
      </c>
      <c r="B21" s="300">
        <f ca="1">ROUND(B20*10000/B22,0)</f>
        <v>34281</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671.51000000000022</v>
      </c>
      <c r="C22" s="3426" t="s">
        <v>33</v>
      </c>
      <c r="D22" s="3427"/>
      <c r="E22" s="3427"/>
      <c r="F22" s="3427"/>
      <c r="G22" s="3427"/>
      <c r="H22" s="3427"/>
      <c r="I22" s="3427"/>
      <c r="J22" s="3427"/>
      <c r="K22" s="3427"/>
      <c r="L22" s="3427"/>
      <c r="M22" s="3427"/>
      <c r="N22" s="3427"/>
      <c r="O22" s="3427"/>
      <c r="P22" s="3427"/>
      <c r="Q22" s="3428"/>
      <c r="R22" s="672">
        <f ca="1">ROUND(S22*10000/B22,0)</f>
        <v>34281</v>
      </c>
      <c r="S22" s="24">
        <f ca="1">SUM(S24:S10000)</f>
        <v>2302</v>
      </c>
    </row>
    <row r="23" spans="1:45" s="12" customFormat="1" ht="26.4">
      <c r="A23" s="11" t="s">
        <v>2841</v>
      </c>
      <c r="B23" s="11" t="s">
        <v>2842</v>
      </c>
      <c r="C23" s="11" t="s">
        <v>2843</v>
      </c>
      <c r="D23" s="11" t="str">
        <f>B5</f>
        <v>临街状况</v>
      </c>
      <c r="E23" s="11" t="s">
        <v>2843</v>
      </c>
      <c r="F23" s="11" t="str">
        <f>B7</f>
        <v>是否含地下室</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v>106</v>
      </c>
      <c r="B24" s="674">
        <f>'数据-基础表'!I18</f>
        <v>116.2</v>
      </c>
      <c r="C24" s="3040">
        <v>1</v>
      </c>
      <c r="D24" s="3041" t="s">
        <v>3098</v>
      </c>
      <c r="E24" s="3040">
        <v>1</v>
      </c>
      <c r="F24" s="3041" t="s">
        <v>3070</v>
      </c>
      <c r="G24" s="3040">
        <v>1</v>
      </c>
      <c r="H24" s="3041"/>
      <c r="I24" s="3040">
        <v>1</v>
      </c>
      <c r="J24" s="3041"/>
      <c r="K24" s="3040">
        <v>1</v>
      </c>
      <c r="L24" s="3041"/>
      <c r="M24" s="3040">
        <v>1</v>
      </c>
      <c r="N24" s="3041"/>
      <c r="O24" s="3040">
        <v>1</v>
      </c>
      <c r="P24" s="3041"/>
      <c r="Q24" s="3040">
        <v>1</v>
      </c>
      <c r="R24" s="677">
        <f ca="1">结果表!G20</f>
        <v>34646</v>
      </c>
      <c r="S24" s="675">
        <f t="shared" ref="S24:S54" ca="1" si="11">ROUND(R24*B24/10000,0)</f>
        <v>403</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57">
        <v>107</v>
      </c>
      <c r="B25" s="674">
        <f>'数据-基础表'!I19</f>
        <v>142.52000000000001</v>
      </c>
      <c r="C25" s="24">
        <f>IF(B25="",1,(LOOKUP(B25,$3:$3,$4:$4)-LOOKUP($B$24,$3:$3,$4:$4)+100)/100)</f>
        <v>1</v>
      </c>
      <c r="D25" s="3041" t="s">
        <v>3098</v>
      </c>
      <c r="E25" s="24">
        <f>(SUMIF($5:$5,D25,$6:$6)-SUMIF($5:$5,$D$24,$6:$6)+100)/100</f>
        <v>1</v>
      </c>
      <c r="F25" s="676" t="s">
        <v>3070</v>
      </c>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34646</v>
      </c>
      <c r="S25" s="322">
        <f t="shared" ca="1" si="11"/>
        <v>494</v>
      </c>
    </row>
    <row r="26" spans="1:45">
      <c r="A26" s="57">
        <v>108</v>
      </c>
      <c r="B26" s="674">
        <f>'数据-基础表'!I20</f>
        <v>133.59</v>
      </c>
      <c r="C26" s="24">
        <f t="shared" ref="C26:C89" si="12">IF(B26="",1,(LOOKUP(B26,$3:$3,$4:$4)-LOOKUP($B$24,$3:$3,$4:$4)+100)/100)</f>
        <v>1</v>
      </c>
      <c r="D26" s="3041" t="s">
        <v>3098</v>
      </c>
      <c r="E26" s="24">
        <f t="shared" ref="E26:E89" si="13">(SUMIF($5:$5,D26,$6:$6)-SUMIF($5:$5,$D$24,$6:$6)+100)/100</f>
        <v>1</v>
      </c>
      <c r="F26" s="676" t="s">
        <v>3070</v>
      </c>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34646</v>
      </c>
      <c r="S26" s="322">
        <f t="shared" ca="1" si="11"/>
        <v>463</v>
      </c>
    </row>
    <row r="27" spans="1:45">
      <c r="A27" s="57">
        <v>109</v>
      </c>
      <c r="B27" s="674">
        <f>'数据-基础表'!I21</f>
        <v>125.85</v>
      </c>
      <c r="C27" s="24">
        <f t="shared" si="12"/>
        <v>1</v>
      </c>
      <c r="D27" s="3041" t="s">
        <v>3098</v>
      </c>
      <c r="E27" s="24">
        <f t="shared" si="13"/>
        <v>1</v>
      </c>
      <c r="F27" s="676" t="s">
        <v>3070</v>
      </c>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34646</v>
      </c>
      <c r="S27" s="322">
        <f t="shared" ca="1" si="11"/>
        <v>436</v>
      </c>
    </row>
    <row r="28" spans="1:45">
      <c r="A28" s="57">
        <v>110</v>
      </c>
      <c r="B28" s="674">
        <f>'数据-基础表'!I22</f>
        <v>28.82</v>
      </c>
      <c r="C28" s="24">
        <f t="shared" si="12"/>
        <v>1.01</v>
      </c>
      <c r="D28" s="3041" t="s">
        <v>3197</v>
      </c>
      <c r="E28" s="24">
        <f t="shared" si="13"/>
        <v>0.9</v>
      </c>
      <c r="F28" s="676" t="s">
        <v>3072</v>
      </c>
      <c r="G28" s="24">
        <f t="shared" si="14"/>
        <v>1.05</v>
      </c>
      <c r="H28" s="676"/>
      <c r="I28" s="24">
        <f t="shared" si="15"/>
        <v>1</v>
      </c>
      <c r="J28" s="676"/>
      <c r="K28" s="24">
        <f t="shared" si="16"/>
        <v>1</v>
      </c>
      <c r="L28" s="676"/>
      <c r="M28" s="24">
        <f t="shared" si="17"/>
        <v>1</v>
      </c>
      <c r="N28" s="676"/>
      <c r="O28" s="24">
        <f t="shared" si="18"/>
        <v>1</v>
      </c>
      <c r="P28" s="676"/>
      <c r="Q28" s="24">
        <f t="shared" si="19"/>
        <v>1</v>
      </c>
      <c r="R28" s="672">
        <f t="shared" ca="1" si="20"/>
        <v>33068</v>
      </c>
      <c r="S28" s="322">
        <f t="shared" ca="1" si="11"/>
        <v>95</v>
      </c>
    </row>
    <row r="29" spans="1:45">
      <c r="A29" s="57">
        <v>111</v>
      </c>
      <c r="B29" s="674">
        <f>'数据-基础表'!I23</f>
        <v>95.71</v>
      </c>
      <c r="C29" s="24">
        <f t="shared" si="12"/>
        <v>1.01</v>
      </c>
      <c r="D29" s="3041" t="s">
        <v>3197</v>
      </c>
      <c r="E29" s="24">
        <f t="shared" si="13"/>
        <v>0.9</v>
      </c>
      <c r="F29" s="676" t="s">
        <v>3072</v>
      </c>
      <c r="G29" s="24">
        <f t="shared" si="14"/>
        <v>1.05</v>
      </c>
      <c r="H29" s="676"/>
      <c r="I29" s="24">
        <f t="shared" si="15"/>
        <v>1</v>
      </c>
      <c r="J29" s="676"/>
      <c r="K29" s="24">
        <f t="shared" si="16"/>
        <v>1</v>
      </c>
      <c r="L29" s="676"/>
      <c r="M29" s="24">
        <f t="shared" si="17"/>
        <v>1</v>
      </c>
      <c r="N29" s="676"/>
      <c r="O29" s="24">
        <f t="shared" si="18"/>
        <v>1</v>
      </c>
      <c r="P29" s="676"/>
      <c r="Q29" s="24">
        <f t="shared" si="19"/>
        <v>1</v>
      </c>
      <c r="R29" s="672">
        <f t="shared" ca="1" si="20"/>
        <v>33068</v>
      </c>
      <c r="S29" s="322">
        <f t="shared" ca="1" si="11"/>
        <v>316</v>
      </c>
    </row>
    <row r="30" spans="1:45">
      <c r="A30" s="57">
        <v>112</v>
      </c>
      <c r="B30" s="674">
        <f>'数据-基础表'!I24</f>
        <v>28.82</v>
      </c>
      <c r="C30" s="24">
        <f t="shared" si="12"/>
        <v>1.01</v>
      </c>
      <c r="D30" s="3041" t="s">
        <v>3197</v>
      </c>
      <c r="E30" s="24">
        <f t="shared" si="13"/>
        <v>0.9</v>
      </c>
      <c r="F30" s="676" t="s">
        <v>3072</v>
      </c>
      <c r="G30" s="24">
        <f t="shared" si="14"/>
        <v>1.05</v>
      </c>
      <c r="H30" s="676"/>
      <c r="I30" s="24">
        <f t="shared" si="15"/>
        <v>1</v>
      </c>
      <c r="J30" s="676"/>
      <c r="K30" s="24">
        <f t="shared" si="16"/>
        <v>1</v>
      </c>
      <c r="L30" s="676"/>
      <c r="M30" s="24">
        <f t="shared" si="17"/>
        <v>1</v>
      </c>
      <c r="N30" s="676"/>
      <c r="O30" s="24">
        <f t="shared" si="18"/>
        <v>1</v>
      </c>
      <c r="P30" s="676"/>
      <c r="Q30" s="24">
        <f t="shared" si="19"/>
        <v>1</v>
      </c>
      <c r="R30" s="672">
        <f t="shared" ca="1" si="20"/>
        <v>33068</v>
      </c>
      <c r="S30" s="322">
        <f t="shared" ca="1" si="11"/>
        <v>95</v>
      </c>
    </row>
    <row r="31" spans="1:45">
      <c r="A31" s="57"/>
      <c r="B31" s="674"/>
      <c r="C31" s="24">
        <f t="shared" si="12"/>
        <v>1</v>
      </c>
      <c r="D31" s="3041"/>
      <c r="E31" s="24">
        <f t="shared" si="13"/>
        <v>0.2</v>
      </c>
      <c r="F31" s="676"/>
      <c r="G31" s="24">
        <f t="shared" si="14"/>
        <v>0.05</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57"/>
      <c r="B32" s="674"/>
      <c r="C32" s="24">
        <f t="shared" si="12"/>
        <v>1</v>
      </c>
      <c r="D32" s="3041"/>
      <c r="E32" s="24">
        <f t="shared" si="13"/>
        <v>0.2</v>
      </c>
      <c r="F32" s="676"/>
      <c r="G32" s="24">
        <f t="shared" si="14"/>
        <v>0.05</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57"/>
      <c r="B33" s="674"/>
      <c r="C33" s="24">
        <f t="shared" si="12"/>
        <v>1</v>
      </c>
      <c r="D33" s="3041"/>
      <c r="E33" s="24">
        <f t="shared" si="13"/>
        <v>0.2</v>
      </c>
      <c r="F33" s="676"/>
      <c r="G33" s="24">
        <f t="shared" si="14"/>
        <v>0.05</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57"/>
      <c r="B34" s="674"/>
      <c r="C34" s="24">
        <f t="shared" si="12"/>
        <v>1</v>
      </c>
      <c r="D34" s="676"/>
      <c r="E34" s="24">
        <f t="shared" si="13"/>
        <v>0.2</v>
      </c>
      <c r="F34" s="676"/>
      <c r="G34" s="24">
        <f t="shared" si="14"/>
        <v>0.05</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57"/>
      <c r="B35" s="674"/>
      <c r="C35" s="24">
        <f t="shared" si="12"/>
        <v>1</v>
      </c>
      <c r="D35" s="676"/>
      <c r="E35" s="24">
        <f t="shared" si="13"/>
        <v>0.2</v>
      </c>
      <c r="F35" s="676"/>
      <c r="G35" s="24">
        <f t="shared" si="14"/>
        <v>0.05</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0.2</v>
      </c>
      <c r="F36" s="676"/>
      <c r="G36" s="24">
        <f t="shared" si="14"/>
        <v>0.05</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0.2</v>
      </c>
      <c r="F37" s="676"/>
      <c r="G37" s="24">
        <f t="shared" si="14"/>
        <v>0.05</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0.2</v>
      </c>
      <c r="F38" s="676"/>
      <c r="G38" s="24">
        <f t="shared" si="14"/>
        <v>0.05</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0.2</v>
      </c>
      <c r="F39" s="676"/>
      <c r="G39" s="24">
        <f t="shared" si="14"/>
        <v>0.05</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0.2</v>
      </c>
      <c r="F40" s="676"/>
      <c r="G40" s="24">
        <f t="shared" si="14"/>
        <v>0.05</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0.2</v>
      </c>
      <c r="F41" s="676"/>
      <c r="G41" s="24">
        <f t="shared" si="14"/>
        <v>0.05</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0.2</v>
      </c>
      <c r="F42" s="676"/>
      <c r="G42" s="24">
        <f t="shared" si="14"/>
        <v>0.05</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0.2</v>
      </c>
      <c r="F43" s="676"/>
      <c r="G43" s="24">
        <f t="shared" si="14"/>
        <v>0.05</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0.2</v>
      </c>
      <c r="F44" s="676"/>
      <c r="G44" s="24">
        <f t="shared" si="14"/>
        <v>0.05</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0.2</v>
      </c>
      <c r="F45" s="676"/>
      <c r="G45" s="24">
        <f t="shared" si="14"/>
        <v>0.05</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0.2</v>
      </c>
      <c r="F46" s="676"/>
      <c r="G46" s="24">
        <f t="shared" si="14"/>
        <v>0.05</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0.2</v>
      </c>
      <c r="F47" s="676"/>
      <c r="G47" s="24">
        <f t="shared" si="14"/>
        <v>0.05</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0.2</v>
      </c>
      <c r="F48" s="676"/>
      <c r="G48" s="24">
        <f t="shared" si="14"/>
        <v>0.05</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0.2</v>
      </c>
      <c r="F49" s="676"/>
      <c r="G49" s="24">
        <f t="shared" si="14"/>
        <v>0.05</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0.2</v>
      </c>
      <c r="F50" s="676"/>
      <c r="G50" s="24">
        <f t="shared" si="14"/>
        <v>0.05</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0.2</v>
      </c>
      <c r="F51" s="676"/>
      <c r="G51" s="24">
        <f t="shared" si="14"/>
        <v>0.05</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0.2</v>
      </c>
      <c r="F52" s="676"/>
      <c r="G52" s="24">
        <f t="shared" si="14"/>
        <v>0.05</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0.2</v>
      </c>
      <c r="F53" s="676"/>
      <c r="G53" s="24">
        <f t="shared" si="14"/>
        <v>0.05</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0.2</v>
      </c>
      <c r="F54" s="676"/>
      <c r="G54" s="24">
        <f t="shared" si="14"/>
        <v>0.05</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0.2</v>
      </c>
      <c r="F55" s="676"/>
      <c r="G55" s="24">
        <f t="shared" si="14"/>
        <v>0.05</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0.2</v>
      </c>
      <c r="F56" s="676"/>
      <c r="G56" s="24">
        <f t="shared" si="14"/>
        <v>0.05</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0.2</v>
      </c>
      <c r="F57" s="676"/>
      <c r="G57" s="24">
        <f t="shared" si="14"/>
        <v>0.05</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0.2</v>
      </c>
      <c r="F58" s="676"/>
      <c r="G58" s="24">
        <f t="shared" si="14"/>
        <v>0.05</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0.2</v>
      </c>
      <c r="F59" s="676"/>
      <c r="G59" s="24">
        <f t="shared" si="14"/>
        <v>0.05</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0.2</v>
      </c>
      <c r="F60" s="676"/>
      <c r="G60" s="24">
        <f t="shared" si="14"/>
        <v>0.05</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0.2</v>
      </c>
      <c r="F61" s="676"/>
      <c r="G61" s="24">
        <f t="shared" si="14"/>
        <v>0.05</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0.2</v>
      </c>
      <c r="F62" s="676"/>
      <c r="G62" s="24">
        <f t="shared" si="14"/>
        <v>0.05</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0.2</v>
      </c>
      <c r="F63" s="676"/>
      <c r="G63" s="24">
        <f t="shared" si="14"/>
        <v>0.05</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0.2</v>
      </c>
      <c r="F64" s="676"/>
      <c r="G64" s="24">
        <f t="shared" si="14"/>
        <v>0.05</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0.2</v>
      </c>
      <c r="F65" s="676"/>
      <c r="G65" s="24">
        <f t="shared" si="14"/>
        <v>0.05</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0.2</v>
      </c>
      <c r="F66" s="676"/>
      <c r="G66" s="24">
        <f t="shared" si="14"/>
        <v>0.05</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0.2</v>
      </c>
      <c r="F67" s="676"/>
      <c r="G67" s="24">
        <f t="shared" si="14"/>
        <v>0.05</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0.2</v>
      </c>
      <c r="F68" s="676"/>
      <c r="G68" s="24">
        <f t="shared" si="14"/>
        <v>0.05</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0.2</v>
      </c>
      <c r="F69" s="676"/>
      <c r="G69" s="24">
        <f t="shared" si="14"/>
        <v>0.05</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0.2</v>
      </c>
      <c r="F70" s="676"/>
      <c r="G70" s="24">
        <f t="shared" si="14"/>
        <v>0.05</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0.2</v>
      </c>
      <c r="F71" s="676"/>
      <c r="G71" s="24">
        <f t="shared" si="14"/>
        <v>0.05</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0.2</v>
      </c>
      <c r="F72" s="676"/>
      <c r="G72" s="24">
        <f t="shared" si="14"/>
        <v>0.05</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0.2</v>
      </c>
      <c r="F73" s="676"/>
      <c r="G73" s="24">
        <f t="shared" si="14"/>
        <v>0.05</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0.2</v>
      </c>
      <c r="F74" s="676"/>
      <c r="G74" s="24">
        <f t="shared" si="14"/>
        <v>0.05</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0.2</v>
      </c>
      <c r="F75" s="676"/>
      <c r="G75" s="24">
        <f t="shared" si="14"/>
        <v>0.05</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0.2</v>
      </c>
      <c r="F76" s="676"/>
      <c r="G76" s="24">
        <f t="shared" si="14"/>
        <v>0.05</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0.2</v>
      </c>
      <c r="F77" s="676"/>
      <c r="G77" s="24">
        <f t="shared" si="14"/>
        <v>0.05</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0.2</v>
      </c>
      <c r="F78" s="676"/>
      <c r="G78" s="24">
        <f t="shared" si="14"/>
        <v>0.05</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0.2</v>
      </c>
      <c r="F79" s="676"/>
      <c r="G79" s="24">
        <f t="shared" si="14"/>
        <v>0.05</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0.2</v>
      </c>
      <c r="F80" s="676"/>
      <c r="G80" s="24">
        <f t="shared" si="14"/>
        <v>0.05</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0.2</v>
      </c>
      <c r="F81" s="676"/>
      <c r="G81" s="24">
        <f t="shared" si="14"/>
        <v>0.05</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0.2</v>
      </c>
      <c r="F82" s="676"/>
      <c r="G82" s="24">
        <f t="shared" si="14"/>
        <v>0.05</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0.2</v>
      </c>
      <c r="F83" s="676"/>
      <c r="G83" s="24">
        <f t="shared" si="14"/>
        <v>0.05</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0.2</v>
      </c>
      <c r="F84" s="676"/>
      <c r="G84" s="24">
        <f t="shared" si="14"/>
        <v>0.05</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0.2</v>
      </c>
      <c r="F85" s="676"/>
      <c r="G85" s="24">
        <f t="shared" si="14"/>
        <v>0.05</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0.2</v>
      </c>
      <c r="F86" s="676"/>
      <c r="G86" s="24">
        <f t="shared" si="14"/>
        <v>0.05</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0.2</v>
      </c>
      <c r="F87" s="676"/>
      <c r="G87" s="24">
        <f t="shared" si="14"/>
        <v>0.05</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0.2</v>
      </c>
      <c r="F88" s="676"/>
      <c r="G88" s="24">
        <f t="shared" si="14"/>
        <v>0.05</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0.2</v>
      </c>
      <c r="F89" s="676"/>
      <c r="G89" s="24">
        <f t="shared" si="14"/>
        <v>0.05</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0.2</v>
      </c>
      <c r="F90" s="676"/>
      <c r="G90" s="24">
        <f t="shared" ref="G90:G153" si="25">(SUMIF($7:$7,F90,$8:$8)-SUMIF($7:$7,$F$24,$8:$8)+100)/100</f>
        <v>0.05</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0.2</v>
      </c>
      <c r="F91" s="676"/>
      <c r="G91" s="24">
        <f t="shared" si="25"/>
        <v>0.05</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0.2</v>
      </c>
      <c r="F92" s="676"/>
      <c r="G92" s="24">
        <f t="shared" si="25"/>
        <v>0.05</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0.2</v>
      </c>
      <c r="F93" s="676"/>
      <c r="G93" s="24">
        <f t="shared" si="25"/>
        <v>0.05</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0.2</v>
      </c>
      <c r="F94" s="676"/>
      <c r="G94" s="24">
        <f t="shared" si="25"/>
        <v>0.05</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0.2</v>
      </c>
      <c r="F95" s="676"/>
      <c r="G95" s="24">
        <f t="shared" si="25"/>
        <v>0.05</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0.2</v>
      </c>
      <c r="F96" s="676"/>
      <c r="G96" s="24">
        <f t="shared" si="25"/>
        <v>0.05</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0.2</v>
      </c>
      <c r="F97" s="676"/>
      <c r="G97" s="24">
        <f t="shared" si="25"/>
        <v>0.05</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0.2</v>
      </c>
      <c r="F98" s="676"/>
      <c r="G98" s="24">
        <f t="shared" si="25"/>
        <v>0.05</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0.2</v>
      </c>
      <c r="F99" s="676"/>
      <c r="G99" s="24">
        <f t="shared" si="25"/>
        <v>0.05</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0.2</v>
      </c>
      <c r="F100" s="676"/>
      <c r="G100" s="24">
        <f t="shared" si="25"/>
        <v>0.05</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0.2</v>
      </c>
      <c r="F101" s="676"/>
      <c r="G101" s="24">
        <f t="shared" si="25"/>
        <v>0.05</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0.2</v>
      </c>
      <c r="F102" s="676"/>
      <c r="G102" s="24">
        <f t="shared" si="25"/>
        <v>0.05</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0.2</v>
      </c>
      <c r="F103" s="676"/>
      <c r="G103" s="24">
        <f t="shared" si="25"/>
        <v>0.05</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0.2</v>
      </c>
      <c r="F104" s="676"/>
      <c r="G104" s="24">
        <f t="shared" si="25"/>
        <v>0.05</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0.2</v>
      </c>
      <c r="F105" s="676"/>
      <c r="G105" s="24">
        <f t="shared" si="25"/>
        <v>0.05</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0.2</v>
      </c>
      <c r="F106" s="676"/>
      <c r="G106" s="24">
        <f t="shared" si="25"/>
        <v>0.05</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0.2</v>
      </c>
      <c r="F107" s="676"/>
      <c r="G107" s="24">
        <f t="shared" si="25"/>
        <v>0.05</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0.2</v>
      </c>
      <c r="F108" s="676"/>
      <c r="G108" s="24">
        <f t="shared" si="25"/>
        <v>0.05</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0.2</v>
      </c>
      <c r="F109" s="676"/>
      <c r="G109" s="24">
        <f t="shared" si="25"/>
        <v>0.05</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0.2</v>
      </c>
      <c r="F110" s="676"/>
      <c r="G110" s="24">
        <f t="shared" si="25"/>
        <v>0.05</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0.2</v>
      </c>
      <c r="F111" s="676"/>
      <c r="G111" s="24">
        <f t="shared" si="25"/>
        <v>0.05</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0.2</v>
      </c>
      <c r="F112" s="676"/>
      <c r="G112" s="24">
        <f t="shared" si="25"/>
        <v>0.05</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0.2</v>
      </c>
      <c r="F113" s="676"/>
      <c r="G113" s="24">
        <f t="shared" si="25"/>
        <v>0.05</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0.2</v>
      </c>
      <c r="F114" s="676"/>
      <c r="G114" s="24">
        <f t="shared" si="25"/>
        <v>0.05</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0.2</v>
      </c>
      <c r="F115" s="676"/>
      <c r="G115" s="24">
        <f t="shared" si="25"/>
        <v>0.05</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0.2</v>
      </c>
      <c r="F116" s="676"/>
      <c r="G116" s="24">
        <f t="shared" si="25"/>
        <v>0.05</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0.2</v>
      </c>
      <c r="F117" s="676"/>
      <c r="G117" s="24">
        <f t="shared" si="25"/>
        <v>0.05</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0.2</v>
      </c>
      <c r="F118" s="676"/>
      <c r="G118" s="24">
        <f t="shared" si="25"/>
        <v>0.05</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0.2</v>
      </c>
      <c r="F119" s="676"/>
      <c r="G119" s="24">
        <f t="shared" si="25"/>
        <v>0.05</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0.2</v>
      </c>
      <c r="F120" s="676"/>
      <c r="G120" s="24">
        <f t="shared" si="25"/>
        <v>0.05</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0.2</v>
      </c>
      <c r="F121" s="676"/>
      <c r="G121" s="24">
        <f t="shared" si="25"/>
        <v>0.05</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0.2</v>
      </c>
      <c r="F122" s="676"/>
      <c r="G122" s="24">
        <f t="shared" si="25"/>
        <v>0.05</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0.2</v>
      </c>
      <c r="F123" s="676"/>
      <c r="G123" s="24">
        <f t="shared" si="25"/>
        <v>0.05</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0.2</v>
      </c>
      <c r="F124" s="676"/>
      <c r="G124" s="24">
        <f t="shared" si="25"/>
        <v>0.05</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0.2</v>
      </c>
      <c r="F125" s="676"/>
      <c r="G125" s="24">
        <f t="shared" si="25"/>
        <v>0.05</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0.2</v>
      </c>
      <c r="F126" s="676"/>
      <c r="G126" s="24">
        <f t="shared" si="25"/>
        <v>0.05</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0.2</v>
      </c>
      <c r="F127" s="676"/>
      <c r="G127" s="24">
        <f t="shared" si="25"/>
        <v>0.05</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0.2</v>
      </c>
      <c r="F128" s="676"/>
      <c r="G128" s="24">
        <f t="shared" si="25"/>
        <v>0.05</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0.2</v>
      </c>
      <c r="F129" s="676"/>
      <c r="G129" s="24">
        <f t="shared" si="25"/>
        <v>0.05</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0.2</v>
      </c>
      <c r="F130" s="676"/>
      <c r="G130" s="24">
        <f t="shared" si="25"/>
        <v>0.05</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0.2</v>
      </c>
      <c r="F131" s="676"/>
      <c r="G131" s="24">
        <f t="shared" si="25"/>
        <v>0.05</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0.2</v>
      </c>
      <c r="F132" s="676"/>
      <c r="G132" s="24">
        <f t="shared" si="25"/>
        <v>0.05</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0.2</v>
      </c>
      <c r="F133" s="676"/>
      <c r="G133" s="24">
        <f t="shared" si="25"/>
        <v>0.05</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0.2</v>
      </c>
      <c r="F134" s="676"/>
      <c r="G134" s="24">
        <f t="shared" si="25"/>
        <v>0.05</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0.2</v>
      </c>
      <c r="F135" s="676"/>
      <c r="G135" s="24">
        <f t="shared" si="25"/>
        <v>0.05</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0.2</v>
      </c>
      <c r="F136" s="676"/>
      <c r="G136" s="24">
        <f t="shared" si="25"/>
        <v>0.05</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0.2</v>
      </c>
      <c r="F137" s="676"/>
      <c r="G137" s="24">
        <f t="shared" si="25"/>
        <v>0.05</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0.2</v>
      </c>
      <c r="F138" s="676"/>
      <c r="G138" s="24">
        <f t="shared" si="25"/>
        <v>0.05</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0.2</v>
      </c>
      <c r="F139" s="676"/>
      <c r="G139" s="24">
        <f t="shared" si="25"/>
        <v>0.05</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0.2</v>
      </c>
      <c r="F140" s="676"/>
      <c r="G140" s="24">
        <f t="shared" si="25"/>
        <v>0.05</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0.2</v>
      </c>
      <c r="F141" s="676"/>
      <c r="G141" s="24">
        <f t="shared" si="25"/>
        <v>0.05</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0.2</v>
      </c>
      <c r="F142" s="676"/>
      <c r="G142" s="24">
        <f t="shared" si="25"/>
        <v>0.05</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0.2</v>
      </c>
      <c r="F143" s="676"/>
      <c r="G143" s="24">
        <f t="shared" si="25"/>
        <v>0.05</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0.2</v>
      </c>
      <c r="F144" s="676"/>
      <c r="G144" s="24">
        <f t="shared" si="25"/>
        <v>0.05</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0.2</v>
      </c>
      <c r="F145" s="676"/>
      <c r="G145" s="24">
        <f t="shared" si="25"/>
        <v>0.05</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0.2</v>
      </c>
      <c r="F146" s="676"/>
      <c r="G146" s="24">
        <f t="shared" si="25"/>
        <v>0.05</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0.2</v>
      </c>
      <c r="F147" s="676"/>
      <c r="G147" s="24">
        <f t="shared" si="25"/>
        <v>0.05</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0.2</v>
      </c>
      <c r="F148" s="676"/>
      <c r="G148" s="24">
        <f t="shared" si="25"/>
        <v>0.05</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0.2</v>
      </c>
      <c r="F149" s="676"/>
      <c r="G149" s="24">
        <f t="shared" si="25"/>
        <v>0.05</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0.2</v>
      </c>
      <c r="F150" s="676"/>
      <c r="G150" s="24">
        <f t="shared" si="25"/>
        <v>0.05</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0.2</v>
      </c>
      <c r="F151" s="676"/>
      <c r="G151" s="24">
        <f t="shared" si="25"/>
        <v>0.05</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0.2</v>
      </c>
      <c r="F152" s="676"/>
      <c r="G152" s="24">
        <f t="shared" si="25"/>
        <v>0.05</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0.2</v>
      </c>
      <c r="F153" s="676"/>
      <c r="G153" s="24">
        <f t="shared" si="25"/>
        <v>0.05</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0.2</v>
      </c>
      <c r="F154" s="676"/>
      <c r="G154" s="24">
        <f t="shared" ref="G154:G217" si="35">(SUMIF($7:$7,F154,$8:$8)-SUMIF($7:$7,$F$24,$8:$8)+100)/100</f>
        <v>0.05</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0.2</v>
      </c>
      <c r="F155" s="676"/>
      <c r="G155" s="24">
        <f t="shared" si="35"/>
        <v>0.05</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0.2</v>
      </c>
      <c r="F156" s="676"/>
      <c r="G156" s="24">
        <f t="shared" si="35"/>
        <v>0.05</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0.2</v>
      </c>
      <c r="F157" s="676"/>
      <c r="G157" s="24">
        <f t="shared" si="35"/>
        <v>0.05</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0.2</v>
      </c>
      <c r="F158" s="676"/>
      <c r="G158" s="24">
        <f t="shared" si="35"/>
        <v>0.05</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0.2</v>
      </c>
      <c r="F159" s="676"/>
      <c r="G159" s="24">
        <f t="shared" si="35"/>
        <v>0.05</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0.2</v>
      </c>
      <c r="F160" s="676"/>
      <c r="G160" s="24">
        <f t="shared" si="35"/>
        <v>0.05</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0.2</v>
      </c>
      <c r="F161" s="676"/>
      <c r="G161" s="24">
        <f t="shared" si="35"/>
        <v>0.05</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0.2</v>
      </c>
      <c r="F162" s="676"/>
      <c r="G162" s="24">
        <f t="shared" si="35"/>
        <v>0.05</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0.2</v>
      </c>
      <c r="F163" s="676"/>
      <c r="G163" s="24">
        <f t="shared" si="35"/>
        <v>0.05</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0.2</v>
      </c>
      <c r="F164" s="676"/>
      <c r="G164" s="24">
        <f t="shared" si="35"/>
        <v>0.05</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0.2</v>
      </c>
      <c r="F165" s="676"/>
      <c r="G165" s="24">
        <f t="shared" si="35"/>
        <v>0.05</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0.2</v>
      </c>
      <c r="F166" s="676"/>
      <c r="G166" s="24">
        <f t="shared" si="35"/>
        <v>0.05</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0.2</v>
      </c>
      <c r="F167" s="676"/>
      <c r="G167" s="24">
        <f t="shared" si="35"/>
        <v>0.05</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0.2</v>
      </c>
      <c r="F168" s="676"/>
      <c r="G168" s="24">
        <f t="shared" si="35"/>
        <v>0.05</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0.2</v>
      </c>
      <c r="F169" s="676"/>
      <c r="G169" s="24">
        <f t="shared" si="35"/>
        <v>0.05</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0.2</v>
      </c>
      <c r="F170" s="676"/>
      <c r="G170" s="24">
        <f t="shared" si="35"/>
        <v>0.05</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0.2</v>
      </c>
      <c r="F171" s="676"/>
      <c r="G171" s="24">
        <f t="shared" si="35"/>
        <v>0.05</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0.2</v>
      </c>
      <c r="F172" s="676"/>
      <c r="G172" s="24">
        <f t="shared" si="35"/>
        <v>0.05</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0.2</v>
      </c>
      <c r="F173" s="676"/>
      <c r="G173" s="24">
        <f t="shared" si="35"/>
        <v>0.05</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0.2</v>
      </c>
      <c r="F174" s="676"/>
      <c r="G174" s="24">
        <f t="shared" si="35"/>
        <v>0.05</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0.2</v>
      </c>
      <c r="F175" s="676"/>
      <c r="G175" s="24">
        <f t="shared" si="35"/>
        <v>0.05</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0.2</v>
      </c>
      <c r="F176" s="676"/>
      <c r="G176" s="24">
        <f t="shared" si="35"/>
        <v>0.05</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0.2</v>
      </c>
      <c r="F177" s="676"/>
      <c r="G177" s="24">
        <f t="shared" si="35"/>
        <v>0.05</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0.2</v>
      </c>
      <c r="F178" s="676"/>
      <c r="G178" s="24">
        <f t="shared" si="35"/>
        <v>0.05</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0.2</v>
      </c>
      <c r="F179" s="676"/>
      <c r="G179" s="24">
        <f t="shared" si="35"/>
        <v>0.05</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0.2</v>
      </c>
      <c r="F180" s="676"/>
      <c r="G180" s="24">
        <f t="shared" si="35"/>
        <v>0.05</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0.2</v>
      </c>
      <c r="F181" s="676"/>
      <c r="G181" s="24">
        <f t="shared" si="35"/>
        <v>0.05</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0.2</v>
      </c>
      <c r="F182" s="676"/>
      <c r="G182" s="24">
        <f t="shared" si="35"/>
        <v>0.05</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0.2</v>
      </c>
      <c r="F183" s="676"/>
      <c r="G183" s="24">
        <f t="shared" si="35"/>
        <v>0.05</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0.2</v>
      </c>
      <c r="F184" s="676"/>
      <c r="G184" s="24">
        <f t="shared" si="35"/>
        <v>0.05</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0.2</v>
      </c>
      <c r="F185" s="676"/>
      <c r="G185" s="24">
        <f t="shared" si="35"/>
        <v>0.05</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0.2</v>
      </c>
      <c r="F186" s="676"/>
      <c r="G186" s="24">
        <f t="shared" si="35"/>
        <v>0.05</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0.2</v>
      </c>
      <c r="F187" s="676"/>
      <c r="G187" s="24">
        <f t="shared" si="35"/>
        <v>0.05</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0.2</v>
      </c>
      <c r="F188" s="676"/>
      <c r="G188" s="24">
        <f t="shared" si="35"/>
        <v>0.05</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0.2</v>
      </c>
      <c r="F189" s="676"/>
      <c r="G189" s="24">
        <f t="shared" si="35"/>
        <v>0.05</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0.2</v>
      </c>
      <c r="F190" s="676"/>
      <c r="G190" s="24">
        <f t="shared" si="35"/>
        <v>0.05</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0.2</v>
      </c>
      <c r="F191" s="676"/>
      <c r="G191" s="24">
        <f t="shared" si="35"/>
        <v>0.05</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0.2</v>
      </c>
      <c r="F192" s="676"/>
      <c r="G192" s="24">
        <f t="shared" si="35"/>
        <v>0.05</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0.2</v>
      </c>
      <c r="F193" s="676"/>
      <c r="G193" s="24">
        <f t="shared" si="35"/>
        <v>0.05</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0.2</v>
      </c>
      <c r="F194" s="676"/>
      <c r="G194" s="24">
        <f t="shared" si="35"/>
        <v>0.05</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0.2</v>
      </c>
      <c r="F195" s="676"/>
      <c r="G195" s="24">
        <f t="shared" si="35"/>
        <v>0.05</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0.2</v>
      </c>
      <c r="F196" s="676"/>
      <c r="G196" s="24">
        <f t="shared" si="35"/>
        <v>0.05</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0.2</v>
      </c>
      <c r="F197" s="676"/>
      <c r="G197" s="24">
        <f t="shared" si="35"/>
        <v>0.05</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0.2</v>
      </c>
      <c r="F198" s="676"/>
      <c r="G198" s="24">
        <f t="shared" si="35"/>
        <v>0.05</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0.2</v>
      </c>
      <c r="F199" s="676"/>
      <c r="G199" s="24">
        <f t="shared" si="35"/>
        <v>0.05</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0.2</v>
      </c>
      <c r="F200" s="676"/>
      <c r="G200" s="24">
        <f t="shared" si="35"/>
        <v>0.05</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0.2</v>
      </c>
      <c r="F201" s="676"/>
      <c r="G201" s="24">
        <f t="shared" si="35"/>
        <v>0.05</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0.2</v>
      </c>
      <c r="F202" s="676"/>
      <c r="G202" s="24">
        <f t="shared" si="35"/>
        <v>0.05</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0.2</v>
      </c>
      <c r="F203" s="676"/>
      <c r="G203" s="24">
        <f t="shared" si="35"/>
        <v>0.05</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0.2</v>
      </c>
      <c r="F204" s="676"/>
      <c r="G204" s="24">
        <f t="shared" si="35"/>
        <v>0.05</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0.2</v>
      </c>
      <c r="F205" s="676"/>
      <c r="G205" s="24">
        <f t="shared" si="35"/>
        <v>0.05</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0.2</v>
      </c>
      <c r="F206" s="676"/>
      <c r="G206" s="24">
        <f t="shared" si="35"/>
        <v>0.05</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0.2</v>
      </c>
      <c r="F207" s="676"/>
      <c r="G207" s="24">
        <f t="shared" si="35"/>
        <v>0.05</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0.2</v>
      </c>
      <c r="F208" s="676"/>
      <c r="G208" s="24">
        <f t="shared" si="35"/>
        <v>0.05</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0.2</v>
      </c>
      <c r="F209" s="676"/>
      <c r="G209" s="24">
        <f t="shared" si="35"/>
        <v>0.05</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0.2</v>
      </c>
      <c r="F210" s="676"/>
      <c r="G210" s="24">
        <f t="shared" si="35"/>
        <v>0.05</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0.2</v>
      </c>
      <c r="F211" s="676"/>
      <c r="G211" s="24">
        <f t="shared" si="35"/>
        <v>0.05</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0.2</v>
      </c>
      <c r="F212" s="676"/>
      <c r="G212" s="24">
        <f t="shared" si="35"/>
        <v>0.05</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0.2</v>
      </c>
      <c r="F213" s="676"/>
      <c r="G213" s="24">
        <f t="shared" si="35"/>
        <v>0.05</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0.2</v>
      </c>
      <c r="F214" s="676"/>
      <c r="G214" s="24">
        <f t="shared" si="35"/>
        <v>0.05</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0.2</v>
      </c>
      <c r="F215" s="676"/>
      <c r="G215" s="24">
        <f t="shared" si="35"/>
        <v>0.05</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0.2</v>
      </c>
      <c r="F216" s="676"/>
      <c r="G216" s="24">
        <f t="shared" si="35"/>
        <v>0.05</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0.2</v>
      </c>
      <c r="F217" s="676"/>
      <c r="G217" s="24">
        <f t="shared" si="35"/>
        <v>0.05</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0.2</v>
      </c>
      <c r="F218" s="676"/>
      <c r="G218" s="24">
        <f t="shared" ref="G218:G281" si="45">(SUMIF($7:$7,F218,$8:$8)-SUMIF($7:$7,$F$24,$8:$8)+100)/100</f>
        <v>0.05</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0.2</v>
      </c>
      <c r="F219" s="676"/>
      <c r="G219" s="24">
        <f t="shared" si="45"/>
        <v>0.05</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0.2</v>
      </c>
      <c r="F220" s="676"/>
      <c r="G220" s="24">
        <f t="shared" si="45"/>
        <v>0.05</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0.2</v>
      </c>
      <c r="F221" s="676"/>
      <c r="G221" s="24">
        <f t="shared" si="45"/>
        <v>0.05</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0.2</v>
      </c>
      <c r="F222" s="676"/>
      <c r="G222" s="24">
        <f t="shared" si="45"/>
        <v>0.05</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0.2</v>
      </c>
      <c r="F223" s="676"/>
      <c r="G223" s="24">
        <f t="shared" si="45"/>
        <v>0.05</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0.2</v>
      </c>
      <c r="F224" s="676"/>
      <c r="G224" s="24">
        <f t="shared" si="45"/>
        <v>0.05</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0.2</v>
      </c>
      <c r="F225" s="676"/>
      <c r="G225" s="24">
        <f t="shared" si="45"/>
        <v>0.05</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0.2</v>
      </c>
      <c r="F226" s="676"/>
      <c r="G226" s="24">
        <f t="shared" si="45"/>
        <v>0.05</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0.2</v>
      </c>
      <c r="F227" s="676"/>
      <c r="G227" s="24">
        <f t="shared" si="45"/>
        <v>0.05</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0.2</v>
      </c>
      <c r="F228" s="676"/>
      <c r="G228" s="24">
        <f t="shared" si="45"/>
        <v>0.05</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0.2</v>
      </c>
      <c r="F229" s="676"/>
      <c r="G229" s="24">
        <f t="shared" si="45"/>
        <v>0.05</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0.2</v>
      </c>
      <c r="F230" s="676"/>
      <c r="G230" s="24">
        <f t="shared" si="45"/>
        <v>0.05</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0.2</v>
      </c>
      <c r="F231" s="676"/>
      <c r="G231" s="24">
        <f t="shared" si="45"/>
        <v>0.05</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0.2</v>
      </c>
      <c r="F232" s="676"/>
      <c r="G232" s="24">
        <f t="shared" si="45"/>
        <v>0.05</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0.2</v>
      </c>
      <c r="F233" s="676"/>
      <c r="G233" s="24">
        <f t="shared" si="45"/>
        <v>0.05</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0.2</v>
      </c>
      <c r="F234" s="676"/>
      <c r="G234" s="24">
        <f t="shared" si="45"/>
        <v>0.05</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0.2</v>
      </c>
      <c r="F235" s="676"/>
      <c r="G235" s="24">
        <f t="shared" si="45"/>
        <v>0.05</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0.2</v>
      </c>
      <c r="F236" s="676"/>
      <c r="G236" s="24">
        <f t="shared" si="45"/>
        <v>0.05</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0.2</v>
      </c>
      <c r="F237" s="676"/>
      <c r="G237" s="24">
        <f t="shared" si="45"/>
        <v>0.05</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0.2</v>
      </c>
      <c r="F238" s="676"/>
      <c r="G238" s="24">
        <f t="shared" si="45"/>
        <v>0.05</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0.2</v>
      </c>
      <c r="F239" s="676"/>
      <c r="G239" s="24">
        <f t="shared" si="45"/>
        <v>0.05</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0.2</v>
      </c>
      <c r="F240" s="676"/>
      <c r="G240" s="24">
        <f t="shared" si="45"/>
        <v>0.05</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0.2</v>
      </c>
      <c r="F241" s="676"/>
      <c r="G241" s="24">
        <f t="shared" si="45"/>
        <v>0.05</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0.2</v>
      </c>
      <c r="F242" s="676"/>
      <c r="G242" s="24">
        <f t="shared" si="45"/>
        <v>0.05</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0.2</v>
      </c>
      <c r="F243" s="676"/>
      <c r="G243" s="24">
        <f t="shared" si="45"/>
        <v>0.05</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0.2</v>
      </c>
      <c r="F244" s="676"/>
      <c r="G244" s="24">
        <f t="shared" si="45"/>
        <v>0.05</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0.2</v>
      </c>
      <c r="F245" s="676"/>
      <c r="G245" s="24">
        <f t="shared" si="45"/>
        <v>0.05</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0.2</v>
      </c>
      <c r="F246" s="676"/>
      <c r="G246" s="24">
        <f t="shared" si="45"/>
        <v>0.05</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0.2</v>
      </c>
      <c r="F247" s="676"/>
      <c r="G247" s="24">
        <f t="shared" si="45"/>
        <v>0.05</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0.2</v>
      </c>
      <c r="F248" s="676"/>
      <c r="G248" s="24">
        <f t="shared" si="45"/>
        <v>0.05</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0.2</v>
      </c>
      <c r="F249" s="676"/>
      <c r="G249" s="24">
        <f t="shared" si="45"/>
        <v>0.05</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0.2</v>
      </c>
      <c r="F250" s="676"/>
      <c r="G250" s="24">
        <f t="shared" si="45"/>
        <v>0.05</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0.2</v>
      </c>
      <c r="F251" s="676"/>
      <c r="G251" s="24">
        <f t="shared" si="45"/>
        <v>0.05</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0.2</v>
      </c>
      <c r="F252" s="676"/>
      <c r="G252" s="24">
        <f t="shared" si="45"/>
        <v>0.05</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0.2</v>
      </c>
      <c r="F253" s="676"/>
      <c r="G253" s="24">
        <f t="shared" si="45"/>
        <v>0.05</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0.2</v>
      </c>
      <c r="F254" s="676"/>
      <c r="G254" s="24">
        <f t="shared" si="45"/>
        <v>0.05</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0.2</v>
      </c>
      <c r="F255" s="676"/>
      <c r="G255" s="24">
        <f t="shared" si="45"/>
        <v>0.05</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0.2</v>
      </c>
      <c r="F256" s="676"/>
      <c r="G256" s="24">
        <f t="shared" si="45"/>
        <v>0.05</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0.2</v>
      </c>
      <c r="F257" s="676"/>
      <c r="G257" s="24">
        <f t="shared" si="45"/>
        <v>0.05</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0.2</v>
      </c>
      <c r="F258" s="676"/>
      <c r="G258" s="24">
        <f t="shared" si="45"/>
        <v>0.05</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0.2</v>
      </c>
      <c r="F259" s="676"/>
      <c r="G259" s="24">
        <f t="shared" si="45"/>
        <v>0.05</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0.2</v>
      </c>
      <c r="F260" s="676"/>
      <c r="G260" s="24">
        <f t="shared" si="45"/>
        <v>0.05</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0.2</v>
      </c>
      <c r="F261" s="676"/>
      <c r="G261" s="24">
        <f t="shared" si="45"/>
        <v>0.05</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0.2</v>
      </c>
      <c r="F262" s="676"/>
      <c r="G262" s="24">
        <f t="shared" si="45"/>
        <v>0.05</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0.2</v>
      </c>
      <c r="F263" s="676"/>
      <c r="G263" s="24">
        <f t="shared" si="45"/>
        <v>0.05</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0.2</v>
      </c>
      <c r="F264" s="676"/>
      <c r="G264" s="24">
        <f t="shared" si="45"/>
        <v>0.05</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0.2</v>
      </c>
      <c r="F265" s="676"/>
      <c r="G265" s="24">
        <f t="shared" si="45"/>
        <v>0.05</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0.2</v>
      </c>
      <c r="F266" s="676"/>
      <c r="G266" s="24">
        <f t="shared" si="45"/>
        <v>0.05</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0.2</v>
      </c>
      <c r="F267" s="676"/>
      <c r="G267" s="24">
        <f t="shared" si="45"/>
        <v>0.05</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0.2</v>
      </c>
      <c r="F268" s="676"/>
      <c r="G268" s="24">
        <f t="shared" si="45"/>
        <v>0.05</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0.2</v>
      </c>
      <c r="F269" s="676"/>
      <c r="G269" s="24">
        <f t="shared" si="45"/>
        <v>0.05</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0.2</v>
      </c>
      <c r="F270" s="676"/>
      <c r="G270" s="24">
        <f t="shared" si="45"/>
        <v>0.05</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0.2</v>
      </c>
      <c r="F271" s="676"/>
      <c r="G271" s="24">
        <f t="shared" si="45"/>
        <v>0.05</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0.2</v>
      </c>
      <c r="F272" s="676"/>
      <c r="G272" s="24">
        <f t="shared" si="45"/>
        <v>0.05</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0.2</v>
      </c>
      <c r="F273" s="676"/>
      <c r="G273" s="24">
        <f t="shared" si="45"/>
        <v>0.05</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0.2</v>
      </c>
      <c r="F274" s="676"/>
      <c r="G274" s="24">
        <f t="shared" si="45"/>
        <v>0.05</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0.2</v>
      </c>
      <c r="F275" s="676"/>
      <c r="G275" s="24">
        <f t="shared" si="45"/>
        <v>0.05</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0.2</v>
      </c>
      <c r="F276" s="676"/>
      <c r="G276" s="24">
        <f t="shared" si="45"/>
        <v>0.05</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0.2</v>
      </c>
      <c r="F277" s="676"/>
      <c r="G277" s="24">
        <f t="shared" si="45"/>
        <v>0.05</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0.2</v>
      </c>
      <c r="F278" s="676"/>
      <c r="G278" s="24">
        <f t="shared" si="45"/>
        <v>0.05</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0.2</v>
      </c>
      <c r="F279" s="676"/>
      <c r="G279" s="24">
        <f t="shared" si="45"/>
        <v>0.05</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0.2</v>
      </c>
      <c r="F280" s="676"/>
      <c r="G280" s="24">
        <f t="shared" si="45"/>
        <v>0.05</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0.2</v>
      </c>
      <c r="F281" s="676"/>
      <c r="G281" s="24">
        <f t="shared" si="45"/>
        <v>0.05</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0.2</v>
      </c>
      <c r="F282" s="676"/>
      <c r="G282" s="24">
        <f t="shared" ref="G282:G345" si="55">(SUMIF($7:$7,F282,$8:$8)-SUMIF($7:$7,$F$24,$8:$8)+100)/100</f>
        <v>0.05</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0.2</v>
      </c>
      <c r="F283" s="676"/>
      <c r="G283" s="24">
        <f t="shared" si="55"/>
        <v>0.05</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0.2</v>
      </c>
      <c r="F284" s="676"/>
      <c r="G284" s="24">
        <f t="shared" si="55"/>
        <v>0.05</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0.2</v>
      </c>
      <c r="F285" s="676"/>
      <c r="G285" s="24">
        <f t="shared" si="55"/>
        <v>0.05</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0.2</v>
      </c>
      <c r="F286" s="676"/>
      <c r="G286" s="24">
        <f t="shared" si="55"/>
        <v>0.05</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0.2</v>
      </c>
      <c r="F287" s="676"/>
      <c r="G287" s="24">
        <f t="shared" si="55"/>
        <v>0.05</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0.2</v>
      </c>
      <c r="F288" s="676"/>
      <c r="G288" s="24">
        <f t="shared" si="55"/>
        <v>0.05</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0.2</v>
      </c>
      <c r="F289" s="676"/>
      <c r="G289" s="24">
        <f t="shared" si="55"/>
        <v>0.05</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0.2</v>
      </c>
      <c r="F290" s="676"/>
      <c r="G290" s="24">
        <f t="shared" si="55"/>
        <v>0.05</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0.2</v>
      </c>
      <c r="F291" s="676"/>
      <c r="G291" s="24">
        <f t="shared" si="55"/>
        <v>0.05</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0.2</v>
      </c>
      <c r="F292" s="676"/>
      <c r="G292" s="24">
        <f t="shared" si="55"/>
        <v>0.05</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0.2</v>
      </c>
      <c r="F293" s="676"/>
      <c r="G293" s="24">
        <f t="shared" si="55"/>
        <v>0.05</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0.2</v>
      </c>
      <c r="F294" s="676"/>
      <c r="G294" s="24">
        <f t="shared" si="55"/>
        <v>0.05</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0.2</v>
      </c>
      <c r="F295" s="676"/>
      <c r="G295" s="24">
        <f t="shared" si="55"/>
        <v>0.05</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0.2</v>
      </c>
      <c r="F296" s="676"/>
      <c r="G296" s="24">
        <f t="shared" si="55"/>
        <v>0.05</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0.2</v>
      </c>
      <c r="F297" s="676"/>
      <c r="G297" s="24">
        <f t="shared" si="55"/>
        <v>0.05</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0.2</v>
      </c>
      <c r="F298" s="676"/>
      <c r="G298" s="24">
        <f t="shared" si="55"/>
        <v>0.05</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0.2</v>
      </c>
      <c r="F299" s="676"/>
      <c r="G299" s="24">
        <f t="shared" si="55"/>
        <v>0.05</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0.2</v>
      </c>
      <c r="F300" s="676"/>
      <c r="G300" s="24">
        <f t="shared" si="55"/>
        <v>0.05</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0.2</v>
      </c>
      <c r="F301" s="676"/>
      <c r="G301" s="24">
        <f t="shared" si="55"/>
        <v>0.05</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0.2</v>
      </c>
      <c r="F302" s="676"/>
      <c r="G302" s="24">
        <f t="shared" si="55"/>
        <v>0.05</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0.2</v>
      </c>
      <c r="F303" s="676"/>
      <c r="G303" s="24">
        <f t="shared" si="55"/>
        <v>0.05</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0.2</v>
      </c>
      <c r="F304" s="676"/>
      <c r="G304" s="24">
        <f t="shared" si="55"/>
        <v>0.05</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0.2</v>
      </c>
      <c r="F305" s="676"/>
      <c r="G305" s="24">
        <f t="shared" si="55"/>
        <v>0.05</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0.2</v>
      </c>
      <c r="F306" s="676"/>
      <c r="G306" s="24">
        <f t="shared" si="55"/>
        <v>0.05</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0.2</v>
      </c>
      <c r="F307" s="676"/>
      <c r="G307" s="24">
        <f t="shared" si="55"/>
        <v>0.05</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0.2</v>
      </c>
      <c r="F308" s="676"/>
      <c r="G308" s="24">
        <f t="shared" si="55"/>
        <v>0.05</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0.2</v>
      </c>
      <c r="F309" s="676"/>
      <c r="G309" s="24">
        <f t="shared" si="55"/>
        <v>0.05</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0.2</v>
      </c>
      <c r="F310" s="676"/>
      <c r="G310" s="24">
        <f t="shared" si="55"/>
        <v>0.05</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0.2</v>
      </c>
      <c r="F311" s="676"/>
      <c r="G311" s="24">
        <f t="shared" si="55"/>
        <v>0.05</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0.2</v>
      </c>
      <c r="F312" s="676"/>
      <c r="G312" s="24">
        <f t="shared" si="55"/>
        <v>0.05</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0.2</v>
      </c>
      <c r="F313" s="676"/>
      <c r="G313" s="24">
        <f t="shared" si="55"/>
        <v>0.05</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0.2</v>
      </c>
      <c r="F314" s="676"/>
      <c r="G314" s="24">
        <f t="shared" si="55"/>
        <v>0.05</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0.2</v>
      </c>
      <c r="F315" s="676"/>
      <c r="G315" s="24">
        <f t="shared" si="55"/>
        <v>0.05</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0.2</v>
      </c>
      <c r="F316" s="676"/>
      <c r="G316" s="24">
        <f t="shared" si="55"/>
        <v>0.05</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0.2</v>
      </c>
      <c r="F317" s="676"/>
      <c r="G317" s="24">
        <f t="shared" si="55"/>
        <v>0.05</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0.2</v>
      </c>
      <c r="F318" s="676"/>
      <c r="G318" s="24">
        <f t="shared" si="55"/>
        <v>0.05</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0.2</v>
      </c>
      <c r="F319" s="676"/>
      <c r="G319" s="24">
        <f t="shared" si="55"/>
        <v>0.05</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0.2</v>
      </c>
      <c r="F320" s="676"/>
      <c r="G320" s="24">
        <f t="shared" si="55"/>
        <v>0.05</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0.2</v>
      </c>
      <c r="F321" s="676"/>
      <c r="G321" s="24">
        <f t="shared" si="55"/>
        <v>0.05</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0.2</v>
      </c>
      <c r="F322" s="676"/>
      <c r="G322" s="24">
        <f t="shared" si="55"/>
        <v>0.05</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0.2</v>
      </c>
      <c r="F323" s="676"/>
      <c r="G323" s="24">
        <f t="shared" si="55"/>
        <v>0.05</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0.2</v>
      </c>
      <c r="F324" s="676"/>
      <c r="G324" s="24">
        <f t="shared" si="55"/>
        <v>0.05</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0.2</v>
      </c>
      <c r="F325" s="676"/>
      <c r="G325" s="24">
        <f t="shared" si="55"/>
        <v>0.05</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0.2</v>
      </c>
      <c r="F326" s="676"/>
      <c r="G326" s="24">
        <f t="shared" si="55"/>
        <v>0.05</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0.2</v>
      </c>
      <c r="F327" s="676"/>
      <c r="G327" s="24">
        <f t="shared" si="55"/>
        <v>0.05</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0.2</v>
      </c>
      <c r="F328" s="676"/>
      <c r="G328" s="24">
        <f t="shared" si="55"/>
        <v>0.05</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0.2</v>
      </c>
      <c r="F329" s="676"/>
      <c r="G329" s="24">
        <f t="shared" si="55"/>
        <v>0.05</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0.2</v>
      </c>
      <c r="F330" s="676"/>
      <c r="G330" s="24">
        <f t="shared" si="55"/>
        <v>0.05</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0.2</v>
      </c>
      <c r="F331" s="676"/>
      <c r="G331" s="24">
        <f t="shared" si="55"/>
        <v>0.05</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0.2</v>
      </c>
      <c r="F332" s="676"/>
      <c r="G332" s="24">
        <f t="shared" si="55"/>
        <v>0.05</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0.2</v>
      </c>
      <c r="F333" s="676"/>
      <c r="G333" s="24">
        <f t="shared" si="55"/>
        <v>0.05</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0.2</v>
      </c>
      <c r="F334" s="676"/>
      <c r="G334" s="24">
        <f t="shared" si="55"/>
        <v>0.05</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0.2</v>
      </c>
      <c r="F335" s="676"/>
      <c r="G335" s="24">
        <f t="shared" si="55"/>
        <v>0.05</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0.2</v>
      </c>
      <c r="F336" s="676"/>
      <c r="G336" s="24">
        <f t="shared" si="55"/>
        <v>0.05</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0.2</v>
      </c>
      <c r="F337" s="676"/>
      <c r="G337" s="24">
        <f t="shared" si="55"/>
        <v>0.05</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0.2</v>
      </c>
      <c r="F338" s="676"/>
      <c r="G338" s="24">
        <f t="shared" si="55"/>
        <v>0.05</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0.2</v>
      </c>
      <c r="F339" s="676"/>
      <c r="G339" s="24">
        <f t="shared" si="55"/>
        <v>0.05</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0.2</v>
      </c>
      <c r="F340" s="676"/>
      <c r="G340" s="24">
        <f t="shared" si="55"/>
        <v>0.05</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0.2</v>
      </c>
      <c r="F341" s="676"/>
      <c r="G341" s="24">
        <f t="shared" si="55"/>
        <v>0.05</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0.2</v>
      </c>
      <c r="F342" s="676"/>
      <c r="G342" s="24">
        <f t="shared" si="55"/>
        <v>0.05</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0.2</v>
      </c>
      <c r="F343" s="676"/>
      <c r="G343" s="24">
        <f t="shared" si="55"/>
        <v>0.05</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0.2</v>
      </c>
      <c r="F344" s="676"/>
      <c r="G344" s="24">
        <f t="shared" si="55"/>
        <v>0.05</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0.2</v>
      </c>
      <c r="F345" s="676"/>
      <c r="G345" s="24">
        <f t="shared" si="55"/>
        <v>0.05</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0.2</v>
      </c>
      <c r="F346" s="676"/>
      <c r="G346" s="24">
        <f t="shared" ref="G346:G409" si="66">(SUMIF($7:$7,F346,$8:$8)-SUMIF($7:$7,$F$24,$8:$8)+100)/100</f>
        <v>0.05</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0.2</v>
      </c>
      <c r="F347" s="676"/>
      <c r="G347" s="24">
        <f t="shared" si="66"/>
        <v>0.05</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0.2</v>
      </c>
      <c r="F348" s="676"/>
      <c r="G348" s="24">
        <f t="shared" si="66"/>
        <v>0.05</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0.2</v>
      </c>
      <c r="F349" s="676"/>
      <c r="G349" s="24">
        <f t="shared" si="66"/>
        <v>0.05</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0.2</v>
      </c>
      <c r="F350" s="676"/>
      <c r="G350" s="24">
        <f t="shared" si="66"/>
        <v>0.05</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0.2</v>
      </c>
      <c r="F351" s="676"/>
      <c r="G351" s="24">
        <f t="shared" si="66"/>
        <v>0.05</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0.2</v>
      </c>
      <c r="F352" s="676"/>
      <c r="G352" s="24">
        <f t="shared" si="66"/>
        <v>0.05</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0.2</v>
      </c>
      <c r="F353" s="676"/>
      <c r="G353" s="24">
        <f t="shared" si="66"/>
        <v>0.05</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0.2</v>
      </c>
      <c r="F354" s="676"/>
      <c r="G354" s="24">
        <f t="shared" si="66"/>
        <v>0.05</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0.2</v>
      </c>
      <c r="F355" s="676"/>
      <c r="G355" s="24">
        <f t="shared" si="66"/>
        <v>0.05</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0.2</v>
      </c>
      <c r="F356" s="676"/>
      <c r="G356" s="24">
        <f t="shared" si="66"/>
        <v>0.05</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0.2</v>
      </c>
      <c r="F357" s="676"/>
      <c r="G357" s="24">
        <f t="shared" si="66"/>
        <v>0.05</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0.2</v>
      </c>
      <c r="F358" s="676"/>
      <c r="G358" s="24">
        <f t="shared" si="66"/>
        <v>0.05</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0.2</v>
      </c>
      <c r="F359" s="676"/>
      <c r="G359" s="24">
        <f t="shared" si="66"/>
        <v>0.05</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0.2</v>
      </c>
      <c r="F360" s="676"/>
      <c r="G360" s="24">
        <f t="shared" si="66"/>
        <v>0.05</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0.2</v>
      </c>
      <c r="F361" s="676"/>
      <c r="G361" s="24">
        <f t="shared" si="66"/>
        <v>0.05</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0.2</v>
      </c>
      <c r="F362" s="676"/>
      <c r="G362" s="24">
        <f t="shared" si="66"/>
        <v>0.05</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0.2</v>
      </c>
      <c r="F363" s="676"/>
      <c r="G363" s="24">
        <f t="shared" si="66"/>
        <v>0.05</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0.2</v>
      </c>
      <c r="F364" s="676"/>
      <c r="G364" s="24">
        <f t="shared" si="66"/>
        <v>0.05</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0.2</v>
      </c>
      <c r="F365" s="676"/>
      <c r="G365" s="24">
        <f t="shared" si="66"/>
        <v>0.05</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0.2</v>
      </c>
      <c r="F366" s="676"/>
      <c r="G366" s="24">
        <f t="shared" si="66"/>
        <v>0.05</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0.2</v>
      </c>
      <c r="F367" s="676"/>
      <c r="G367" s="24">
        <f t="shared" si="66"/>
        <v>0.05</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0.2</v>
      </c>
      <c r="F368" s="676"/>
      <c r="G368" s="24">
        <f t="shared" si="66"/>
        <v>0.05</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0.2</v>
      </c>
      <c r="F369" s="676"/>
      <c r="G369" s="24">
        <f t="shared" si="66"/>
        <v>0.05</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0.2</v>
      </c>
      <c r="F370" s="676"/>
      <c r="G370" s="24">
        <f t="shared" si="66"/>
        <v>0.05</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0.2</v>
      </c>
      <c r="F371" s="676"/>
      <c r="G371" s="24">
        <f t="shared" si="66"/>
        <v>0.05</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0.2</v>
      </c>
      <c r="F372" s="676"/>
      <c r="G372" s="24">
        <f t="shared" si="66"/>
        <v>0.05</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0.2</v>
      </c>
      <c r="F373" s="676"/>
      <c r="G373" s="24">
        <f t="shared" si="66"/>
        <v>0.05</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0.2</v>
      </c>
      <c r="F374" s="676"/>
      <c r="G374" s="24">
        <f t="shared" si="66"/>
        <v>0.05</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0.2</v>
      </c>
      <c r="F375" s="676"/>
      <c r="G375" s="24">
        <f t="shared" si="66"/>
        <v>0.05</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0.2</v>
      </c>
      <c r="F376" s="676"/>
      <c r="G376" s="24">
        <f t="shared" si="66"/>
        <v>0.05</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0.2</v>
      </c>
      <c r="F377" s="676"/>
      <c r="G377" s="24">
        <f t="shared" si="66"/>
        <v>0.05</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0.2</v>
      </c>
      <c r="F378" s="676"/>
      <c r="G378" s="24">
        <f t="shared" si="66"/>
        <v>0.05</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0.2</v>
      </c>
      <c r="F379" s="676"/>
      <c r="G379" s="24">
        <f t="shared" si="66"/>
        <v>0.05</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0.2</v>
      </c>
      <c r="F380" s="676"/>
      <c r="G380" s="24">
        <f t="shared" si="66"/>
        <v>0.05</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0.2</v>
      </c>
      <c r="F381" s="676"/>
      <c r="G381" s="24">
        <f t="shared" si="66"/>
        <v>0.05</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0.2</v>
      </c>
      <c r="F382" s="676"/>
      <c r="G382" s="24">
        <f t="shared" si="66"/>
        <v>0.05</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0.2</v>
      </c>
      <c r="F383" s="676"/>
      <c r="G383" s="24">
        <f t="shared" si="66"/>
        <v>0.05</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0.2</v>
      </c>
      <c r="F384" s="676"/>
      <c r="G384" s="24">
        <f t="shared" si="66"/>
        <v>0.05</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0.2</v>
      </c>
      <c r="F385" s="676"/>
      <c r="G385" s="24">
        <f t="shared" si="66"/>
        <v>0.05</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0.2</v>
      </c>
      <c r="F386" s="676"/>
      <c r="G386" s="24">
        <f t="shared" si="66"/>
        <v>0.05</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0.2</v>
      </c>
      <c r="F387" s="676"/>
      <c r="G387" s="24">
        <f t="shared" si="66"/>
        <v>0.05</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0.2</v>
      </c>
      <c r="F388" s="676"/>
      <c r="G388" s="24">
        <f t="shared" si="66"/>
        <v>0.05</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0.2</v>
      </c>
      <c r="F389" s="676"/>
      <c r="G389" s="24">
        <f t="shared" si="66"/>
        <v>0.05</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0.2</v>
      </c>
      <c r="F390" s="676"/>
      <c r="G390" s="24">
        <f t="shared" si="66"/>
        <v>0.05</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0.2</v>
      </c>
      <c r="F391" s="676"/>
      <c r="G391" s="24">
        <f t="shared" si="66"/>
        <v>0.05</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0.2</v>
      </c>
      <c r="F392" s="676"/>
      <c r="G392" s="24">
        <f t="shared" si="66"/>
        <v>0.05</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0.2</v>
      </c>
      <c r="F393" s="676"/>
      <c r="G393" s="24">
        <f t="shared" si="66"/>
        <v>0.05</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0.2</v>
      </c>
      <c r="F394" s="676"/>
      <c r="G394" s="24">
        <f t="shared" si="66"/>
        <v>0.05</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0.2</v>
      </c>
      <c r="F395" s="676"/>
      <c r="G395" s="24">
        <f t="shared" si="66"/>
        <v>0.05</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0.2</v>
      </c>
      <c r="F396" s="676"/>
      <c r="G396" s="24">
        <f t="shared" si="66"/>
        <v>0.05</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0.2</v>
      </c>
      <c r="F397" s="676"/>
      <c r="G397" s="24">
        <f t="shared" si="66"/>
        <v>0.05</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0.2</v>
      </c>
      <c r="F398" s="676"/>
      <c r="G398" s="24">
        <f t="shared" si="66"/>
        <v>0.05</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0.2</v>
      </c>
      <c r="F399" s="676"/>
      <c r="G399" s="24">
        <f t="shared" si="66"/>
        <v>0.05</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0.2</v>
      </c>
      <c r="F400" s="676"/>
      <c r="G400" s="24">
        <f t="shared" si="66"/>
        <v>0.05</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0.2</v>
      </c>
      <c r="F401" s="676"/>
      <c r="G401" s="24">
        <f t="shared" si="66"/>
        <v>0.05</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0.2</v>
      </c>
      <c r="F402" s="676"/>
      <c r="G402" s="24">
        <f t="shared" si="66"/>
        <v>0.05</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0.2</v>
      </c>
      <c r="F403" s="676"/>
      <c r="G403" s="24">
        <f t="shared" si="66"/>
        <v>0.05</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0.2</v>
      </c>
      <c r="F404" s="676"/>
      <c r="G404" s="24">
        <f t="shared" si="66"/>
        <v>0.05</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0.2</v>
      </c>
      <c r="F405" s="676"/>
      <c r="G405" s="24">
        <f t="shared" si="66"/>
        <v>0.05</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0.2</v>
      </c>
      <c r="F406" s="676"/>
      <c r="G406" s="24">
        <f t="shared" si="66"/>
        <v>0.05</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0.2</v>
      </c>
      <c r="F407" s="676"/>
      <c r="G407" s="24">
        <f t="shared" si="66"/>
        <v>0.05</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0.2</v>
      </c>
      <c r="F408" s="676"/>
      <c r="G408" s="24">
        <f t="shared" si="66"/>
        <v>0.05</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0.2</v>
      </c>
      <c r="F409" s="676"/>
      <c r="G409" s="24">
        <f t="shared" si="66"/>
        <v>0.05</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0.2</v>
      </c>
      <c r="F410" s="676"/>
      <c r="G410" s="24">
        <f t="shared" ref="G410:G473" si="76">(SUMIF($7:$7,F410,$8:$8)-SUMIF($7:$7,$F$24,$8:$8)+100)/100</f>
        <v>0.05</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0.2</v>
      </c>
      <c r="F411" s="676"/>
      <c r="G411" s="24">
        <f t="shared" si="76"/>
        <v>0.05</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0.2</v>
      </c>
      <c r="F412" s="676"/>
      <c r="G412" s="24">
        <f t="shared" si="76"/>
        <v>0.05</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0.2</v>
      </c>
      <c r="F413" s="676"/>
      <c r="G413" s="24">
        <f t="shared" si="76"/>
        <v>0.05</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0.2</v>
      </c>
      <c r="F414" s="676"/>
      <c r="G414" s="24">
        <f t="shared" si="76"/>
        <v>0.05</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0.2</v>
      </c>
      <c r="F415" s="676"/>
      <c r="G415" s="24">
        <f t="shared" si="76"/>
        <v>0.05</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0.2</v>
      </c>
      <c r="F416" s="676"/>
      <c r="G416" s="24">
        <f t="shared" si="76"/>
        <v>0.05</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0.2</v>
      </c>
      <c r="F417" s="676"/>
      <c r="G417" s="24">
        <f t="shared" si="76"/>
        <v>0.05</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0.2</v>
      </c>
      <c r="F418" s="676"/>
      <c r="G418" s="24">
        <f t="shared" si="76"/>
        <v>0.05</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0.2</v>
      </c>
      <c r="F419" s="676"/>
      <c r="G419" s="24">
        <f t="shared" si="76"/>
        <v>0.05</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0.2</v>
      </c>
      <c r="F420" s="676"/>
      <c r="G420" s="24">
        <f t="shared" si="76"/>
        <v>0.05</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0.2</v>
      </c>
      <c r="F421" s="676"/>
      <c r="G421" s="24">
        <f t="shared" si="76"/>
        <v>0.05</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0.2</v>
      </c>
      <c r="F422" s="676"/>
      <c r="G422" s="24">
        <f t="shared" si="76"/>
        <v>0.05</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0.2</v>
      </c>
      <c r="F423" s="676"/>
      <c r="G423" s="24">
        <f t="shared" si="76"/>
        <v>0.05</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0.2</v>
      </c>
      <c r="F424" s="676"/>
      <c r="G424" s="24">
        <f t="shared" si="76"/>
        <v>0.05</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0.2</v>
      </c>
      <c r="F425" s="676"/>
      <c r="G425" s="24">
        <f t="shared" si="76"/>
        <v>0.05</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0.2</v>
      </c>
      <c r="F426" s="676"/>
      <c r="G426" s="24">
        <f t="shared" si="76"/>
        <v>0.05</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0.2</v>
      </c>
      <c r="F427" s="676"/>
      <c r="G427" s="24">
        <f t="shared" si="76"/>
        <v>0.05</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0.2</v>
      </c>
      <c r="F428" s="676"/>
      <c r="G428" s="24">
        <f t="shared" si="76"/>
        <v>0.05</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0.2</v>
      </c>
      <c r="F429" s="676"/>
      <c r="G429" s="24">
        <f t="shared" si="76"/>
        <v>0.05</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0.2</v>
      </c>
      <c r="F430" s="676"/>
      <c r="G430" s="24">
        <f t="shared" si="76"/>
        <v>0.05</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0.2</v>
      </c>
      <c r="F431" s="676"/>
      <c r="G431" s="24">
        <f t="shared" si="76"/>
        <v>0.05</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0.2</v>
      </c>
      <c r="F432" s="676"/>
      <c r="G432" s="24">
        <f t="shared" si="76"/>
        <v>0.05</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0.2</v>
      </c>
      <c r="F433" s="676"/>
      <c r="G433" s="24">
        <f t="shared" si="76"/>
        <v>0.05</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0.2</v>
      </c>
      <c r="F434" s="676"/>
      <c r="G434" s="24">
        <f t="shared" si="76"/>
        <v>0.05</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0.2</v>
      </c>
      <c r="F435" s="676"/>
      <c r="G435" s="24">
        <f t="shared" si="76"/>
        <v>0.05</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0.2</v>
      </c>
      <c r="F436" s="676"/>
      <c r="G436" s="24">
        <f t="shared" si="76"/>
        <v>0.05</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0.2</v>
      </c>
      <c r="F437" s="676"/>
      <c r="G437" s="24">
        <f t="shared" si="76"/>
        <v>0.05</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0.2</v>
      </c>
      <c r="F438" s="676"/>
      <c r="G438" s="24">
        <f t="shared" si="76"/>
        <v>0.05</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0.2</v>
      </c>
      <c r="F439" s="676"/>
      <c r="G439" s="24">
        <f t="shared" si="76"/>
        <v>0.05</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0.2</v>
      </c>
      <c r="F440" s="676"/>
      <c r="G440" s="24">
        <f t="shared" si="76"/>
        <v>0.05</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0.2</v>
      </c>
      <c r="F441" s="676"/>
      <c r="G441" s="24">
        <f t="shared" si="76"/>
        <v>0.05</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0.2</v>
      </c>
      <c r="F442" s="676"/>
      <c r="G442" s="24">
        <f t="shared" si="76"/>
        <v>0.05</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0.2</v>
      </c>
      <c r="F443" s="676"/>
      <c r="G443" s="24">
        <f t="shared" si="76"/>
        <v>0.05</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0.2</v>
      </c>
      <c r="F444" s="676"/>
      <c r="G444" s="24">
        <f t="shared" si="76"/>
        <v>0.05</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0.2</v>
      </c>
      <c r="F445" s="676"/>
      <c r="G445" s="24">
        <f t="shared" si="76"/>
        <v>0.05</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0.2</v>
      </c>
      <c r="F446" s="676"/>
      <c r="G446" s="24">
        <f t="shared" si="76"/>
        <v>0.05</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0.2</v>
      </c>
      <c r="F447" s="676"/>
      <c r="G447" s="24">
        <f t="shared" si="76"/>
        <v>0.05</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0.2</v>
      </c>
      <c r="F448" s="676"/>
      <c r="G448" s="24">
        <f t="shared" si="76"/>
        <v>0.05</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0.2</v>
      </c>
      <c r="F449" s="676"/>
      <c r="G449" s="24">
        <f t="shared" si="76"/>
        <v>0.05</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0.2</v>
      </c>
      <c r="F450" s="676"/>
      <c r="G450" s="24">
        <f t="shared" si="76"/>
        <v>0.05</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0.2</v>
      </c>
      <c r="F451" s="676"/>
      <c r="G451" s="24">
        <f t="shared" si="76"/>
        <v>0.05</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0.2</v>
      </c>
      <c r="F452" s="676"/>
      <c r="G452" s="24">
        <f t="shared" si="76"/>
        <v>0.05</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0.2</v>
      </c>
      <c r="F453" s="676"/>
      <c r="G453" s="24">
        <f t="shared" si="76"/>
        <v>0.05</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0.2</v>
      </c>
      <c r="F454" s="676"/>
      <c r="G454" s="24">
        <f t="shared" si="76"/>
        <v>0.05</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0.2</v>
      </c>
      <c r="F455" s="676"/>
      <c r="G455" s="24">
        <f t="shared" si="76"/>
        <v>0.05</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0.2</v>
      </c>
      <c r="F456" s="676"/>
      <c r="G456" s="24">
        <f t="shared" si="76"/>
        <v>0.05</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0.2</v>
      </c>
      <c r="F457" s="676"/>
      <c r="G457" s="24">
        <f t="shared" si="76"/>
        <v>0.05</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0.2</v>
      </c>
      <c r="F458" s="676"/>
      <c r="G458" s="24">
        <f t="shared" si="76"/>
        <v>0.05</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0.2</v>
      </c>
      <c r="F459" s="676"/>
      <c r="G459" s="24">
        <f t="shared" si="76"/>
        <v>0.05</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0.2</v>
      </c>
      <c r="F460" s="676"/>
      <c r="G460" s="24">
        <f t="shared" si="76"/>
        <v>0.05</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0.2</v>
      </c>
      <c r="F461" s="676"/>
      <c r="G461" s="24">
        <f t="shared" si="76"/>
        <v>0.05</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0.2</v>
      </c>
      <c r="F462" s="676"/>
      <c r="G462" s="24">
        <f t="shared" si="76"/>
        <v>0.05</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0.2</v>
      </c>
      <c r="F463" s="676"/>
      <c r="G463" s="24">
        <f t="shared" si="76"/>
        <v>0.05</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0.2</v>
      </c>
      <c r="F464" s="676"/>
      <c r="G464" s="24">
        <f t="shared" si="76"/>
        <v>0.05</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0.2</v>
      </c>
      <c r="F465" s="676"/>
      <c r="G465" s="24">
        <f t="shared" si="76"/>
        <v>0.05</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0.2</v>
      </c>
      <c r="F466" s="676"/>
      <c r="G466" s="24">
        <f t="shared" si="76"/>
        <v>0.05</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0.2</v>
      </c>
      <c r="F467" s="676"/>
      <c r="G467" s="24">
        <f t="shared" si="76"/>
        <v>0.05</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0.2</v>
      </c>
      <c r="F468" s="676"/>
      <c r="G468" s="24">
        <f t="shared" si="76"/>
        <v>0.05</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0.2</v>
      </c>
      <c r="F469" s="676"/>
      <c r="G469" s="24">
        <f t="shared" si="76"/>
        <v>0.05</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0.2</v>
      </c>
      <c r="F470" s="676"/>
      <c r="G470" s="24">
        <f t="shared" si="76"/>
        <v>0.05</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0.2</v>
      </c>
      <c r="F471" s="676"/>
      <c r="G471" s="24">
        <f t="shared" si="76"/>
        <v>0.05</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0.2</v>
      </c>
      <c r="F472" s="676"/>
      <c r="G472" s="24">
        <f t="shared" si="76"/>
        <v>0.05</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0.2</v>
      </c>
      <c r="F473" s="676"/>
      <c r="G473" s="24">
        <f t="shared" si="76"/>
        <v>0.05</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0.2</v>
      </c>
      <c r="F474" s="676"/>
      <c r="G474" s="24">
        <f t="shared" ref="G474:G524" si="87">(SUMIF($7:$7,F474,$8:$8)-SUMIF($7:$7,$F$24,$8:$8)+100)/100</f>
        <v>0.05</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0.2</v>
      </c>
      <c r="F475" s="676"/>
      <c r="G475" s="24">
        <f t="shared" si="87"/>
        <v>0.05</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0.2</v>
      </c>
      <c r="F476" s="676"/>
      <c r="G476" s="24">
        <f t="shared" si="87"/>
        <v>0.05</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0.2</v>
      </c>
      <c r="F477" s="676"/>
      <c r="G477" s="24">
        <f t="shared" si="87"/>
        <v>0.05</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0.2</v>
      </c>
      <c r="F478" s="676"/>
      <c r="G478" s="24">
        <f t="shared" si="87"/>
        <v>0.05</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0.2</v>
      </c>
      <c r="F479" s="676"/>
      <c r="G479" s="24">
        <f t="shared" si="87"/>
        <v>0.05</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0.2</v>
      </c>
      <c r="F480" s="676"/>
      <c r="G480" s="24">
        <f t="shared" si="87"/>
        <v>0.05</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0.2</v>
      </c>
      <c r="F481" s="676"/>
      <c r="G481" s="24">
        <f t="shared" si="87"/>
        <v>0.05</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0.2</v>
      </c>
      <c r="F482" s="676"/>
      <c r="G482" s="24">
        <f t="shared" si="87"/>
        <v>0.05</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0.2</v>
      </c>
      <c r="F483" s="676"/>
      <c r="G483" s="24">
        <f t="shared" si="87"/>
        <v>0.05</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0.2</v>
      </c>
      <c r="F484" s="676"/>
      <c r="G484" s="24">
        <f t="shared" si="87"/>
        <v>0.05</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0.2</v>
      </c>
      <c r="F485" s="676"/>
      <c r="G485" s="24">
        <f t="shared" si="87"/>
        <v>0.05</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0.2</v>
      </c>
      <c r="F486" s="676"/>
      <c r="G486" s="24">
        <f t="shared" si="87"/>
        <v>0.05</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0.2</v>
      </c>
      <c r="F487" s="676"/>
      <c r="G487" s="24">
        <f t="shared" si="87"/>
        <v>0.05</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0.2</v>
      </c>
      <c r="F488" s="676"/>
      <c r="G488" s="24">
        <f t="shared" si="87"/>
        <v>0.05</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0.2</v>
      </c>
      <c r="F489" s="676"/>
      <c r="G489" s="24">
        <f t="shared" si="87"/>
        <v>0.05</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0.2</v>
      </c>
      <c r="F490" s="676"/>
      <c r="G490" s="24">
        <f t="shared" si="87"/>
        <v>0.05</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0.2</v>
      </c>
      <c r="F491" s="676"/>
      <c r="G491" s="24">
        <f t="shared" si="87"/>
        <v>0.05</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0.2</v>
      </c>
      <c r="F492" s="676"/>
      <c r="G492" s="24">
        <f t="shared" si="87"/>
        <v>0.05</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0.2</v>
      </c>
      <c r="F493" s="676"/>
      <c r="G493" s="24">
        <f t="shared" si="87"/>
        <v>0.05</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0.2</v>
      </c>
      <c r="F494" s="676"/>
      <c r="G494" s="24">
        <f t="shared" si="87"/>
        <v>0.05</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0.2</v>
      </c>
      <c r="F495" s="676"/>
      <c r="G495" s="24">
        <f t="shared" si="87"/>
        <v>0.05</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0.2</v>
      </c>
      <c r="F496" s="676"/>
      <c r="G496" s="24">
        <f t="shared" si="87"/>
        <v>0.05</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0.2</v>
      </c>
      <c r="F497" s="676"/>
      <c r="G497" s="24">
        <f t="shared" si="87"/>
        <v>0.05</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0.2</v>
      </c>
      <c r="F498" s="676"/>
      <c r="G498" s="24">
        <f t="shared" si="87"/>
        <v>0.05</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0.2</v>
      </c>
      <c r="F499" s="676"/>
      <c r="G499" s="24">
        <f t="shared" si="87"/>
        <v>0.05</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0.2</v>
      </c>
      <c r="F500" s="676"/>
      <c r="G500" s="24">
        <f t="shared" si="87"/>
        <v>0.05</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0.2</v>
      </c>
      <c r="F501" s="676"/>
      <c r="G501" s="24">
        <f t="shared" si="87"/>
        <v>0.05</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0.2</v>
      </c>
      <c r="F502" s="676"/>
      <c r="G502" s="24">
        <f t="shared" si="87"/>
        <v>0.05</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0.2</v>
      </c>
      <c r="F503" s="676"/>
      <c r="G503" s="24">
        <f t="shared" si="87"/>
        <v>0.05</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0.2</v>
      </c>
      <c r="F504" s="676"/>
      <c r="G504" s="24">
        <f t="shared" si="87"/>
        <v>0.05</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0.2</v>
      </c>
      <c r="F505" s="676"/>
      <c r="G505" s="24">
        <f t="shared" si="87"/>
        <v>0.05</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0.2</v>
      </c>
      <c r="F506" s="676"/>
      <c r="G506" s="24">
        <f t="shared" si="87"/>
        <v>0.05</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0.2</v>
      </c>
      <c r="F507" s="676"/>
      <c r="G507" s="24">
        <f t="shared" si="87"/>
        <v>0.05</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0.2</v>
      </c>
      <c r="F508" s="676"/>
      <c r="G508" s="24">
        <f t="shared" si="87"/>
        <v>0.05</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0.2</v>
      </c>
      <c r="F509" s="676"/>
      <c r="G509" s="24">
        <f t="shared" si="87"/>
        <v>0.05</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0.2</v>
      </c>
      <c r="F510" s="676"/>
      <c r="G510" s="24">
        <f t="shared" si="87"/>
        <v>0.05</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0.2</v>
      </c>
      <c r="F511" s="676"/>
      <c r="G511" s="24">
        <f t="shared" si="87"/>
        <v>0.05</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0.2</v>
      </c>
      <c r="F512" s="676"/>
      <c r="G512" s="24">
        <f t="shared" si="87"/>
        <v>0.05</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0.2</v>
      </c>
      <c r="F513" s="676"/>
      <c r="G513" s="24">
        <f t="shared" si="87"/>
        <v>0.05</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0.2</v>
      </c>
      <c r="F514" s="676"/>
      <c r="G514" s="24">
        <f t="shared" si="87"/>
        <v>0.05</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0.2</v>
      </c>
      <c r="F515" s="676"/>
      <c r="G515" s="24">
        <f t="shared" si="87"/>
        <v>0.05</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0.2</v>
      </c>
      <c r="F516" s="676"/>
      <c r="G516" s="24">
        <f t="shared" si="87"/>
        <v>0.05</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0.2</v>
      </c>
      <c r="F517" s="676"/>
      <c r="G517" s="24">
        <f t="shared" si="87"/>
        <v>0.05</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0.2</v>
      </c>
      <c r="F518" s="676"/>
      <c r="G518" s="24">
        <f t="shared" si="87"/>
        <v>0.05</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0.2</v>
      </c>
      <c r="F519" s="676"/>
      <c r="G519" s="24">
        <f t="shared" si="87"/>
        <v>0.05</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0.2</v>
      </c>
      <c r="F520" s="676"/>
      <c r="G520" s="24">
        <f t="shared" si="87"/>
        <v>0.05</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0.2</v>
      </c>
      <c r="F521" s="676"/>
      <c r="G521" s="24">
        <f t="shared" si="87"/>
        <v>0.05</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0.2</v>
      </c>
      <c r="F522" s="676"/>
      <c r="G522" s="24">
        <f t="shared" si="87"/>
        <v>0.05</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0.2</v>
      </c>
      <c r="F523" s="676"/>
      <c r="G523" s="24">
        <f t="shared" si="87"/>
        <v>0.05</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0.2</v>
      </c>
      <c r="F524" s="676"/>
      <c r="G524" s="24">
        <f t="shared" si="87"/>
        <v>0.05</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30956</v>
      </c>
      <c r="C2" s="2" t="s">
        <v>133</v>
      </c>
      <c r="D2" s="205"/>
      <c r="E2" s="205"/>
      <c r="F2" s="205"/>
      <c r="G2" s="205"/>
    </row>
    <row r="3" spans="1:7" s="206" customFormat="1" ht="18" customHeight="1" thickBot="1">
      <c r="A3" s="209" t="s">
        <v>85</v>
      </c>
      <c r="B3" s="210">
        <f ca="1">ROUND(B2*10000/'数据-汇总表'!E3,0)</f>
        <v>460991</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13</v>
      </c>
      <c r="D10" s="954">
        <f>'数据-汇总表'!E6</f>
        <v>671.51000000000022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13</v>
      </c>
      <c r="D19" s="958">
        <f>'数据-汇总表'!E3</f>
        <v>671.51000000000022</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2025</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6.4">
      <c r="A27" s="885" t="s">
        <v>787</v>
      </c>
      <c r="B27" s="250" t="s">
        <v>112</v>
      </c>
      <c r="C27" s="251">
        <f>C28</f>
        <v>5259</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5259</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30727</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210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188</v>
      </c>
      <c r="D34" s="223"/>
      <c r="E34" s="226"/>
      <c r="F34" s="263">
        <f>IF('数据-取费表'!B24=0,1,'数据-取费表'!N16)</f>
        <v>1</v>
      </c>
      <c r="G34" s="225" t="s">
        <v>116</v>
      </c>
    </row>
    <row r="35" spans="1:7" ht="13.5" customHeight="1">
      <c r="A35" s="888" t="s">
        <v>796</v>
      </c>
      <c r="B35" s="221" t="s">
        <v>60</v>
      </c>
      <c r="C35" s="226">
        <f>ROUND(C34*F35,0)</f>
        <v>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13</v>
      </c>
      <c r="D37" s="223">
        <f>'数据-汇总表'!E3</f>
        <v>671.51000000000022</v>
      </c>
      <c r="E37" s="255">
        <f>'数据-取费表'!B35</f>
        <v>200</v>
      </c>
      <c r="F37" s="265"/>
      <c r="G37" s="267" t="s">
        <v>119</v>
      </c>
    </row>
    <row r="38" spans="1:7" ht="13.5" customHeight="1">
      <c r="A38" s="888" t="s">
        <v>799</v>
      </c>
      <c r="B38" s="221" t="s">
        <v>63</v>
      </c>
      <c r="C38" s="226">
        <f>ROUND(C34*F38,0)</f>
        <v>3</v>
      </c>
      <c r="D38" s="226"/>
      <c r="E38" s="226"/>
      <c r="F38" s="265">
        <f>'数据-取费表'!B36</f>
        <v>1.4999999999999999E-2</v>
      </c>
      <c r="G38" s="225" t="s">
        <v>117</v>
      </c>
    </row>
    <row r="39" spans="1:7" s="220" customFormat="1" ht="13.5" customHeight="1">
      <c r="A39" s="885" t="s">
        <v>783</v>
      </c>
      <c r="B39" s="216" t="s">
        <v>104</v>
      </c>
      <c r="C39" s="238">
        <f>ROUND(C33*F20,0)</f>
        <v>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v>
      </c>
      <c r="D42" s="244"/>
      <c r="E42" s="244"/>
      <c r="F42" s="245"/>
      <c r="G42" s="3280" t="s">
        <v>121</v>
      </c>
    </row>
    <row r="43" spans="1:7" ht="13.5" customHeight="1">
      <c r="A43" s="888" t="s">
        <v>792</v>
      </c>
      <c r="B43" s="221" t="s">
        <v>1032</v>
      </c>
      <c r="C43" s="244">
        <f ca="1">ROUND(IF('数据-取费表'!B22&lt;=1,C39*F22*'数据-取费表'!B21/2,C39*(POWER((1+F22),'数据-取费表'!B21/2)-1)),0)</f>
        <v>0</v>
      </c>
      <c r="D43" s="244"/>
      <c r="E43" s="244"/>
      <c r="F43" s="245"/>
      <c r="G43" s="3281"/>
    </row>
    <row r="44" spans="1:7" ht="13.5" customHeight="1">
      <c r="A44" s="888" t="s">
        <v>793</v>
      </c>
      <c r="B44" s="221" t="s">
        <v>1034</v>
      </c>
      <c r="C44" s="244">
        <f ca="1">ROUND(IF('数据-取费表'!B22&lt;=1,C40*F22*'数据-取费表'!B21/2,C40*(POWER((1+F22),'数据-取费表'!B21/2)-1)),4)</f>
        <v>6.9999999999999999E-4</v>
      </c>
      <c r="D44" s="244"/>
      <c r="E44" s="244"/>
      <c r="F44" s="245"/>
      <c r="G44" s="3282"/>
    </row>
    <row r="45" spans="1:7" s="220" customFormat="1" ht="13.5" customHeight="1">
      <c r="A45" s="885" t="s">
        <v>786</v>
      </c>
      <c r="B45" s="250" t="s">
        <v>112</v>
      </c>
      <c r="C45" s="251">
        <f>C46</f>
        <v>54</v>
      </c>
      <c r="D45" s="241">
        <f>C47</f>
        <v>5.0000000000000001E-3</v>
      </c>
      <c r="E45" s="242" t="s">
        <v>129</v>
      </c>
      <c r="F45" s="252"/>
      <c r="G45" s="253" t="s">
        <v>1040</v>
      </c>
    </row>
    <row r="46" spans="1:7" s="220" customFormat="1" ht="13.5" customHeight="1">
      <c r="A46" s="888" t="s">
        <v>794</v>
      </c>
      <c r="B46" s="254" t="s">
        <v>1033</v>
      </c>
      <c r="C46" s="255">
        <f>ROUND((C33+C39)*F27,0)</f>
        <v>54</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298</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229</v>
      </c>
      <c r="D51" s="238"/>
      <c r="E51" s="238"/>
      <c r="F51" s="270"/>
      <c r="G51" s="240" t="s">
        <v>64</v>
      </c>
    </row>
    <row r="52" spans="1:7" s="214" customFormat="1" ht="16.8" thickBot="1">
      <c r="A52" s="271" t="s">
        <v>65</v>
      </c>
      <c r="B52" s="272"/>
      <c r="C52" s="273">
        <f ca="1">C31+C51</f>
        <v>30956</v>
      </c>
      <c r="D52" s="272"/>
      <c r="E52" s="272"/>
      <c r="F52" s="272"/>
      <c r="G52" s="274"/>
    </row>
    <row r="55" spans="1:7" ht="15">
      <c r="B55" s="276" t="s">
        <v>66</v>
      </c>
      <c r="C55" s="277"/>
    </row>
    <row r="56" spans="1:7">
      <c r="B56" s="279" t="s">
        <v>67</v>
      </c>
      <c r="C56" s="280">
        <f ca="1">ROUND(C51/C52,3)</f>
        <v>7.0000000000000001E-3</v>
      </c>
    </row>
    <row r="57" spans="1:7">
      <c r="B57" s="279" t="s">
        <v>68</v>
      </c>
      <c r="C57" s="281">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432" t="s">
        <v>156</v>
      </c>
      <c r="B1" s="3432"/>
      <c r="C1" s="3432"/>
      <c r="D1" s="3432"/>
      <c r="E1" s="3432"/>
      <c r="F1" s="343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433" t="s">
        <v>169</v>
      </c>
      <c r="B2" s="3433"/>
      <c r="C2" s="3433"/>
      <c r="D2" s="3433"/>
      <c r="E2" s="3433"/>
      <c r="F2" s="343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432" t="s">
        <v>839</v>
      </c>
      <c r="B1" s="3432"/>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410" customWidth="1"/>
    <col min="2" max="2" width="13.21875" style="1416" customWidth="1"/>
    <col min="3" max="3" width="15.6640625" style="1416" customWidth="1"/>
    <col min="4" max="4" width="9.33203125" style="1416" bestFit="1" customWidth="1"/>
    <col min="5" max="5" width="13.44140625" style="1416" customWidth="1"/>
    <col min="6" max="6" width="9" style="1416"/>
    <col min="7" max="7" width="9.33203125" style="1416" bestFit="1" customWidth="1"/>
    <col min="8" max="8" width="12.21875" style="1416" customWidth="1"/>
    <col min="9" max="9" width="9" style="1416"/>
    <col min="10" max="10" width="9.33203125" style="1416" bestFit="1" customWidth="1"/>
    <col min="11" max="11" width="4" style="1410" customWidth="1"/>
    <col min="12" max="12" width="5.109375" style="1416" customWidth="1"/>
    <col min="13" max="13" width="13.77734375" style="1416" customWidth="1"/>
    <col min="14" max="256" width="9" style="1416"/>
    <col min="257" max="257" width="4.88671875" style="1407" customWidth="1"/>
    <col min="258" max="258" width="13.21875" style="1407" customWidth="1"/>
    <col min="259" max="259" width="15.6640625" style="1407" customWidth="1"/>
    <col min="260" max="260" width="9.33203125" style="1407" bestFit="1" customWidth="1"/>
    <col min="261" max="261" width="13.44140625" style="1407" customWidth="1"/>
    <col min="262" max="262" width="9" style="1407"/>
    <col min="263" max="263" width="9.33203125" style="1407" bestFit="1" customWidth="1"/>
    <col min="264" max="265" width="9" style="1407"/>
    <col min="266" max="266" width="9.33203125" style="1407" bestFit="1" customWidth="1"/>
    <col min="267" max="267" width="4" style="1407" customWidth="1"/>
    <col min="268" max="268" width="5.109375" style="1407" customWidth="1"/>
    <col min="269" max="269" width="13.77734375" style="1407" customWidth="1"/>
    <col min="270" max="512" width="9" style="1407"/>
    <col min="513" max="513" width="4.88671875" style="1407" customWidth="1"/>
    <col min="514" max="514" width="13.21875" style="1407" customWidth="1"/>
    <col min="515" max="515" width="15.6640625" style="1407" customWidth="1"/>
    <col min="516" max="516" width="9.33203125" style="1407" bestFit="1" customWidth="1"/>
    <col min="517" max="517" width="13.44140625" style="1407" customWidth="1"/>
    <col min="518" max="518" width="9" style="1407"/>
    <col min="519" max="519" width="9.33203125" style="1407" bestFit="1" customWidth="1"/>
    <col min="520" max="521" width="9" style="1407"/>
    <col min="522" max="522" width="9.33203125" style="1407" bestFit="1" customWidth="1"/>
    <col min="523" max="523" width="4" style="1407" customWidth="1"/>
    <col min="524" max="524" width="5.109375" style="1407" customWidth="1"/>
    <col min="525" max="525" width="13.77734375" style="1407" customWidth="1"/>
    <col min="526" max="768" width="9" style="1407"/>
    <col min="769" max="769" width="4.88671875" style="1407" customWidth="1"/>
    <col min="770" max="770" width="13.21875" style="1407" customWidth="1"/>
    <col min="771" max="771" width="15.6640625" style="1407" customWidth="1"/>
    <col min="772" max="772" width="9.33203125" style="1407" bestFit="1" customWidth="1"/>
    <col min="773" max="773" width="13.44140625" style="1407" customWidth="1"/>
    <col min="774" max="774" width="9" style="1407"/>
    <col min="775" max="775" width="9.33203125" style="1407" bestFit="1" customWidth="1"/>
    <col min="776" max="777" width="9" style="1407"/>
    <col min="778" max="778" width="9.33203125" style="1407" bestFit="1" customWidth="1"/>
    <col min="779" max="779" width="4" style="1407" customWidth="1"/>
    <col min="780" max="780" width="5.109375" style="1407" customWidth="1"/>
    <col min="781" max="781" width="13.77734375" style="1407" customWidth="1"/>
    <col min="782" max="1024" width="9" style="1407"/>
    <col min="1025" max="1025" width="4.88671875" style="1407" customWidth="1"/>
    <col min="1026" max="1026" width="13.21875" style="1407" customWidth="1"/>
    <col min="1027" max="1027" width="15.6640625" style="1407" customWidth="1"/>
    <col min="1028" max="1028" width="9.33203125" style="1407" bestFit="1" customWidth="1"/>
    <col min="1029" max="1029" width="13.44140625" style="1407" customWidth="1"/>
    <col min="1030" max="1030" width="9" style="1407"/>
    <col min="1031" max="1031" width="9.33203125" style="1407" bestFit="1" customWidth="1"/>
    <col min="1032" max="1033" width="9" style="1407"/>
    <col min="1034" max="1034" width="9.33203125" style="1407" bestFit="1" customWidth="1"/>
    <col min="1035" max="1035" width="4" style="1407" customWidth="1"/>
    <col min="1036" max="1036" width="5.109375" style="1407" customWidth="1"/>
    <col min="1037" max="1037" width="13.77734375" style="1407" customWidth="1"/>
    <col min="1038" max="1280" width="9" style="1407"/>
    <col min="1281" max="1281" width="4.88671875" style="1407" customWidth="1"/>
    <col min="1282" max="1282" width="13.21875" style="1407" customWidth="1"/>
    <col min="1283" max="1283" width="15.6640625" style="1407" customWidth="1"/>
    <col min="1284" max="1284" width="9.33203125" style="1407" bestFit="1" customWidth="1"/>
    <col min="1285" max="1285" width="13.44140625" style="1407" customWidth="1"/>
    <col min="1286" max="1286" width="9" style="1407"/>
    <col min="1287" max="1287" width="9.33203125" style="1407" bestFit="1" customWidth="1"/>
    <col min="1288" max="1289" width="9" style="1407"/>
    <col min="1290" max="1290" width="9.33203125" style="1407" bestFit="1" customWidth="1"/>
    <col min="1291" max="1291" width="4" style="1407" customWidth="1"/>
    <col min="1292" max="1292" width="5.109375" style="1407" customWidth="1"/>
    <col min="1293" max="1293" width="13.77734375" style="1407" customWidth="1"/>
    <col min="1294" max="1536" width="9" style="1407"/>
    <col min="1537" max="1537" width="4.88671875" style="1407" customWidth="1"/>
    <col min="1538" max="1538" width="13.21875" style="1407" customWidth="1"/>
    <col min="1539" max="1539" width="15.6640625" style="1407" customWidth="1"/>
    <col min="1540" max="1540" width="9.33203125" style="1407" bestFit="1" customWidth="1"/>
    <col min="1541" max="1541" width="13.44140625" style="1407" customWidth="1"/>
    <col min="1542" max="1542" width="9" style="1407"/>
    <col min="1543" max="1543" width="9.33203125" style="1407" bestFit="1" customWidth="1"/>
    <col min="1544" max="1545" width="9" style="1407"/>
    <col min="1546" max="1546" width="9.33203125" style="1407" bestFit="1" customWidth="1"/>
    <col min="1547" max="1547" width="4" style="1407" customWidth="1"/>
    <col min="1548" max="1548" width="5.109375" style="1407" customWidth="1"/>
    <col min="1549" max="1549" width="13.77734375" style="1407" customWidth="1"/>
    <col min="1550" max="1792" width="9" style="1407"/>
    <col min="1793" max="1793" width="4.88671875" style="1407" customWidth="1"/>
    <col min="1794" max="1794" width="13.21875" style="1407" customWidth="1"/>
    <col min="1795" max="1795" width="15.6640625" style="1407" customWidth="1"/>
    <col min="1796" max="1796" width="9.33203125" style="1407" bestFit="1" customWidth="1"/>
    <col min="1797" max="1797" width="13.44140625" style="1407" customWidth="1"/>
    <col min="1798" max="1798" width="9" style="1407"/>
    <col min="1799" max="1799" width="9.33203125" style="1407" bestFit="1" customWidth="1"/>
    <col min="1800" max="1801" width="9" style="1407"/>
    <col min="1802" max="1802" width="9.33203125" style="1407" bestFit="1" customWidth="1"/>
    <col min="1803" max="1803" width="4" style="1407" customWidth="1"/>
    <col min="1804" max="1804" width="5.109375" style="1407" customWidth="1"/>
    <col min="1805" max="1805" width="13.77734375" style="1407" customWidth="1"/>
    <col min="1806" max="2048" width="9" style="1407"/>
    <col min="2049" max="2049" width="4.88671875" style="1407" customWidth="1"/>
    <col min="2050" max="2050" width="13.21875" style="1407" customWidth="1"/>
    <col min="2051" max="2051" width="15.6640625" style="1407" customWidth="1"/>
    <col min="2052" max="2052" width="9.33203125" style="1407" bestFit="1" customWidth="1"/>
    <col min="2053" max="2053" width="13.44140625" style="1407" customWidth="1"/>
    <col min="2054" max="2054" width="9" style="1407"/>
    <col min="2055" max="2055" width="9.33203125" style="1407" bestFit="1" customWidth="1"/>
    <col min="2056" max="2057" width="9" style="1407"/>
    <col min="2058" max="2058" width="9.33203125" style="1407" bestFit="1" customWidth="1"/>
    <col min="2059" max="2059" width="4" style="1407" customWidth="1"/>
    <col min="2060" max="2060" width="5.109375" style="1407" customWidth="1"/>
    <col min="2061" max="2061" width="13.77734375" style="1407" customWidth="1"/>
    <col min="2062" max="2304" width="9" style="1407"/>
    <col min="2305" max="2305" width="4.88671875" style="1407" customWidth="1"/>
    <col min="2306" max="2306" width="13.21875" style="1407" customWidth="1"/>
    <col min="2307" max="2307" width="15.6640625" style="1407" customWidth="1"/>
    <col min="2308" max="2308" width="9.33203125" style="1407" bestFit="1" customWidth="1"/>
    <col min="2309" max="2309" width="13.44140625" style="1407" customWidth="1"/>
    <col min="2310" max="2310" width="9" style="1407"/>
    <col min="2311" max="2311" width="9.33203125" style="1407" bestFit="1" customWidth="1"/>
    <col min="2312" max="2313" width="9" style="1407"/>
    <col min="2314" max="2314" width="9.33203125" style="1407" bestFit="1" customWidth="1"/>
    <col min="2315" max="2315" width="4" style="1407" customWidth="1"/>
    <col min="2316" max="2316" width="5.109375" style="1407" customWidth="1"/>
    <col min="2317" max="2317" width="13.77734375" style="1407" customWidth="1"/>
    <col min="2318" max="2560" width="9" style="1407"/>
    <col min="2561" max="2561" width="4.88671875" style="1407" customWidth="1"/>
    <col min="2562" max="2562" width="13.21875" style="1407" customWidth="1"/>
    <col min="2563" max="2563" width="15.6640625" style="1407" customWidth="1"/>
    <col min="2564" max="2564" width="9.33203125" style="1407" bestFit="1" customWidth="1"/>
    <col min="2565" max="2565" width="13.44140625" style="1407" customWidth="1"/>
    <col min="2566" max="2566" width="9" style="1407"/>
    <col min="2567" max="2567" width="9.33203125" style="1407" bestFit="1" customWidth="1"/>
    <col min="2568" max="2569" width="9" style="1407"/>
    <col min="2570" max="2570" width="9.33203125" style="1407" bestFit="1" customWidth="1"/>
    <col min="2571" max="2571" width="4" style="1407" customWidth="1"/>
    <col min="2572" max="2572" width="5.109375" style="1407" customWidth="1"/>
    <col min="2573" max="2573" width="13.77734375" style="1407" customWidth="1"/>
    <col min="2574" max="2816" width="9" style="1407"/>
    <col min="2817" max="2817" width="4.88671875" style="1407" customWidth="1"/>
    <col min="2818" max="2818" width="13.21875" style="1407" customWidth="1"/>
    <col min="2819" max="2819" width="15.6640625" style="1407" customWidth="1"/>
    <col min="2820" max="2820" width="9.33203125" style="1407" bestFit="1" customWidth="1"/>
    <col min="2821" max="2821" width="13.44140625" style="1407" customWidth="1"/>
    <col min="2822" max="2822" width="9" style="1407"/>
    <col min="2823" max="2823" width="9.33203125" style="1407" bestFit="1" customWidth="1"/>
    <col min="2824" max="2825" width="9" style="1407"/>
    <col min="2826" max="2826" width="9.33203125" style="1407" bestFit="1" customWidth="1"/>
    <col min="2827" max="2827" width="4" style="1407" customWidth="1"/>
    <col min="2828" max="2828" width="5.109375" style="1407" customWidth="1"/>
    <col min="2829" max="2829" width="13.77734375" style="1407" customWidth="1"/>
    <col min="2830" max="3072" width="9" style="1407"/>
    <col min="3073" max="3073" width="4.88671875" style="1407" customWidth="1"/>
    <col min="3074" max="3074" width="13.21875" style="1407" customWidth="1"/>
    <col min="3075" max="3075" width="15.6640625" style="1407" customWidth="1"/>
    <col min="3076" max="3076" width="9.33203125" style="1407" bestFit="1" customWidth="1"/>
    <col min="3077" max="3077" width="13.44140625" style="1407" customWidth="1"/>
    <col min="3078" max="3078" width="9" style="1407"/>
    <col min="3079" max="3079" width="9.33203125" style="1407" bestFit="1" customWidth="1"/>
    <col min="3080" max="3081" width="9" style="1407"/>
    <col min="3082" max="3082" width="9.33203125" style="1407" bestFit="1" customWidth="1"/>
    <col min="3083" max="3083" width="4" style="1407" customWidth="1"/>
    <col min="3084" max="3084" width="5.109375" style="1407" customWidth="1"/>
    <col min="3085" max="3085" width="13.77734375" style="1407" customWidth="1"/>
    <col min="3086" max="3328" width="9" style="1407"/>
    <col min="3329" max="3329" width="4.88671875" style="1407" customWidth="1"/>
    <col min="3330" max="3330" width="13.21875" style="1407" customWidth="1"/>
    <col min="3331" max="3331" width="15.6640625" style="1407" customWidth="1"/>
    <col min="3332" max="3332" width="9.33203125" style="1407" bestFit="1" customWidth="1"/>
    <col min="3333" max="3333" width="13.44140625" style="1407" customWidth="1"/>
    <col min="3334" max="3334" width="9" style="1407"/>
    <col min="3335" max="3335" width="9.33203125" style="1407" bestFit="1" customWidth="1"/>
    <col min="3336" max="3337" width="9" style="1407"/>
    <col min="3338" max="3338" width="9.33203125" style="1407" bestFit="1" customWidth="1"/>
    <col min="3339" max="3339" width="4" style="1407" customWidth="1"/>
    <col min="3340" max="3340" width="5.109375" style="1407" customWidth="1"/>
    <col min="3341" max="3341" width="13.77734375" style="1407" customWidth="1"/>
    <col min="3342" max="3584" width="9" style="1407"/>
    <col min="3585" max="3585" width="4.88671875" style="1407" customWidth="1"/>
    <col min="3586" max="3586" width="13.21875" style="1407" customWidth="1"/>
    <col min="3587" max="3587" width="15.6640625" style="1407" customWidth="1"/>
    <col min="3588" max="3588" width="9.33203125" style="1407" bestFit="1" customWidth="1"/>
    <col min="3589" max="3589" width="13.44140625" style="1407" customWidth="1"/>
    <col min="3590" max="3590" width="9" style="1407"/>
    <col min="3591" max="3591" width="9.33203125" style="1407" bestFit="1" customWidth="1"/>
    <col min="3592" max="3593" width="9" style="1407"/>
    <col min="3594" max="3594" width="9.33203125" style="1407" bestFit="1" customWidth="1"/>
    <col min="3595" max="3595" width="4" style="1407" customWidth="1"/>
    <col min="3596" max="3596" width="5.109375" style="1407" customWidth="1"/>
    <col min="3597" max="3597" width="13.77734375" style="1407" customWidth="1"/>
    <col min="3598" max="3840" width="9" style="1407"/>
    <col min="3841" max="3841" width="4.88671875" style="1407" customWidth="1"/>
    <col min="3842" max="3842" width="13.21875" style="1407" customWidth="1"/>
    <col min="3843" max="3843" width="15.6640625" style="1407" customWidth="1"/>
    <col min="3844" max="3844" width="9.33203125" style="1407" bestFit="1" customWidth="1"/>
    <col min="3845" max="3845" width="13.44140625" style="1407" customWidth="1"/>
    <col min="3846" max="3846" width="9" style="1407"/>
    <col min="3847" max="3847" width="9.33203125" style="1407" bestFit="1" customWidth="1"/>
    <col min="3848" max="3849" width="9" style="1407"/>
    <col min="3850" max="3850" width="9.33203125" style="1407" bestFit="1" customWidth="1"/>
    <col min="3851" max="3851" width="4" style="1407" customWidth="1"/>
    <col min="3852" max="3852" width="5.109375" style="1407" customWidth="1"/>
    <col min="3853" max="3853" width="13.77734375" style="1407" customWidth="1"/>
    <col min="3854" max="4096" width="9" style="1407"/>
    <col min="4097" max="4097" width="4.88671875" style="1407" customWidth="1"/>
    <col min="4098" max="4098" width="13.21875" style="1407" customWidth="1"/>
    <col min="4099" max="4099" width="15.6640625" style="1407" customWidth="1"/>
    <col min="4100" max="4100" width="9.33203125" style="1407" bestFit="1" customWidth="1"/>
    <col min="4101" max="4101" width="13.44140625" style="1407" customWidth="1"/>
    <col min="4102" max="4102" width="9" style="1407"/>
    <col min="4103" max="4103" width="9.33203125" style="1407" bestFit="1" customWidth="1"/>
    <col min="4104" max="4105" width="9" style="1407"/>
    <col min="4106" max="4106" width="9.33203125" style="1407" bestFit="1" customWidth="1"/>
    <col min="4107" max="4107" width="4" style="1407" customWidth="1"/>
    <col min="4108" max="4108" width="5.109375" style="1407" customWidth="1"/>
    <col min="4109" max="4109" width="13.77734375" style="1407" customWidth="1"/>
    <col min="4110" max="4352" width="9" style="1407"/>
    <col min="4353" max="4353" width="4.88671875" style="1407" customWidth="1"/>
    <col min="4354" max="4354" width="13.21875" style="1407" customWidth="1"/>
    <col min="4355" max="4355" width="15.6640625" style="1407" customWidth="1"/>
    <col min="4356" max="4356" width="9.33203125" style="1407" bestFit="1" customWidth="1"/>
    <col min="4357" max="4357" width="13.44140625" style="1407" customWidth="1"/>
    <col min="4358" max="4358" width="9" style="1407"/>
    <col min="4359" max="4359" width="9.33203125" style="1407" bestFit="1" customWidth="1"/>
    <col min="4360" max="4361" width="9" style="1407"/>
    <col min="4362" max="4362" width="9.33203125" style="1407" bestFit="1" customWidth="1"/>
    <col min="4363" max="4363" width="4" style="1407" customWidth="1"/>
    <col min="4364" max="4364" width="5.109375" style="1407" customWidth="1"/>
    <col min="4365" max="4365" width="13.77734375" style="1407" customWidth="1"/>
    <col min="4366" max="4608" width="9" style="1407"/>
    <col min="4609" max="4609" width="4.88671875" style="1407" customWidth="1"/>
    <col min="4610" max="4610" width="13.21875" style="1407" customWidth="1"/>
    <col min="4611" max="4611" width="15.6640625" style="1407" customWidth="1"/>
    <col min="4612" max="4612" width="9.33203125" style="1407" bestFit="1" customWidth="1"/>
    <col min="4613" max="4613" width="13.44140625" style="1407" customWidth="1"/>
    <col min="4614" max="4614" width="9" style="1407"/>
    <col min="4615" max="4615" width="9.33203125" style="1407" bestFit="1" customWidth="1"/>
    <col min="4616" max="4617" width="9" style="1407"/>
    <col min="4618" max="4618" width="9.33203125" style="1407" bestFit="1" customWidth="1"/>
    <col min="4619" max="4619" width="4" style="1407" customWidth="1"/>
    <col min="4620" max="4620" width="5.109375" style="1407" customWidth="1"/>
    <col min="4621" max="4621" width="13.77734375" style="1407" customWidth="1"/>
    <col min="4622" max="4864" width="9" style="1407"/>
    <col min="4865" max="4865" width="4.88671875" style="1407" customWidth="1"/>
    <col min="4866" max="4866" width="13.21875" style="1407" customWidth="1"/>
    <col min="4867" max="4867" width="15.6640625" style="1407" customWidth="1"/>
    <col min="4868" max="4868" width="9.33203125" style="1407" bestFit="1" customWidth="1"/>
    <col min="4869" max="4869" width="13.44140625" style="1407" customWidth="1"/>
    <col min="4870" max="4870" width="9" style="1407"/>
    <col min="4871" max="4871" width="9.33203125" style="1407" bestFit="1" customWidth="1"/>
    <col min="4872" max="4873" width="9" style="1407"/>
    <col min="4874" max="4874" width="9.33203125" style="1407" bestFit="1" customWidth="1"/>
    <col min="4875" max="4875" width="4" style="1407" customWidth="1"/>
    <col min="4876" max="4876" width="5.109375" style="1407" customWidth="1"/>
    <col min="4877" max="4877" width="13.77734375" style="1407" customWidth="1"/>
    <col min="4878" max="5120" width="9" style="1407"/>
    <col min="5121" max="5121" width="4.88671875" style="1407" customWidth="1"/>
    <col min="5122" max="5122" width="13.21875" style="1407" customWidth="1"/>
    <col min="5123" max="5123" width="15.6640625" style="1407" customWidth="1"/>
    <col min="5124" max="5124" width="9.33203125" style="1407" bestFit="1" customWidth="1"/>
    <col min="5125" max="5125" width="13.44140625" style="1407" customWidth="1"/>
    <col min="5126" max="5126" width="9" style="1407"/>
    <col min="5127" max="5127" width="9.33203125" style="1407" bestFit="1" customWidth="1"/>
    <col min="5128" max="5129" width="9" style="1407"/>
    <col min="5130" max="5130" width="9.33203125" style="1407" bestFit="1" customWidth="1"/>
    <col min="5131" max="5131" width="4" style="1407" customWidth="1"/>
    <col min="5132" max="5132" width="5.109375" style="1407" customWidth="1"/>
    <col min="5133" max="5133" width="13.77734375" style="1407" customWidth="1"/>
    <col min="5134" max="5376" width="9" style="1407"/>
    <col min="5377" max="5377" width="4.88671875" style="1407" customWidth="1"/>
    <col min="5378" max="5378" width="13.21875" style="1407" customWidth="1"/>
    <col min="5379" max="5379" width="15.6640625" style="1407" customWidth="1"/>
    <col min="5380" max="5380" width="9.33203125" style="1407" bestFit="1" customWidth="1"/>
    <col min="5381" max="5381" width="13.44140625" style="1407" customWidth="1"/>
    <col min="5382" max="5382" width="9" style="1407"/>
    <col min="5383" max="5383" width="9.33203125" style="1407" bestFit="1" customWidth="1"/>
    <col min="5384" max="5385" width="9" style="1407"/>
    <col min="5386" max="5386" width="9.33203125" style="1407" bestFit="1" customWidth="1"/>
    <col min="5387" max="5387" width="4" style="1407" customWidth="1"/>
    <col min="5388" max="5388" width="5.109375" style="1407" customWidth="1"/>
    <col min="5389" max="5389" width="13.77734375" style="1407" customWidth="1"/>
    <col min="5390" max="5632" width="9" style="1407"/>
    <col min="5633" max="5633" width="4.88671875" style="1407" customWidth="1"/>
    <col min="5634" max="5634" width="13.21875" style="1407" customWidth="1"/>
    <col min="5635" max="5635" width="15.6640625" style="1407" customWidth="1"/>
    <col min="5636" max="5636" width="9.33203125" style="1407" bestFit="1" customWidth="1"/>
    <col min="5637" max="5637" width="13.44140625" style="1407" customWidth="1"/>
    <col min="5638" max="5638" width="9" style="1407"/>
    <col min="5639" max="5639" width="9.33203125" style="1407" bestFit="1" customWidth="1"/>
    <col min="5640" max="5641" width="9" style="1407"/>
    <col min="5642" max="5642" width="9.33203125" style="1407" bestFit="1" customWidth="1"/>
    <col min="5643" max="5643" width="4" style="1407" customWidth="1"/>
    <col min="5644" max="5644" width="5.109375" style="1407" customWidth="1"/>
    <col min="5645" max="5645" width="13.77734375" style="1407" customWidth="1"/>
    <col min="5646" max="5888" width="9" style="1407"/>
    <col min="5889" max="5889" width="4.88671875" style="1407" customWidth="1"/>
    <col min="5890" max="5890" width="13.21875" style="1407" customWidth="1"/>
    <col min="5891" max="5891" width="15.6640625" style="1407" customWidth="1"/>
    <col min="5892" max="5892" width="9.33203125" style="1407" bestFit="1" customWidth="1"/>
    <col min="5893" max="5893" width="13.44140625" style="1407" customWidth="1"/>
    <col min="5894" max="5894" width="9" style="1407"/>
    <col min="5895" max="5895" width="9.33203125" style="1407" bestFit="1" customWidth="1"/>
    <col min="5896" max="5897" width="9" style="1407"/>
    <col min="5898" max="5898" width="9.33203125" style="1407" bestFit="1" customWidth="1"/>
    <col min="5899" max="5899" width="4" style="1407" customWidth="1"/>
    <col min="5900" max="5900" width="5.109375" style="1407" customWidth="1"/>
    <col min="5901" max="5901" width="13.77734375" style="1407" customWidth="1"/>
    <col min="5902" max="6144" width="9" style="1407"/>
    <col min="6145" max="6145" width="4.88671875" style="1407" customWidth="1"/>
    <col min="6146" max="6146" width="13.21875" style="1407" customWidth="1"/>
    <col min="6147" max="6147" width="15.6640625" style="1407" customWidth="1"/>
    <col min="6148" max="6148" width="9.33203125" style="1407" bestFit="1" customWidth="1"/>
    <col min="6149" max="6149" width="13.44140625" style="1407" customWidth="1"/>
    <col min="6150" max="6150" width="9" style="1407"/>
    <col min="6151" max="6151" width="9.33203125" style="1407" bestFit="1" customWidth="1"/>
    <col min="6152" max="6153" width="9" style="1407"/>
    <col min="6154" max="6154" width="9.33203125" style="1407" bestFit="1" customWidth="1"/>
    <col min="6155" max="6155" width="4" style="1407" customWidth="1"/>
    <col min="6156" max="6156" width="5.109375" style="1407" customWidth="1"/>
    <col min="6157" max="6157" width="13.77734375" style="1407" customWidth="1"/>
    <col min="6158" max="6400" width="9" style="1407"/>
    <col min="6401" max="6401" width="4.88671875" style="1407" customWidth="1"/>
    <col min="6402" max="6402" width="13.21875" style="1407" customWidth="1"/>
    <col min="6403" max="6403" width="15.6640625" style="1407" customWidth="1"/>
    <col min="6404" max="6404" width="9.33203125" style="1407" bestFit="1" customWidth="1"/>
    <col min="6405" max="6405" width="13.44140625" style="1407" customWidth="1"/>
    <col min="6406" max="6406" width="9" style="1407"/>
    <col min="6407" max="6407" width="9.33203125" style="1407" bestFit="1" customWidth="1"/>
    <col min="6408" max="6409" width="9" style="1407"/>
    <col min="6410" max="6410" width="9.33203125" style="1407" bestFit="1" customWidth="1"/>
    <col min="6411" max="6411" width="4" style="1407" customWidth="1"/>
    <col min="6412" max="6412" width="5.109375" style="1407" customWidth="1"/>
    <col min="6413" max="6413" width="13.77734375" style="1407" customWidth="1"/>
    <col min="6414" max="6656" width="9" style="1407"/>
    <col min="6657" max="6657" width="4.88671875" style="1407" customWidth="1"/>
    <col min="6658" max="6658" width="13.21875" style="1407" customWidth="1"/>
    <col min="6659" max="6659" width="15.6640625" style="1407" customWidth="1"/>
    <col min="6660" max="6660" width="9.33203125" style="1407" bestFit="1" customWidth="1"/>
    <col min="6661" max="6661" width="13.44140625" style="1407" customWidth="1"/>
    <col min="6662" max="6662" width="9" style="1407"/>
    <col min="6663" max="6663" width="9.33203125" style="1407" bestFit="1" customWidth="1"/>
    <col min="6664" max="6665" width="9" style="1407"/>
    <col min="6666" max="6666" width="9.33203125" style="1407" bestFit="1" customWidth="1"/>
    <col min="6667" max="6667" width="4" style="1407" customWidth="1"/>
    <col min="6668" max="6668" width="5.109375" style="1407" customWidth="1"/>
    <col min="6669" max="6669" width="13.77734375" style="1407" customWidth="1"/>
    <col min="6670" max="6912" width="9" style="1407"/>
    <col min="6913" max="6913" width="4.88671875" style="1407" customWidth="1"/>
    <col min="6914" max="6914" width="13.21875" style="1407" customWidth="1"/>
    <col min="6915" max="6915" width="15.6640625" style="1407" customWidth="1"/>
    <col min="6916" max="6916" width="9.33203125" style="1407" bestFit="1" customWidth="1"/>
    <col min="6917" max="6917" width="13.44140625" style="1407" customWidth="1"/>
    <col min="6918" max="6918" width="9" style="1407"/>
    <col min="6919" max="6919" width="9.33203125" style="1407" bestFit="1" customWidth="1"/>
    <col min="6920" max="6921" width="9" style="1407"/>
    <col min="6922" max="6922" width="9.33203125" style="1407" bestFit="1" customWidth="1"/>
    <col min="6923" max="6923" width="4" style="1407" customWidth="1"/>
    <col min="6924" max="6924" width="5.109375" style="1407" customWidth="1"/>
    <col min="6925" max="6925" width="13.77734375" style="1407" customWidth="1"/>
    <col min="6926" max="7168" width="9" style="1407"/>
    <col min="7169" max="7169" width="4.88671875" style="1407" customWidth="1"/>
    <col min="7170" max="7170" width="13.21875" style="1407" customWidth="1"/>
    <col min="7171" max="7171" width="15.6640625" style="1407" customWidth="1"/>
    <col min="7172" max="7172" width="9.33203125" style="1407" bestFit="1" customWidth="1"/>
    <col min="7173" max="7173" width="13.44140625" style="1407" customWidth="1"/>
    <col min="7174" max="7174" width="9" style="1407"/>
    <col min="7175" max="7175" width="9.33203125" style="1407" bestFit="1" customWidth="1"/>
    <col min="7176" max="7177" width="9" style="1407"/>
    <col min="7178" max="7178" width="9.33203125" style="1407" bestFit="1" customWidth="1"/>
    <col min="7179" max="7179" width="4" style="1407" customWidth="1"/>
    <col min="7180" max="7180" width="5.109375" style="1407" customWidth="1"/>
    <col min="7181" max="7181" width="13.77734375" style="1407" customWidth="1"/>
    <col min="7182" max="7424" width="9" style="1407"/>
    <col min="7425" max="7425" width="4.88671875" style="1407" customWidth="1"/>
    <col min="7426" max="7426" width="13.21875" style="1407" customWidth="1"/>
    <col min="7427" max="7427" width="15.6640625" style="1407" customWidth="1"/>
    <col min="7428" max="7428" width="9.33203125" style="1407" bestFit="1" customWidth="1"/>
    <col min="7429" max="7429" width="13.44140625" style="1407" customWidth="1"/>
    <col min="7430" max="7430" width="9" style="1407"/>
    <col min="7431" max="7431" width="9.33203125" style="1407" bestFit="1" customWidth="1"/>
    <col min="7432" max="7433" width="9" style="1407"/>
    <col min="7434" max="7434" width="9.33203125" style="1407" bestFit="1" customWidth="1"/>
    <col min="7435" max="7435" width="4" style="1407" customWidth="1"/>
    <col min="7436" max="7436" width="5.109375" style="1407" customWidth="1"/>
    <col min="7437" max="7437" width="13.77734375" style="1407" customWidth="1"/>
    <col min="7438" max="7680" width="9" style="1407"/>
    <col min="7681" max="7681" width="4.88671875" style="1407" customWidth="1"/>
    <col min="7682" max="7682" width="13.21875" style="1407" customWidth="1"/>
    <col min="7683" max="7683" width="15.6640625" style="1407" customWidth="1"/>
    <col min="7684" max="7684" width="9.33203125" style="1407" bestFit="1" customWidth="1"/>
    <col min="7685" max="7685" width="13.44140625" style="1407" customWidth="1"/>
    <col min="7686" max="7686" width="9" style="1407"/>
    <col min="7687" max="7687" width="9.33203125" style="1407" bestFit="1" customWidth="1"/>
    <col min="7688" max="7689" width="9" style="1407"/>
    <col min="7690" max="7690" width="9.33203125" style="1407" bestFit="1" customWidth="1"/>
    <col min="7691" max="7691" width="4" style="1407" customWidth="1"/>
    <col min="7692" max="7692" width="5.109375" style="1407" customWidth="1"/>
    <col min="7693" max="7693" width="13.77734375" style="1407" customWidth="1"/>
    <col min="7694" max="7936" width="9" style="1407"/>
    <col min="7937" max="7937" width="4.88671875" style="1407" customWidth="1"/>
    <col min="7938" max="7938" width="13.21875" style="1407" customWidth="1"/>
    <col min="7939" max="7939" width="15.6640625" style="1407" customWidth="1"/>
    <col min="7940" max="7940" width="9.33203125" style="1407" bestFit="1" customWidth="1"/>
    <col min="7941" max="7941" width="13.44140625" style="1407" customWidth="1"/>
    <col min="7942" max="7942" width="9" style="1407"/>
    <col min="7943" max="7943" width="9.33203125" style="1407" bestFit="1" customWidth="1"/>
    <col min="7944" max="7945" width="9" style="1407"/>
    <col min="7946" max="7946" width="9.33203125" style="1407" bestFit="1" customWidth="1"/>
    <col min="7947" max="7947" width="4" style="1407" customWidth="1"/>
    <col min="7948" max="7948" width="5.109375" style="1407" customWidth="1"/>
    <col min="7949" max="7949" width="13.77734375" style="1407" customWidth="1"/>
    <col min="7950" max="8192" width="9" style="1407"/>
    <col min="8193" max="8193" width="4.88671875" style="1407" customWidth="1"/>
    <col min="8194" max="8194" width="13.21875" style="1407" customWidth="1"/>
    <col min="8195" max="8195" width="15.6640625" style="1407" customWidth="1"/>
    <col min="8196" max="8196" width="9.33203125" style="1407" bestFit="1" customWidth="1"/>
    <col min="8197" max="8197" width="13.44140625" style="1407" customWidth="1"/>
    <col min="8198" max="8198" width="9" style="1407"/>
    <col min="8199" max="8199" width="9.33203125" style="1407" bestFit="1" customWidth="1"/>
    <col min="8200" max="8201" width="9" style="1407"/>
    <col min="8202" max="8202" width="9.33203125" style="1407" bestFit="1" customWidth="1"/>
    <col min="8203" max="8203" width="4" style="1407" customWidth="1"/>
    <col min="8204" max="8204" width="5.109375" style="1407" customWidth="1"/>
    <col min="8205" max="8205" width="13.77734375" style="1407" customWidth="1"/>
    <col min="8206" max="8448" width="9" style="1407"/>
    <col min="8449" max="8449" width="4.88671875" style="1407" customWidth="1"/>
    <col min="8450" max="8450" width="13.21875" style="1407" customWidth="1"/>
    <col min="8451" max="8451" width="15.6640625" style="1407" customWidth="1"/>
    <col min="8452" max="8452" width="9.33203125" style="1407" bestFit="1" customWidth="1"/>
    <col min="8453" max="8453" width="13.44140625" style="1407" customWidth="1"/>
    <col min="8454" max="8454" width="9" style="1407"/>
    <col min="8455" max="8455" width="9.33203125" style="1407" bestFit="1" customWidth="1"/>
    <col min="8456" max="8457" width="9" style="1407"/>
    <col min="8458" max="8458" width="9.33203125" style="1407" bestFit="1" customWidth="1"/>
    <col min="8459" max="8459" width="4" style="1407" customWidth="1"/>
    <col min="8460" max="8460" width="5.109375" style="1407" customWidth="1"/>
    <col min="8461" max="8461" width="13.77734375" style="1407" customWidth="1"/>
    <col min="8462" max="8704" width="9" style="1407"/>
    <col min="8705" max="8705" width="4.88671875" style="1407" customWidth="1"/>
    <col min="8706" max="8706" width="13.21875" style="1407" customWidth="1"/>
    <col min="8707" max="8707" width="15.6640625" style="1407" customWidth="1"/>
    <col min="8708" max="8708" width="9.33203125" style="1407" bestFit="1" customWidth="1"/>
    <col min="8709" max="8709" width="13.44140625" style="1407" customWidth="1"/>
    <col min="8710" max="8710" width="9" style="1407"/>
    <col min="8711" max="8711" width="9.33203125" style="1407" bestFit="1" customWidth="1"/>
    <col min="8712" max="8713" width="9" style="1407"/>
    <col min="8714" max="8714" width="9.33203125" style="1407" bestFit="1" customWidth="1"/>
    <col min="8715" max="8715" width="4" style="1407" customWidth="1"/>
    <col min="8716" max="8716" width="5.109375" style="1407" customWidth="1"/>
    <col min="8717" max="8717" width="13.77734375" style="1407" customWidth="1"/>
    <col min="8718" max="8960" width="9" style="1407"/>
    <col min="8961" max="8961" width="4.88671875" style="1407" customWidth="1"/>
    <col min="8962" max="8962" width="13.21875" style="1407" customWidth="1"/>
    <col min="8963" max="8963" width="15.6640625" style="1407" customWidth="1"/>
    <col min="8964" max="8964" width="9.33203125" style="1407" bestFit="1" customWidth="1"/>
    <col min="8965" max="8965" width="13.44140625" style="1407" customWidth="1"/>
    <col min="8966" max="8966" width="9" style="1407"/>
    <col min="8967" max="8967" width="9.33203125" style="1407" bestFit="1" customWidth="1"/>
    <col min="8968" max="8969" width="9" style="1407"/>
    <col min="8970" max="8970" width="9.33203125" style="1407" bestFit="1" customWidth="1"/>
    <col min="8971" max="8971" width="4" style="1407" customWidth="1"/>
    <col min="8972" max="8972" width="5.109375" style="1407" customWidth="1"/>
    <col min="8973" max="8973" width="13.77734375" style="1407" customWidth="1"/>
    <col min="8974" max="9216" width="9" style="1407"/>
    <col min="9217" max="9217" width="4.88671875" style="1407" customWidth="1"/>
    <col min="9218" max="9218" width="13.21875" style="1407" customWidth="1"/>
    <col min="9219" max="9219" width="15.6640625" style="1407" customWidth="1"/>
    <col min="9220" max="9220" width="9.33203125" style="1407" bestFit="1" customWidth="1"/>
    <col min="9221" max="9221" width="13.44140625" style="1407" customWidth="1"/>
    <col min="9222" max="9222" width="9" style="1407"/>
    <col min="9223" max="9223" width="9.33203125" style="1407" bestFit="1" customWidth="1"/>
    <col min="9224" max="9225" width="9" style="1407"/>
    <col min="9226" max="9226" width="9.33203125" style="1407" bestFit="1" customWidth="1"/>
    <col min="9227" max="9227" width="4" style="1407" customWidth="1"/>
    <col min="9228" max="9228" width="5.109375" style="1407" customWidth="1"/>
    <col min="9229" max="9229" width="13.77734375" style="1407" customWidth="1"/>
    <col min="9230" max="9472" width="9" style="1407"/>
    <col min="9473" max="9473" width="4.88671875" style="1407" customWidth="1"/>
    <col min="9474" max="9474" width="13.21875" style="1407" customWidth="1"/>
    <col min="9475" max="9475" width="15.6640625" style="1407" customWidth="1"/>
    <col min="9476" max="9476" width="9.33203125" style="1407" bestFit="1" customWidth="1"/>
    <col min="9477" max="9477" width="13.44140625" style="1407" customWidth="1"/>
    <col min="9478" max="9478" width="9" style="1407"/>
    <col min="9479" max="9479" width="9.33203125" style="1407" bestFit="1" customWidth="1"/>
    <col min="9480" max="9481" width="9" style="1407"/>
    <col min="9482" max="9482" width="9.33203125" style="1407" bestFit="1" customWidth="1"/>
    <col min="9483" max="9483" width="4" style="1407" customWidth="1"/>
    <col min="9484" max="9484" width="5.109375" style="1407" customWidth="1"/>
    <col min="9485" max="9485" width="13.77734375" style="1407" customWidth="1"/>
    <col min="9486" max="9728" width="9" style="1407"/>
    <col min="9729" max="9729" width="4.88671875" style="1407" customWidth="1"/>
    <col min="9730" max="9730" width="13.21875" style="1407" customWidth="1"/>
    <col min="9731" max="9731" width="15.6640625" style="1407" customWidth="1"/>
    <col min="9732" max="9732" width="9.33203125" style="1407" bestFit="1" customWidth="1"/>
    <col min="9733" max="9733" width="13.44140625" style="1407" customWidth="1"/>
    <col min="9734" max="9734" width="9" style="1407"/>
    <col min="9735" max="9735" width="9.33203125" style="1407" bestFit="1" customWidth="1"/>
    <col min="9736" max="9737" width="9" style="1407"/>
    <col min="9738" max="9738" width="9.33203125" style="1407" bestFit="1" customWidth="1"/>
    <col min="9739" max="9739" width="4" style="1407" customWidth="1"/>
    <col min="9740" max="9740" width="5.109375" style="1407" customWidth="1"/>
    <col min="9741" max="9741" width="13.77734375" style="1407" customWidth="1"/>
    <col min="9742" max="9984" width="9" style="1407"/>
    <col min="9985" max="9985" width="4.88671875" style="1407" customWidth="1"/>
    <col min="9986" max="9986" width="13.21875" style="1407" customWidth="1"/>
    <col min="9987" max="9987" width="15.6640625" style="1407" customWidth="1"/>
    <col min="9988" max="9988" width="9.33203125" style="1407" bestFit="1" customWidth="1"/>
    <col min="9989" max="9989" width="13.44140625" style="1407" customWidth="1"/>
    <col min="9990" max="9990" width="9" style="1407"/>
    <col min="9991" max="9991" width="9.33203125" style="1407" bestFit="1" customWidth="1"/>
    <col min="9992" max="9993" width="9" style="1407"/>
    <col min="9994" max="9994" width="9.33203125" style="1407" bestFit="1" customWidth="1"/>
    <col min="9995" max="9995" width="4" style="1407" customWidth="1"/>
    <col min="9996" max="9996" width="5.109375" style="1407" customWidth="1"/>
    <col min="9997" max="9997" width="13.77734375" style="1407" customWidth="1"/>
    <col min="9998" max="10240" width="9" style="1407"/>
    <col min="10241" max="10241" width="4.88671875" style="1407" customWidth="1"/>
    <col min="10242" max="10242" width="13.21875" style="1407" customWidth="1"/>
    <col min="10243" max="10243" width="15.6640625" style="1407" customWidth="1"/>
    <col min="10244" max="10244" width="9.33203125" style="1407" bestFit="1" customWidth="1"/>
    <col min="10245" max="10245" width="13.44140625" style="1407" customWidth="1"/>
    <col min="10246" max="10246" width="9" style="1407"/>
    <col min="10247" max="10247" width="9.33203125" style="1407" bestFit="1" customWidth="1"/>
    <col min="10248" max="10249" width="9" style="1407"/>
    <col min="10250" max="10250" width="9.33203125" style="1407" bestFit="1" customWidth="1"/>
    <col min="10251" max="10251" width="4" style="1407" customWidth="1"/>
    <col min="10252" max="10252" width="5.109375" style="1407" customWidth="1"/>
    <col min="10253" max="10253" width="13.77734375" style="1407" customWidth="1"/>
    <col min="10254" max="10496" width="9" style="1407"/>
    <col min="10497" max="10497" width="4.88671875" style="1407" customWidth="1"/>
    <col min="10498" max="10498" width="13.21875" style="1407" customWidth="1"/>
    <col min="10499" max="10499" width="15.6640625" style="1407" customWidth="1"/>
    <col min="10500" max="10500" width="9.33203125" style="1407" bestFit="1" customWidth="1"/>
    <col min="10501" max="10501" width="13.44140625" style="1407" customWidth="1"/>
    <col min="10502" max="10502" width="9" style="1407"/>
    <col min="10503" max="10503" width="9.33203125" style="1407" bestFit="1" customWidth="1"/>
    <col min="10504" max="10505" width="9" style="1407"/>
    <col min="10506" max="10506" width="9.33203125" style="1407" bestFit="1" customWidth="1"/>
    <col min="10507" max="10507" width="4" style="1407" customWidth="1"/>
    <col min="10508" max="10508" width="5.109375" style="1407" customWidth="1"/>
    <col min="10509" max="10509" width="13.77734375" style="1407" customWidth="1"/>
    <col min="10510" max="10752" width="9" style="1407"/>
    <col min="10753" max="10753" width="4.88671875" style="1407" customWidth="1"/>
    <col min="10754" max="10754" width="13.21875" style="1407" customWidth="1"/>
    <col min="10755" max="10755" width="15.6640625" style="1407" customWidth="1"/>
    <col min="10756" max="10756" width="9.33203125" style="1407" bestFit="1" customWidth="1"/>
    <col min="10757" max="10757" width="13.44140625" style="1407" customWidth="1"/>
    <col min="10758" max="10758" width="9" style="1407"/>
    <col min="10759" max="10759" width="9.33203125" style="1407" bestFit="1" customWidth="1"/>
    <col min="10760" max="10761" width="9" style="1407"/>
    <col min="10762" max="10762" width="9.33203125" style="1407" bestFit="1" customWidth="1"/>
    <col min="10763" max="10763" width="4" style="1407" customWidth="1"/>
    <col min="10764" max="10764" width="5.109375" style="1407" customWidth="1"/>
    <col min="10765" max="10765" width="13.77734375" style="1407" customWidth="1"/>
    <col min="10766" max="11008" width="9" style="1407"/>
    <col min="11009" max="11009" width="4.88671875" style="1407" customWidth="1"/>
    <col min="11010" max="11010" width="13.21875" style="1407" customWidth="1"/>
    <col min="11011" max="11011" width="15.6640625" style="1407" customWidth="1"/>
    <col min="11012" max="11012" width="9.33203125" style="1407" bestFit="1" customWidth="1"/>
    <col min="11013" max="11013" width="13.44140625" style="1407" customWidth="1"/>
    <col min="11014" max="11014" width="9" style="1407"/>
    <col min="11015" max="11015" width="9.33203125" style="1407" bestFit="1" customWidth="1"/>
    <col min="11016" max="11017" width="9" style="1407"/>
    <col min="11018" max="11018" width="9.33203125" style="1407" bestFit="1" customWidth="1"/>
    <col min="11019" max="11019" width="4" style="1407" customWidth="1"/>
    <col min="11020" max="11020" width="5.109375" style="1407" customWidth="1"/>
    <col min="11021" max="11021" width="13.77734375" style="1407" customWidth="1"/>
    <col min="11022" max="11264" width="9" style="1407"/>
    <col min="11265" max="11265" width="4.88671875" style="1407" customWidth="1"/>
    <col min="11266" max="11266" width="13.21875" style="1407" customWidth="1"/>
    <col min="11267" max="11267" width="15.6640625" style="1407" customWidth="1"/>
    <col min="11268" max="11268" width="9.33203125" style="1407" bestFit="1" customWidth="1"/>
    <col min="11269" max="11269" width="13.44140625" style="1407" customWidth="1"/>
    <col min="11270" max="11270" width="9" style="1407"/>
    <col min="11271" max="11271" width="9.33203125" style="1407" bestFit="1" customWidth="1"/>
    <col min="11272" max="11273" width="9" style="1407"/>
    <col min="11274" max="11274" width="9.33203125" style="1407" bestFit="1" customWidth="1"/>
    <col min="11275" max="11275" width="4" style="1407" customWidth="1"/>
    <col min="11276" max="11276" width="5.109375" style="1407" customWidth="1"/>
    <col min="11277" max="11277" width="13.77734375" style="1407" customWidth="1"/>
    <col min="11278" max="11520" width="9" style="1407"/>
    <col min="11521" max="11521" width="4.88671875" style="1407" customWidth="1"/>
    <col min="11522" max="11522" width="13.21875" style="1407" customWidth="1"/>
    <col min="11523" max="11523" width="15.6640625" style="1407" customWidth="1"/>
    <col min="11524" max="11524" width="9.33203125" style="1407" bestFit="1" customWidth="1"/>
    <col min="11525" max="11525" width="13.44140625" style="1407" customWidth="1"/>
    <col min="11526" max="11526" width="9" style="1407"/>
    <col min="11527" max="11527" width="9.33203125" style="1407" bestFit="1" customWidth="1"/>
    <col min="11528" max="11529" width="9" style="1407"/>
    <col min="11530" max="11530" width="9.33203125" style="1407" bestFit="1" customWidth="1"/>
    <col min="11531" max="11531" width="4" style="1407" customWidth="1"/>
    <col min="11532" max="11532" width="5.109375" style="1407" customWidth="1"/>
    <col min="11533" max="11533" width="13.77734375" style="1407" customWidth="1"/>
    <col min="11534" max="11776" width="9" style="1407"/>
    <col min="11777" max="11777" width="4.88671875" style="1407" customWidth="1"/>
    <col min="11778" max="11778" width="13.21875" style="1407" customWidth="1"/>
    <col min="11779" max="11779" width="15.6640625" style="1407" customWidth="1"/>
    <col min="11780" max="11780" width="9.33203125" style="1407" bestFit="1" customWidth="1"/>
    <col min="11781" max="11781" width="13.44140625" style="1407" customWidth="1"/>
    <col min="11782" max="11782" width="9" style="1407"/>
    <col min="11783" max="11783" width="9.33203125" style="1407" bestFit="1" customWidth="1"/>
    <col min="11784" max="11785" width="9" style="1407"/>
    <col min="11786" max="11786" width="9.33203125" style="1407" bestFit="1" customWidth="1"/>
    <col min="11787" max="11787" width="4" style="1407" customWidth="1"/>
    <col min="11788" max="11788" width="5.109375" style="1407" customWidth="1"/>
    <col min="11789" max="11789" width="13.77734375" style="1407" customWidth="1"/>
    <col min="11790" max="12032" width="9" style="1407"/>
    <col min="12033" max="12033" width="4.88671875" style="1407" customWidth="1"/>
    <col min="12034" max="12034" width="13.21875" style="1407" customWidth="1"/>
    <col min="12035" max="12035" width="15.6640625" style="1407" customWidth="1"/>
    <col min="12036" max="12036" width="9.33203125" style="1407" bestFit="1" customWidth="1"/>
    <col min="12037" max="12037" width="13.44140625" style="1407" customWidth="1"/>
    <col min="12038" max="12038" width="9" style="1407"/>
    <col min="12039" max="12039" width="9.33203125" style="1407" bestFit="1" customWidth="1"/>
    <col min="12040" max="12041" width="9" style="1407"/>
    <col min="12042" max="12042" width="9.33203125" style="1407" bestFit="1" customWidth="1"/>
    <col min="12043" max="12043" width="4" style="1407" customWidth="1"/>
    <col min="12044" max="12044" width="5.109375" style="1407" customWidth="1"/>
    <col min="12045" max="12045" width="13.77734375" style="1407" customWidth="1"/>
    <col min="12046" max="12288" width="9" style="1407"/>
    <col min="12289" max="12289" width="4.88671875" style="1407" customWidth="1"/>
    <col min="12290" max="12290" width="13.21875" style="1407" customWidth="1"/>
    <col min="12291" max="12291" width="15.6640625" style="1407" customWidth="1"/>
    <col min="12292" max="12292" width="9.33203125" style="1407" bestFit="1" customWidth="1"/>
    <col min="12293" max="12293" width="13.44140625" style="1407" customWidth="1"/>
    <col min="12294" max="12294" width="9" style="1407"/>
    <col min="12295" max="12295" width="9.33203125" style="1407" bestFit="1" customWidth="1"/>
    <col min="12296" max="12297" width="9" style="1407"/>
    <col min="12298" max="12298" width="9.33203125" style="1407" bestFit="1" customWidth="1"/>
    <col min="12299" max="12299" width="4" style="1407" customWidth="1"/>
    <col min="12300" max="12300" width="5.109375" style="1407" customWidth="1"/>
    <col min="12301" max="12301" width="13.77734375" style="1407" customWidth="1"/>
    <col min="12302" max="12544" width="9" style="1407"/>
    <col min="12545" max="12545" width="4.88671875" style="1407" customWidth="1"/>
    <col min="12546" max="12546" width="13.21875" style="1407" customWidth="1"/>
    <col min="12547" max="12547" width="15.6640625" style="1407" customWidth="1"/>
    <col min="12548" max="12548" width="9.33203125" style="1407" bestFit="1" customWidth="1"/>
    <col min="12549" max="12549" width="13.44140625" style="1407" customWidth="1"/>
    <col min="12550" max="12550" width="9" style="1407"/>
    <col min="12551" max="12551" width="9.33203125" style="1407" bestFit="1" customWidth="1"/>
    <col min="12552" max="12553" width="9" style="1407"/>
    <col min="12554" max="12554" width="9.33203125" style="1407" bestFit="1" customWidth="1"/>
    <col min="12555" max="12555" width="4" style="1407" customWidth="1"/>
    <col min="12556" max="12556" width="5.109375" style="1407" customWidth="1"/>
    <col min="12557" max="12557" width="13.77734375" style="1407" customWidth="1"/>
    <col min="12558" max="12800" width="9" style="1407"/>
    <col min="12801" max="12801" width="4.88671875" style="1407" customWidth="1"/>
    <col min="12802" max="12802" width="13.21875" style="1407" customWidth="1"/>
    <col min="12803" max="12803" width="15.6640625" style="1407" customWidth="1"/>
    <col min="12804" max="12804" width="9.33203125" style="1407" bestFit="1" customWidth="1"/>
    <col min="12805" max="12805" width="13.44140625" style="1407" customWidth="1"/>
    <col min="12806" max="12806" width="9" style="1407"/>
    <col min="12807" max="12807" width="9.33203125" style="1407" bestFit="1" customWidth="1"/>
    <col min="12808" max="12809" width="9" style="1407"/>
    <col min="12810" max="12810" width="9.33203125" style="1407" bestFit="1" customWidth="1"/>
    <col min="12811" max="12811" width="4" style="1407" customWidth="1"/>
    <col min="12812" max="12812" width="5.109375" style="1407" customWidth="1"/>
    <col min="12813" max="12813" width="13.77734375" style="1407" customWidth="1"/>
    <col min="12814" max="13056" width="9" style="1407"/>
    <col min="13057" max="13057" width="4.88671875" style="1407" customWidth="1"/>
    <col min="13058" max="13058" width="13.21875" style="1407" customWidth="1"/>
    <col min="13059" max="13059" width="15.6640625" style="1407" customWidth="1"/>
    <col min="13060" max="13060" width="9.33203125" style="1407" bestFit="1" customWidth="1"/>
    <col min="13061" max="13061" width="13.44140625" style="1407" customWidth="1"/>
    <col min="13062" max="13062" width="9" style="1407"/>
    <col min="13063" max="13063" width="9.33203125" style="1407" bestFit="1" customWidth="1"/>
    <col min="13064" max="13065" width="9" style="1407"/>
    <col min="13066" max="13066" width="9.33203125" style="1407" bestFit="1" customWidth="1"/>
    <col min="13067" max="13067" width="4" style="1407" customWidth="1"/>
    <col min="13068" max="13068" width="5.109375" style="1407" customWidth="1"/>
    <col min="13069" max="13069" width="13.77734375" style="1407" customWidth="1"/>
    <col min="13070" max="13312" width="9" style="1407"/>
    <col min="13313" max="13313" width="4.88671875" style="1407" customWidth="1"/>
    <col min="13314" max="13314" width="13.21875" style="1407" customWidth="1"/>
    <col min="13315" max="13315" width="15.6640625" style="1407" customWidth="1"/>
    <col min="13316" max="13316" width="9.33203125" style="1407" bestFit="1" customWidth="1"/>
    <col min="13317" max="13317" width="13.44140625" style="1407" customWidth="1"/>
    <col min="13318" max="13318" width="9" style="1407"/>
    <col min="13319" max="13319" width="9.33203125" style="1407" bestFit="1" customWidth="1"/>
    <col min="13320" max="13321" width="9" style="1407"/>
    <col min="13322" max="13322" width="9.33203125" style="1407" bestFit="1" customWidth="1"/>
    <col min="13323" max="13323" width="4" style="1407" customWidth="1"/>
    <col min="13324" max="13324" width="5.109375" style="1407" customWidth="1"/>
    <col min="13325" max="13325" width="13.77734375" style="1407" customWidth="1"/>
    <col min="13326" max="13568" width="9" style="1407"/>
    <col min="13569" max="13569" width="4.88671875" style="1407" customWidth="1"/>
    <col min="13570" max="13570" width="13.21875" style="1407" customWidth="1"/>
    <col min="13571" max="13571" width="15.6640625" style="1407" customWidth="1"/>
    <col min="13572" max="13572" width="9.33203125" style="1407" bestFit="1" customWidth="1"/>
    <col min="13573" max="13573" width="13.44140625" style="1407" customWidth="1"/>
    <col min="13574" max="13574" width="9" style="1407"/>
    <col min="13575" max="13575" width="9.33203125" style="1407" bestFit="1" customWidth="1"/>
    <col min="13576" max="13577" width="9" style="1407"/>
    <col min="13578" max="13578" width="9.33203125" style="1407" bestFit="1" customWidth="1"/>
    <col min="13579" max="13579" width="4" style="1407" customWidth="1"/>
    <col min="13580" max="13580" width="5.109375" style="1407" customWidth="1"/>
    <col min="13581" max="13581" width="13.77734375" style="1407" customWidth="1"/>
    <col min="13582" max="13824" width="9" style="1407"/>
    <col min="13825" max="13825" width="4.88671875" style="1407" customWidth="1"/>
    <col min="13826" max="13826" width="13.21875" style="1407" customWidth="1"/>
    <col min="13827" max="13827" width="15.6640625" style="1407" customWidth="1"/>
    <col min="13828" max="13828" width="9.33203125" style="1407" bestFit="1" customWidth="1"/>
    <col min="13829" max="13829" width="13.44140625" style="1407" customWidth="1"/>
    <col min="13830" max="13830" width="9" style="1407"/>
    <col min="13831" max="13831" width="9.33203125" style="1407" bestFit="1" customWidth="1"/>
    <col min="13832" max="13833" width="9" style="1407"/>
    <col min="13834" max="13834" width="9.33203125" style="1407" bestFit="1" customWidth="1"/>
    <col min="13835" max="13835" width="4" style="1407" customWidth="1"/>
    <col min="13836" max="13836" width="5.109375" style="1407" customWidth="1"/>
    <col min="13837" max="13837" width="13.77734375" style="1407" customWidth="1"/>
    <col min="13838" max="14080" width="9" style="1407"/>
    <col min="14081" max="14081" width="4.88671875" style="1407" customWidth="1"/>
    <col min="14082" max="14082" width="13.21875" style="1407" customWidth="1"/>
    <col min="14083" max="14083" width="15.6640625" style="1407" customWidth="1"/>
    <col min="14084" max="14084" width="9.33203125" style="1407" bestFit="1" customWidth="1"/>
    <col min="14085" max="14085" width="13.44140625" style="1407" customWidth="1"/>
    <col min="14086" max="14086" width="9" style="1407"/>
    <col min="14087" max="14087" width="9.33203125" style="1407" bestFit="1" customWidth="1"/>
    <col min="14088" max="14089" width="9" style="1407"/>
    <col min="14090" max="14090" width="9.33203125" style="1407" bestFit="1" customWidth="1"/>
    <col min="14091" max="14091" width="4" style="1407" customWidth="1"/>
    <col min="14092" max="14092" width="5.109375" style="1407" customWidth="1"/>
    <col min="14093" max="14093" width="13.77734375" style="1407" customWidth="1"/>
    <col min="14094" max="14336" width="9" style="1407"/>
    <col min="14337" max="14337" width="4.88671875" style="1407" customWidth="1"/>
    <col min="14338" max="14338" width="13.21875" style="1407" customWidth="1"/>
    <col min="14339" max="14339" width="15.6640625" style="1407" customWidth="1"/>
    <col min="14340" max="14340" width="9.33203125" style="1407" bestFit="1" customWidth="1"/>
    <col min="14341" max="14341" width="13.44140625" style="1407" customWidth="1"/>
    <col min="14342" max="14342" width="9" style="1407"/>
    <col min="14343" max="14343" width="9.33203125" style="1407" bestFit="1" customWidth="1"/>
    <col min="14344" max="14345" width="9" style="1407"/>
    <col min="14346" max="14346" width="9.33203125" style="1407" bestFit="1" customWidth="1"/>
    <col min="14347" max="14347" width="4" style="1407" customWidth="1"/>
    <col min="14348" max="14348" width="5.109375" style="1407" customWidth="1"/>
    <col min="14349" max="14349" width="13.77734375" style="1407" customWidth="1"/>
    <col min="14350" max="14592" width="9" style="1407"/>
    <col min="14593" max="14593" width="4.88671875" style="1407" customWidth="1"/>
    <col min="14594" max="14594" width="13.21875" style="1407" customWidth="1"/>
    <col min="14595" max="14595" width="15.6640625" style="1407" customWidth="1"/>
    <col min="14596" max="14596" width="9.33203125" style="1407" bestFit="1" customWidth="1"/>
    <col min="14597" max="14597" width="13.44140625" style="1407" customWidth="1"/>
    <col min="14598" max="14598" width="9" style="1407"/>
    <col min="14599" max="14599" width="9.33203125" style="1407" bestFit="1" customWidth="1"/>
    <col min="14600" max="14601" width="9" style="1407"/>
    <col min="14602" max="14602" width="9.33203125" style="1407" bestFit="1" customWidth="1"/>
    <col min="14603" max="14603" width="4" style="1407" customWidth="1"/>
    <col min="14604" max="14604" width="5.109375" style="1407" customWidth="1"/>
    <col min="14605" max="14605" width="13.77734375" style="1407" customWidth="1"/>
    <col min="14606" max="14848" width="9" style="1407"/>
    <col min="14849" max="14849" width="4.88671875" style="1407" customWidth="1"/>
    <col min="14850" max="14850" width="13.21875" style="1407" customWidth="1"/>
    <col min="14851" max="14851" width="15.6640625" style="1407" customWidth="1"/>
    <col min="14852" max="14852" width="9.33203125" style="1407" bestFit="1" customWidth="1"/>
    <col min="14853" max="14853" width="13.44140625" style="1407" customWidth="1"/>
    <col min="14854" max="14854" width="9" style="1407"/>
    <col min="14855" max="14855" width="9.33203125" style="1407" bestFit="1" customWidth="1"/>
    <col min="14856" max="14857" width="9" style="1407"/>
    <col min="14858" max="14858" width="9.33203125" style="1407" bestFit="1" customWidth="1"/>
    <col min="14859" max="14859" width="4" style="1407" customWidth="1"/>
    <col min="14860" max="14860" width="5.109375" style="1407" customWidth="1"/>
    <col min="14861" max="14861" width="13.77734375" style="1407" customWidth="1"/>
    <col min="14862" max="15104" width="9" style="1407"/>
    <col min="15105" max="15105" width="4.88671875" style="1407" customWidth="1"/>
    <col min="15106" max="15106" width="13.21875" style="1407" customWidth="1"/>
    <col min="15107" max="15107" width="15.6640625" style="1407" customWidth="1"/>
    <col min="15108" max="15108" width="9.33203125" style="1407" bestFit="1" customWidth="1"/>
    <col min="15109" max="15109" width="13.44140625" style="1407" customWidth="1"/>
    <col min="15110" max="15110" width="9" style="1407"/>
    <col min="15111" max="15111" width="9.33203125" style="1407" bestFit="1" customWidth="1"/>
    <col min="15112" max="15113" width="9" style="1407"/>
    <col min="15114" max="15114" width="9.33203125" style="1407" bestFit="1" customWidth="1"/>
    <col min="15115" max="15115" width="4" style="1407" customWidth="1"/>
    <col min="15116" max="15116" width="5.109375" style="1407" customWidth="1"/>
    <col min="15117" max="15117" width="13.77734375" style="1407" customWidth="1"/>
    <col min="15118" max="15360" width="9" style="1407"/>
    <col min="15361" max="15361" width="4.88671875" style="1407" customWidth="1"/>
    <col min="15362" max="15362" width="13.21875" style="1407" customWidth="1"/>
    <col min="15363" max="15363" width="15.6640625" style="1407" customWidth="1"/>
    <col min="15364" max="15364" width="9.33203125" style="1407" bestFit="1" customWidth="1"/>
    <col min="15365" max="15365" width="13.44140625" style="1407" customWidth="1"/>
    <col min="15366" max="15366" width="9" style="1407"/>
    <col min="15367" max="15367" width="9.33203125" style="1407" bestFit="1" customWidth="1"/>
    <col min="15368" max="15369" width="9" style="1407"/>
    <col min="15370" max="15370" width="9.33203125" style="1407" bestFit="1" customWidth="1"/>
    <col min="15371" max="15371" width="4" style="1407" customWidth="1"/>
    <col min="15372" max="15372" width="5.109375" style="1407" customWidth="1"/>
    <col min="15373" max="15373" width="13.77734375" style="1407" customWidth="1"/>
    <col min="15374" max="15616" width="9" style="1407"/>
    <col min="15617" max="15617" width="4.88671875" style="1407" customWidth="1"/>
    <col min="15618" max="15618" width="13.21875" style="1407" customWidth="1"/>
    <col min="15619" max="15619" width="15.6640625" style="1407" customWidth="1"/>
    <col min="15620" max="15620" width="9.33203125" style="1407" bestFit="1" customWidth="1"/>
    <col min="15621" max="15621" width="13.44140625" style="1407" customWidth="1"/>
    <col min="15622" max="15622" width="9" style="1407"/>
    <col min="15623" max="15623" width="9.33203125" style="1407" bestFit="1" customWidth="1"/>
    <col min="15624" max="15625" width="9" style="1407"/>
    <col min="15626" max="15626" width="9.33203125" style="1407" bestFit="1" customWidth="1"/>
    <col min="15627" max="15627" width="4" style="1407" customWidth="1"/>
    <col min="15628" max="15628" width="5.109375" style="1407" customWidth="1"/>
    <col min="15629" max="15629" width="13.77734375" style="1407" customWidth="1"/>
    <col min="15630" max="15872" width="9" style="1407"/>
    <col min="15873" max="15873" width="4.88671875" style="1407" customWidth="1"/>
    <col min="15874" max="15874" width="13.21875" style="1407" customWidth="1"/>
    <col min="15875" max="15875" width="15.6640625" style="1407" customWidth="1"/>
    <col min="15876" max="15876" width="9.33203125" style="1407" bestFit="1" customWidth="1"/>
    <col min="15877" max="15877" width="13.44140625" style="1407" customWidth="1"/>
    <col min="15878" max="15878" width="9" style="1407"/>
    <col min="15879" max="15879" width="9.33203125" style="1407" bestFit="1" customWidth="1"/>
    <col min="15880" max="15881" width="9" style="1407"/>
    <col min="15882" max="15882" width="9.33203125" style="1407" bestFit="1" customWidth="1"/>
    <col min="15883" max="15883" width="4" style="1407" customWidth="1"/>
    <col min="15884" max="15884" width="5.109375" style="1407" customWidth="1"/>
    <col min="15885" max="15885" width="13.77734375" style="1407" customWidth="1"/>
    <col min="15886" max="16128" width="9" style="1407"/>
    <col min="16129" max="16129" width="4.88671875" style="1407" customWidth="1"/>
    <col min="16130" max="16130" width="13.21875" style="1407" customWidth="1"/>
    <col min="16131" max="16131" width="15.6640625" style="1407" customWidth="1"/>
    <col min="16132" max="16132" width="9.33203125" style="1407" bestFit="1" customWidth="1"/>
    <col min="16133" max="16133" width="13.44140625" style="1407" customWidth="1"/>
    <col min="16134" max="16134" width="9" style="1407"/>
    <col min="16135" max="16135" width="9.33203125" style="1407" bestFit="1" customWidth="1"/>
    <col min="16136" max="16137" width="9" style="1407"/>
    <col min="16138" max="16138" width="9.33203125" style="1407" bestFit="1" customWidth="1"/>
    <col min="16139" max="16139" width="4" style="1407" customWidth="1"/>
    <col min="16140" max="16140" width="5.109375" style="1407" customWidth="1"/>
    <col min="16141" max="16141" width="13.77734375" style="1407" customWidth="1"/>
    <col min="16142" max="16384" width="9" style="1407"/>
  </cols>
  <sheetData>
    <row r="1" spans="1:257" s="1471" customFormat="1" ht="15" thickBot="1">
      <c r="A1" s="1465"/>
      <c r="B1" s="1472" t="s">
        <v>1267</v>
      </c>
      <c r="C1" s="1466">
        <f>项目基本情况!D3</f>
        <v>44209</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6"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399999999999999">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2">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31.2">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6.8">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20" t="s">
        <v>1338</v>
      </c>
      <c r="E1" s="1514" t="s">
        <v>1342</v>
      </c>
      <c r="F1" s="1515" t="s">
        <v>1346</v>
      </c>
    </row>
    <row r="2" spans="1:13" ht="19.8">
      <c r="A2" s="1521" t="s">
        <v>1339</v>
      </c>
    </row>
    <row r="3" spans="1:13" ht="15.6">
      <c r="A3" s="1522" t="s">
        <v>1340</v>
      </c>
    </row>
    <row r="4" spans="1:13">
      <c r="A4" s="1512" t="s">
        <v>1341</v>
      </c>
      <c r="B4" s="1517" t="s">
        <v>1343</v>
      </c>
      <c r="C4" s="1518"/>
      <c r="D4" s="1519"/>
      <c r="E4" s="1517" t="s">
        <v>27</v>
      </c>
      <c r="F4" s="1518"/>
      <c r="G4" s="1519"/>
      <c r="H4" s="1517" t="s">
        <v>1344</v>
      </c>
      <c r="I4" s="1518"/>
      <c r="J4" s="1519"/>
      <c r="K4" s="1517" t="s">
        <v>6</v>
      </c>
      <c r="L4" s="1518"/>
      <c r="M4" s="1519"/>
    </row>
    <row r="5" spans="1:13">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4" customWidth="1"/>
    <col min="2" max="9" width="12.109375" style="1664" customWidth="1"/>
    <col min="10" max="16384" width="9" style="1664"/>
  </cols>
  <sheetData>
    <row r="1" spans="1:9" ht="18" thickBot="1">
      <c r="A1" s="3111" t="str">
        <f>IF(项目基本情况!B9="房地产市场价值","估价结果一览表","结果表-2")</f>
        <v>估价结果一览表</v>
      </c>
      <c r="B1" s="3111"/>
      <c r="C1" s="3111"/>
      <c r="D1" s="3111"/>
      <c r="E1" s="3111"/>
      <c r="F1" s="3111"/>
      <c r="G1" s="3111"/>
      <c r="H1" s="3111"/>
      <c r="I1" s="3111"/>
    </row>
    <row r="2" spans="1:9" ht="30" customHeight="1" thickTop="1">
      <c r="A2" s="3112" t="s">
        <v>1606</v>
      </c>
      <c r="B2" s="3112" t="s">
        <v>1607</v>
      </c>
      <c r="C2" s="3112" t="s">
        <v>1608</v>
      </c>
      <c r="D2" s="3112" t="str">
        <f>结果表!D116</f>
        <v>出让国有建设用地使用权价值</v>
      </c>
      <c r="E2" s="3112"/>
      <c r="F2" s="3112" t="str">
        <f>结果表!F116</f>
        <v>在建建筑物价值</v>
      </c>
      <c r="G2" s="3112"/>
      <c r="H2" s="3112" t="str">
        <f>IF(项目基本情况!B9="房地产市场价值","房地产市场价值","房地产价值")</f>
        <v>房地产市场价值</v>
      </c>
      <c r="I2" s="3112"/>
    </row>
    <row r="3" spans="1:9" ht="15.6">
      <c r="A3" s="3106"/>
      <c r="B3" s="3106"/>
      <c r="C3" s="3106"/>
      <c r="D3" s="963" t="s">
        <v>1603</v>
      </c>
      <c r="E3" s="963" t="s">
        <v>1609</v>
      </c>
      <c r="F3" s="963" t="s">
        <v>1603</v>
      </c>
      <c r="G3" s="963" t="s">
        <v>1604</v>
      </c>
      <c r="H3" s="963" t="s">
        <v>1603</v>
      </c>
      <c r="I3" s="963" t="s">
        <v>1604</v>
      </c>
    </row>
    <row r="4" spans="1:9" ht="15">
      <c r="A4" s="1692" t="str">
        <f>项目基本情况!S2</f>
        <v>北京市房地产</v>
      </c>
      <c r="B4" s="963">
        <f>项目基本情况!C17</f>
        <v>671.51000000000022</v>
      </c>
      <c r="C4" s="963">
        <f>项目基本情况!C18</f>
        <v>0</v>
      </c>
      <c r="D4" s="963" t="e">
        <f ca="1">结果表!D118</f>
        <v>#REF!</v>
      </c>
      <c r="E4" s="963" t="e">
        <f ca="1">结果表!E118</f>
        <v>#REF!</v>
      </c>
      <c r="F4" s="963" t="e">
        <f ca="1">结果表!F118</f>
        <v>#REF!</v>
      </c>
      <c r="G4" s="963" t="e">
        <f ca="1">结果表!G118</f>
        <v>#REF!</v>
      </c>
      <c r="H4" s="963">
        <f ca="1">结果表!H118</f>
        <v>403</v>
      </c>
      <c r="I4" s="963">
        <f ca="1">结果表!I118</f>
        <v>34646</v>
      </c>
    </row>
    <row r="5" spans="1:9" ht="30" customHeight="1">
      <c r="A5" s="3106" t="s">
        <v>1605</v>
      </c>
      <c r="B5" s="3106"/>
      <c r="C5" s="3106"/>
      <c r="D5" s="3107" t="e">
        <f ca="1">结果表!D119</f>
        <v>#REF!</v>
      </c>
      <c r="E5" s="3107"/>
      <c r="F5" s="3107" t="e">
        <f ca="1">结果表!F119</f>
        <v>#REF!</v>
      </c>
      <c r="G5" s="3107"/>
      <c r="H5" s="3107" t="str">
        <f ca="1">结果表!H119</f>
        <v>肆佰零叁万元整</v>
      </c>
      <c r="I5" s="3107"/>
    </row>
    <row r="6" spans="1:9" ht="15.6">
      <c r="A6" s="3105" t="str">
        <f>结果表!A120</f>
        <v/>
      </c>
      <c r="B6" s="3105"/>
      <c r="C6" s="3105"/>
      <c r="D6" s="3105">
        <f>结果表!D120</f>
        <v>0</v>
      </c>
      <c r="E6" s="3105"/>
      <c r="F6" s="3105"/>
      <c r="G6" s="3105"/>
      <c r="H6" s="3105"/>
      <c r="I6" s="3105"/>
    </row>
    <row r="7" spans="1:9" ht="15">
      <c r="A7" s="3106" t="s">
        <v>1605</v>
      </c>
      <c r="B7" s="3106"/>
      <c r="C7" s="3106"/>
      <c r="D7" s="3108" t="str">
        <f>结果表!D121</f>
        <v>零元整</v>
      </c>
      <c r="E7" s="3109"/>
      <c r="F7" s="3109"/>
      <c r="G7" s="3109"/>
      <c r="H7" s="3109"/>
      <c r="I7" s="3110"/>
    </row>
    <row r="8" spans="1:9" ht="15.6">
      <c r="A8" s="3105" t="str">
        <f>结果表!A122</f>
        <v/>
      </c>
      <c r="B8" s="3105"/>
      <c r="C8" s="3105"/>
      <c r="D8" s="3105">
        <f ca="1">结果表!D122</f>
        <v>403</v>
      </c>
      <c r="E8" s="3105"/>
      <c r="F8" s="3105"/>
      <c r="G8" s="3105"/>
      <c r="H8" s="3105"/>
      <c r="I8" s="3105"/>
    </row>
    <row r="9" spans="1:9" ht="15">
      <c r="A9" s="3106" t="s">
        <v>1605</v>
      </c>
      <c r="B9" s="3106"/>
      <c r="C9" s="3106"/>
      <c r="D9" s="3107" t="str">
        <f ca="1">结果表!D123</f>
        <v>肆佰零叁万元整</v>
      </c>
      <c r="E9" s="3107"/>
      <c r="F9" s="3107"/>
      <c r="G9" s="3107"/>
      <c r="H9" s="3107"/>
      <c r="I9" s="3107"/>
    </row>
    <row r="10" spans="1:9" ht="15.6">
      <c r="A10" s="3105" t="str">
        <f>结果表!A124</f>
        <v/>
      </c>
      <c r="B10" s="3105"/>
      <c r="C10" s="3105"/>
      <c r="D10" s="3105">
        <f ca="1">结果表!D124</f>
        <v>403</v>
      </c>
      <c r="E10" s="3105"/>
      <c r="F10" s="3105"/>
      <c r="G10" s="3105"/>
      <c r="H10" s="3105"/>
      <c r="I10" s="3105"/>
    </row>
    <row r="11" spans="1:9" ht="15">
      <c r="A11" s="3106" t="s">
        <v>1605</v>
      </c>
      <c r="B11" s="3106"/>
      <c r="C11" s="3106"/>
      <c r="D11" s="3107" t="str">
        <f ca="1">结果表!D125</f>
        <v>肆佰零叁万元整</v>
      </c>
      <c r="E11" s="3107"/>
      <c r="F11" s="3107"/>
      <c r="G11" s="3107"/>
      <c r="H11" s="3107"/>
      <c r="I11" s="3107"/>
    </row>
    <row r="12" spans="1:9" ht="15.6">
      <c r="A12" s="3105" t="str">
        <f>结果表!A126</f>
        <v/>
      </c>
      <c r="B12" s="3105"/>
      <c r="C12" s="3105"/>
      <c r="D12" s="3105">
        <f ca="1">结果表!D126</f>
        <v>76</v>
      </c>
      <c r="E12" s="3105"/>
      <c r="F12" s="3105"/>
      <c r="G12" s="3105"/>
      <c r="H12" s="3105"/>
      <c r="I12" s="3105"/>
    </row>
    <row r="13" spans="1:9" ht="15.6" thickBot="1">
      <c r="A13" s="3102" t="s">
        <v>1605</v>
      </c>
      <c r="B13" s="3102"/>
      <c r="C13" s="3102"/>
      <c r="D13" s="3103" t="str">
        <f ca="1">结果表!D127</f>
        <v>柒拾陆万元整</v>
      </c>
      <c r="E13" s="3103"/>
      <c r="F13" s="3103"/>
      <c r="G13" s="3103"/>
      <c r="H13" s="3103"/>
      <c r="I13" s="3103"/>
    </row>
    <row r="14" spans="1:9" ht="14.4" thickTop="1">
      <c r="A14" s="3104" t="s">
        <v>1610</v>
      </c>
      <c r="B14" s="3104"/>
      <c r="C14" s="3104"/>
      <c r="D14" s="3104"/>
      <c r="E14" s="3104"/>
      <c r="F14" s="3104"/>
      <c r="G14" s="3104"/>
      <c r="H14" s="3104"/>
      <c r="I14" s="3104"/>
    </row>
    <row r="16" spans="1:9" ht="17.399999999999999">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4" customWidth="1"/>
    <col min="2" max="3" width="22.33203125" style="1664" customWidth="1"/>
    <col min="4" max="4" width="23" style="1664" customWidth="1"/>
    <col min="5" max="16384" width="9" style="1664"/>
  </cols>
  <sheetData>
    <row r="1" spans="1:4" ht="17.399999999999999">
      <c r="A1" s="3119" t="s">
        <v>1627</v>
      </c>
      <c r="B1" s="3119"/>
      <c r="C1" s="3119"/>
      <c r="D1" s="3119"/>
    </row>
    <row r="2" spans="1:4" ht="17.399999999999999">
      <c r="A2" s="3120" t="s">
        <v>1611</v>
      </c>
      <c r="B2" s="3120"/>
      <c r="C2" s="3120"/>
      <c r="D2" s="3120"/>
    </row>
    <row r="3" spans="1:4" ht="17.399999999999999">
      <c r="A3" s="1696" t="s">
        <v>1612</v>
      </c>
      <c r="B3" s="1696" t="s">
        <v>1613</v>
      </c>
      <c r="C3" s="1696" t="s">
        <v>1614</v>
      </c>
      <c r="D3" s="1696" t="s">
        <v>1615</v>
      </c>
    </row>
    <row r="4" spans="1:4" ht="56.25" customHeight="1">
      <c r="A4" s="1697" t="str">
        <f>项目基本情况!B4</f>
        <v>王鹏</v>
      </c>
      <c r="B4" s="1698">
        <f ca="1">项目基本情况!C4</f>
        <v>1120050019</v>
      </c>
      <c r="C4" s="1699"/>
      <c r="D4" s="1700" t="s">
        <v>1616</v>
      </c>
    </row>
    <row r="5" spans="1:4" ht="56.25" customHeight="1">
      <c r="A5" s="1697" t="str">
        <f>项目基本情况!D4</f>
        <v>郑燚</v>
      </c>
      <c r="B5" s="1698">
        <f ca="1">项目基本情况!E4</f>
        <v>1120070131</v>
      </c>
      <c r="C5" s="1701"/>
      <c r="D5" s="1700" t="s">
        <v>1616</v>
      </c>
    </row>
    <row r="6" spans="1:4" ht="17.399999999999999">
      <c r="A6" s="3120" t="s">
        <v>1617</v>
      </c>
      <c r="B6" s="3120"/>
      <c r="C6" s="3120"/>
      <c r="D6" s="3120"/>
    </row>
    <row r="7" spans="1:4" ht="17.399999999999999">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7.399999999999999">
      <c r="A10" s="1703" t="s">
        <v>1619</v>
      </c>
      <c r="B10" s="684"/>
      <c r="C10" s="684"/>
      <c r="D10" s="684"/>
    </row>
    <row r="11" spans="1:4" ht="30" customHeight="1">
      <c r="A11" s="3121" t="s">
        <v>1620</v>
      </c>
      <c r="B11" s="3113"/>
      <c r="C11" s="3113"/>
      <c r="D11" s="3113"/>
    </row>
    <row r="12" spans="1:4" ht="15.6">
      <c r="A12" s="31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8"/>
      <c r="C12" s="3118"/>
      <c r="D12" s="3118"/>
    </row>
    <row r="13" spans="1:4" ht="30" customHeight="1">
      <c r="A13" s="31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8"/>
      <c r="C13" s="3118"/>
      <c r="D13" s="3118"/>
    </row>
    <row r="14" spans="1:4" ht="15.75" customHeight="1">
      <c r="A14" s="3113" t="str">
        <f>IF(项目基本情况!B8="抵押","4.本次评估估价师所知悉的法定优先受偿款情况说明如下：","——")</f>
        <v>4.本次评估估价师所知悉的法定优先受偿款情况说明如下：</v>
      </c>
      <c r="B14" s="3118"/>
      <c r="C14" s="3118"/>
      <c r="D14" s="3118"/>
    </row>
    <row r="15" spans="1:4" ht="42" customHeight="1">
      <c r="A15" s="311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3"/>
      <c r="C15" s="3113"/>
      <c r="D15" s="3113"/>
    </row>
    <row r="16" spans="1:4" ht="30" customHeight="1">
      <c r="A16" s="3115" t="s">
        <v>1621</v>
      </c>
      <c r="B16" s="3115"/>
      <c r="C16" s="3115"/>
      <c r="D16" s="3115"/>
    </row>
    <row r="17" spans="1:4" ht="144" customHeight="1">
      <c r="A17" s="3115" t="s">
        <v>1622</v>
      </c>
      <c r="B17" s="3115"/>
      <c r="C17" s="3115"/>
      <c r="D17" s="3115"/>
    </row>
    <row r="18" spans="1:4" ht="15.75" customHeight="1">
      <c r="A18" s="3113" t="str">
        <f>IF(项目基本情况!B8="抵押",结果表!K120,"——")</f>
        <v>故，本次评估不存在</v>
      </c>
      <c r="B18" s="3113"/>
      <c r="C18" s="3113"/>
      <c r="D18" s="3113"/>
    </row>
    <row r="19" spans="1:4" ht="46.5" customHeight="1">
      <c r="A19" s="31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3"/>
      <c r="C19" s="3113"/>
      <c r="D19" s="3113"/>
    </row>
    <row r="20" spans="1:4" ht="57.75" customHeight="1">
      <c r="A20" s="31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3"/>
      <c r="C20" s="3113"/>
      <c r="D20" s="3113"/>
    </row>
    <row r="21" spans="1:4" ht="57.75" customHeight="1">
      <c r="A21" s="31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6"/>
      <c r="C21" s="3116"/>
      <c r="D21" s="3116"/>
    </row>
    <row r="22" spans="1:4" ht="18.75" customHeight="1">
      <c r="A22" s="3117" t="s">
        <v>1623</v>
      </c>
      <c r="B22" s="3117"/>
      <c r="C22" s="3117"/>
      <c r="D22" s="3117"/>
    </row>
    <row r="23" spans="1:4">
      <c r="A23" s="1704"/>
      <c r="B23" s="1676"/>
      <c r="C23" s="1676"/>
      <c r="D23" s="1676"/>
    </row>
    <row r="24" spans="1:4">
      <c r="A24" s="1704"/>
      <c r="B24" s="1676"/>
      <c r="C24" s="1676"/>
      <c r="D24" s="1676"/>
    </row>
    <row r="25" spans="1:4" ht="17.399999999999999">
      <c r="A25" s="1705" t="s">
        <v>1624</v>
      </c>
    </row>
    <row r="26" spans="1:4" ht="17.399999999999999">
      <c r="A26" s="1674"/>
    </row>
    <row r="27" spans="1:4" ht="17.399999999999999">
      <c r="A27" s="1674" t="s">
        <v>1625</v>
      </c>
    </row>
    <row r="30" spans="1:4" ht="17.399999999999999">
      <c r="D30" s="1705" t="s">
        <v>1626</v>
      </c>
    </row>
    <row r="31" spans="1:4" ht="13.5" customHeight="1">
      <c r="C31" s="3114">
        <v>42551</v>
      </c>
      <c r="D31" s="31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62" customWidth="1"/>
    <col min="3" max="10" width="12.44140625" style="1662" customWidth="1"/>
    <col min="11" max="16384" width="9" style="1662"/>
  </cols>
  <sheetData>
    <row r="1" spans="1:10" ht="17.399999999999999">
      <c r="A1" s="1695" t="s">
        <v>838</v>
      </c>
      <c r="B1" s="1706"/>
      <c r="C1" s="1706"/>
      <c r="D1" s="1706"/>
      <c r="E1" s="1706"/>
      <c r="F1" s="1706"/>
      <c r="G1" s="1706"/>
      <c r="H1" s="1706"/>
      <c r="I1" s="1706"/>
      <c r="J1" s="1706"/>
    </row>
    <row r="2" spans="1:10" ht="17.399999999999999">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12" customWidth="1"/>
    <col min="2" max="16384" width="14.44140625" style="1694"/>
  </cols>
  <sheetData>
    <row r="1" spans="1:7" s="1709" customFormat="1" ht="17.399999999999999">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4.4">
      <c r="A15" s="3127" t="s">
        <v>1634</v>
      </c>
      <c r="B15" s="3122" t="s">
        <v>136</v>
      </c>
      <c r="C15" s="3123"/>
    </row>
    <row r="16" spans="1:7" ht="14.4">
      <c r="A16" s="3128"/>
      <c r="B16" s="3122" t="s">
        <v>69</v>
      </c>
      <c r="C16" s="3123"/>
    </row>
    <row r="17" spans="1:3" ht="14.4">
      <c r="A17" s="3128"/>
      <c r="B17" s="3125" t="s">
        <v>1635</v>
      </c>
      <c r="C17" s="1719" t="s">
        <v>1634</v>
      </c>
    </row>
    <row r="18" spans="1:3" ht="14.4">
      <c r="A18" s="3128"/>
      <c r="B18" s="3125"/>
      <c r="C18" s="1719" t="s">
        <v>1636</v>
      </c>
    </row>
    <row r="19" spans="1:3" ht="14.4">
      <c r="A19" s="3128"/>
      <c r="B19" s="3125"/>
      <c r="C19" s="1719" t="s">
        <v>1637</v>
      </c>
    </row>
    <row r="20" spans="1:3" ht="14.4">
      <c r="A20" s="3129"/>
      <c r="B20" s="3124" t="s">
        <v>1638</v>
      </c>
      <c r="C20" s="3123"/>
    </row>
    <row r="21" spans="1:3" ht="14.4">
      <c r="A21" s="1720" t="s">
        <v>1639</v>
      </c>
      <c r="B21" s="1721"/>
      <c r="C21" s="1722"/>
    </row>
    <row r="22" spans="1:3" ht="14.4">
      <c r="A22" s="3126" t="s">
        <v>1640</v>
      </c>
      <c r="B22" s="3124" t="s">
        <v>1641</v>
      </c>
      <c r="C22" s="3123"/>
    </row>
    <row r="23" spans="1:3" ht="14.4">
      <c r="A23" s="3126"/>
      <c r="B23" s="3124" t="s">
        <v>1642</v>
      </c>
      <c r="C23" s="3123"/>
    </row>
    <row r="24" spans="1:3" ht="14.4">
      <c r="A24" s="3126"/>
      <c r="B24" s="3124" t="s">
        <v>1643</v>
      </c>
      <c r="C24" s="3123"/>
    </row>
    <row r="25" spans="1:3" ht="14.4">
      <c r="A25" s="3126"/>
      <c r="B25" s="3125" t="s">
        <v>1644</v>
      </c>
      <c r="C25" s="1719" t="s">
        <v>1645</v>
      </c>
    </row>
    <row r="26" spans="1:3" ht="14.4">
      <c r="A26" s="3126"/>
      <c r="B26" s="3125"/>
      <c r="C26" s="1719" t="s">
        <v>1646</v>
      </c>
    </row>
    <row r="27" spans="1:3" ht="14.4">
      <c r="A27" s="3126"/>
      <c r="B27" s="3125"/>
      <c r="C27" s="1719" t="s">
        <v>1647</v>
      </c>
    </row>
    <row r="28" spans="1:3" ht="14.4">
      <c r="A28" s="3126"/>
      <c r="B28" s="3125"/>
      <c r="C28" s="1719" t="s">
        <v>1648</v>
      </c>
    </row>
    <row r="29" spans="1:3" ht="14.4">
      <c r="A29" s="3126"/>
      <c r="B29" s="3125"/>
      <c r="C29" s="1719" t="s">
        <v>1649</v>
      </c>
    </row>
    <row r="30" spans="1:3" ht="14.4">
      <c r="A30" s="3126"/>
      <c r="B30" s="3125"/>
      <c r="C30" s="1719" t="s">
        <v>1650</v>
      </c>
    </row>
    <row r="31" spans="1:3" ht="14.4">
      <c r="A31" s="3126"/>
      <c r="B31" s="3125"/>
      <c r="C31" s="1719" t="s">
        <v>1651</v>
      </c>
    </row>
    <row r="32" spans="1:3" ht="14.4">
      <c r="A32" s="3126"/>
      <c r="B32" s="3125"/>
      <c r="C32" s="1719" t="s">
        <v>1652</v>
      </c>
    </row>
    <row r="33" spans="1:3" ht="14.4">
      <c r="A33" s="3126"/>
      <c r="B33" s="3125"/>
      <c r="C33" s="1719" t="s">
        <v>1653</v>
      </c>
    </row>
    <row r="34" spans="1:3">
      <c r="A34" s="1723" t="s">
        <v>76</v>
      </c>
    </row>
    <row r="37" spans="1:3">
      <c r="A37" s="1723" t="s">
        <v>1654</v>
      </c>
    </row>
    <row r="38" spans="1:3" ht="14.4">
      <c r="A38" s="1724" t="s">
        <v>77</v>
      </c>
    </row>
    <row r="39" spans="1:3" ht="14.4">
      <c r="A39" s="1724" t="s">
        <v>78</v>
      </c>
    </row>
    <row r="40" spans="1:3" ht="14.4">
      <c r="A40" s="1724" t="s">
        <v>79</v>
      </c>
    </row>
    <row r="41" spans="1:3" ht="14.4">
      <c r="A41" s="1725" t="s">
        <v>80</v>
      </c>
    </row>
    <row r="42" spans="1:3" ht="14.4">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61" customWidth="1"/>
    <col min="2" max="2" width="38.6640625" style="2561" customWidth="1"/>
    <col min="3" max="3" width="26" style="2561" customWidth="1"/>
    <col min="4" max="4" width="35" style="2561" hidden="1" customWidth="1"/>
    <col min="5" max="5" width="30.109375" style="2561" customWidth="1"/>
    <col min="6" max="6" width="35.44140625" style="2561" customWidth="1"/>
    <col min="7" max="7" width="31" style="2561" customWidth="1"/>
    <col min="8" max="8" width="37.44140625" style="2561" hidden="1" customWidth="1"/>
    <col min="9" max="16384" width="22.6640625" style="2561"/>
  </cols>
  <sheetData>
    <row r="1" spans="1:8" ht="24" customHeight="1">
      <c r="A1" s="2560"/>
      <c r="B1" s="2560"/>
      <c r="C1" s="2560"/>
      <c r="D1" s="2560"/>
      <c r="E1" s="2560"/>
      <c r="F1" s="2560"/>
      <c r="G1" s="2560"/>
      <c r="H1" s="2560"/>
    </row>
    <row r="2" spans="1:8" ht="24" customHeight="1">
      <c r="A2" s="2562" t="s">
        <v>2880</v>
      </c>
      <c r="B2" s="2563">
        <f ca="1">TODAY()</f>
        <v>44234</v>
      </c>
      <c r="C2" s="2564" t="s">
        <v>2881</v>
      </c>
      <c r="D2" s="2564"/>
      <c r="E2" s="2564"/>
      <c r="F2" s="2560"/>
      <c r="G2" s="2560"/>
      <c r="H2" s="2560"/>
    </row>
    <row r="3" spans="1:8" ht="24" customHeight="1">
      <c r="A3" s="2565" t="s">
        <v>2882</v>
      </c>
      <c r="B3" s="2566" t="s">
        <v>2883</v>
      </c>
      <c r="C3" s="2566" t="s">
        <v>2884</v>
      </c>
      <c r="D3" s="2567" t="s">
        <v>2885</v>
      </c>
      <c r="E3" s="2568" t="s">
        <v>2886</v>
      </c>
      <c r="F3" s="1474" t="s">
        <v>2887</v>
      </c>
      <c r="G3" s="2566" t="s">
        <v>2884</v>
      </c>
      <c r="H3" s="2567" t="s">
        <v>2888</v>
      </c>
    </row>
    <row r="4" spans="1:8" ht="24" customHeight="1">
      <c r="A4" s="1474" t="s">
        <v>2889</v>
      </c>
      <c r="B4" s="1474">
        <f ca="1">IF(C4&lt;B2,"已过期",1119970066)</f>
        <v>1119970066</v>
      </c>
      <c r="C4" s="2569">
        <v>44876</v>
      </c>
      <c r="D4" s="2570" t="str">
        <f ca="1">A4&amp;"（注册号："&amp;B4&amp;"）"</f>
        <v>梁津（注册号：1119970066）</v>
      </c>
      <c r="E4" s="2571" t="s">
        <v>2889</v>
      </c>
      <c r="F4" s="1474">
        <f ca="1">IF(G4&lt;B2,"已过期",96010014)</f>
        <v>96010014</v>
      </c>
      <c r="G4" s="2572">
        <v>47118</v>
      </c>
      <c r="H4" s="2573" t="str">
        <f ca="1">E4&amp;"（注册号："&amp;F4&amp;"）"</f>
        <v>梁津（注册号：96010014）</v>
      </c>
    </row>
    <row r="5" spans="1:8" ht="24" customHeight="1">
      <c r="A5" s="1474" t="s">
        <v>2890</v>
      </c>
      <c r="B5" s="1474">
        <f ca="1">IF(C5&lt;B2,"已过期",1119970111)</f>
        <v>1119970111</v>
      </c>
      <c r="C5" s="2569">
        <v>44876</v>
      </c>
      <c r="D5" s="2570" t="str">
        <f t="shared" ref="D5:D15" ca="1" si="0">A5&amp;"（注册号："&amp;B5&amp;"）"</f>
        <v>叶凌（注册号：1119970111）</v>
      </c>
      <c r="E5" s="2571" t="s">
        <v>2890</v>
      </c>
      <c r="F5" s="1474">
        <f ca="1">IF(G5&lt;B2,"已过期",94010078)</f>
        <v>94010078</v>
      </c>
      <c r="G5" s="2572">
        <v>46387</v>
      </c>
      <c r="H5" s="2573" t="str">
        <f t="shared" ref="H5:H16" ca="1" si="1">E5&amp;"（注册号："&amp;F5&amp;"）"</f>
        <v>叶凌（注册号：94010078）</v>
      </c>
    </row>
    <row r="6" spans="1:8" ht="24" customHeight="1">
      <c r="A6" s="1474" t="s">
        <v>2891</v>
      </c>
      <c r="B6" s="1474">
        <f ca="1">IF(C6&lt;B2,"已过期",1120050019)</f>
        <v>1120050019</v>
      </c>
      <c r="C6" s="2569">
        <v>44395</v>
      </c>
      <c r="D6" s="2570" t="str">
        <f t="shared" ca="1" si="0"/>
        <v>王鹏（注册号：1120050019）</v>
      </c>
      <c r="E6" s="2571" t="s">
        <v>2891</v>
      </c>
      <c r="F6" s="1474">
        <f ca="1">IF(G6&lt;B2,"已过期",2002110030)</f>
        <v>2002110030</v>
      </c>
      <c r="G6" s="2572">
        <v>46387</v>
      </c>
      <c r="H6" s="2573" t="str">
        <f t="shared" ca="1" si="1"/>
        <v>王鹏（注册号：2002110030）</v>
      </c>
    </row>
    <row r="7" spans="1:8" ht="24" customHeight="1">
      <c r="A7" s="1474" t="s">
        <v>2892</v>
      </c>
      <c r="B7" s="1474">
        <f ca="1">IF(C7&lt;B2,"已过期",1120000080)</f>
        <v>1120000080</v>
      </c>
      <c r="C7" s="2569">
        <v>44876</v>
      </c>
      <c r="D7" s="2570" t="str">
        <f t="shared" ca="1" si="0"/>
        <v>欧红伟（注册号：1120000080）</v>
      </c>
      <c r="E7" s="2571" t="s">
        <v>2892</v>
      </c>
      <c r="F7" s="1474">
        <f ca="1">IF(G7&lt;B2,"已过期",2000110082)</f>
        <v>2000110082</v>
      </c>
      <c r="G7" s="2572">
        <v>46387</v>
      </c>
      <c r="H7" s="2573" t="str">
        <f t="shared" ca="1" si="1"/>
        <v>欧红伟（注册号：2000110082）</v>
      </c>
    </row>
    <row r="8" spans="1:8" ht="24" customHeight="1">
      <c r="A8" s="1474" t="s">
        <v>2893</v>
      </c>
      <c r="B8" s="1474">
        <f ca="1">IF(C8&lt;B2,"已过期",1419970001)</f>
        <v>1419970001</v>
      </c>
      <c r="C8" s="2569">
        <v>44899</v>
      </c>
      <c r="D8" s="2570" t="str">
        <f t="shared" ca="1" si="0"/>
        <v>吴薇（注册号：1419970001）</v>
      </c>
      <c r="E8" s="2571" t="s">
        <v>2893</v>
      </c>
      <c r="F8" s="1474">
        <f ca="1">IF(G8&lt;B2,"已过期",2002110125)</f>
        <v>2002110125</v>
      </c>
      <c r="G8" s="2572">
        <v>47118</v>
      </c>
      <c r="H8" s="2573" t="str">
        <f t="shared" ca="1" si="1"/>
        <v>吴薇（注册号：2002110125）</v>
      </c>
    </row>
    <row r="9" spans="1:8" ht="24" customHeight="1">
      <c r="A9" s="1474" t="s">
        <v>2894</v>
      </c>
      <c r="B9" s="1474">
        <f ca="1">IF(C9&lt;B2,"已过期",1120060040)</f>
        <v>1120060040</v>
      </c>
      <c r="C9" s="2574">
        <v>44554</v>
      </c>
      <c r="D9" s="2570" t="str">
        <f t="shared" ca="1" si="0"/>
        <v>陈颖（注册号：1120060040）</v>
      </c>
      <c r="E9" s="2571" t="s">
        <v>2894</v>
      </c>
      <c r="F9" s="1474">
        <f ca="1">IF(G9&lt;B2,"已过期",2004110096)</f>
        <v>2004110096</v>
      </c>
      <c r="G9" s="2572">
        <v>47118</v>
      </c>
      <c r="H9" s="2573" t="str">
        <f t="shared" ca="1" si="1"/>
        <v>陈颖（注册号：2004110096）</v>
      </c>
    </row>
    <row r="10" spans="1:8" ht="24" customHeight="1">
      <c r="A10" s="1474" t="s">
        <v>2895</v>
      </c>
      <c r="B10" s="1474">
        <f ca="1">IF(C10&lt;B2,"已过期",1120100036)</f>
        <v>1120100036</v>
      </c>
      <c r="C10" s="2574">
        <v>44675</v>
      </c>
      <c r="D10" s="2570" t="str">
        <f t="shared" ca="1" si="0"/>
        <v>崔锴（注册号：1120100036）</v>
      </c>
      <c r="E10" s="2571" t="s">
        <v>2895</v>
      </c>
      <c r="F10" s="1474">
        <f ca="1">IF(G10&lt;B2,"已过期",2010110070)</f>
        <v>2010110070</v>
      </c>
      <c r="G10" s="2572">
        <v>47907</v>
      </c>
      <c r="H10" s="2573" t="str">
        <f t="shared" ca="1" si="1"/>
        <v>崔锴（注册号：2010110070）</v>
      </c>
    </row>
    <row r="11" spans="1:8" ht="24" customHeight="1">
      <c r="A11" s="1474" t="s">
        <v>2896</v>
      </c>
      <c r="B11" s="1474">
        <f ca="1">IF(C11&lt;B2,"已过期",1120070131)</f>
        <v>1120070131</v>
      </c>
      <c r="C11" s="2569">
        <v>44849</v>
      </c>
      <c r="D11" s="2570" t="str">
        <f t="shared" ca="1" si="0"/>
        <v>郑燚（注册号：1120070131）</v>
      </c>
      <c r="E11" s="2571" t="s">
        <v>2896</v>
      </c>
      <c r="F11" s="1474">
        <f ca="1">IF(G11&lt;B2,"已过期",2014110011)</f>
        <v>2014110011</v>
      </c>
      <c r="G11" s="2572">
        <v>49302</v>
      </c>
      <c r="H11" s="2573" t="str">
        <f t="shared" ca="1" si="1"/>
        <v>郑燚（注册号：2014110011）</v>
      </c>
    </row>
    <row r="12" spans="1:8" ht="24" customHeight="1">
      <c r="A12" s="1474" t="s">
        <v>2897</v>
      </c>
      <c r="B12" s="1474">
        <f ca="1">IF(C12&lt;B2,"已过期",1120040230)</f>
        <v>1120040230</v>
      </c>
      <c r="C12" s="2574">
        <v>44864</v>
      </c>
      <c r="D12" s="2570" t="str">
        <f t="shared" ca="1" si="0"/>
        <v>苏海（注册号：1120040230）</v>
      </c>
      <c r="E12" s="2571" t="s">
        <v>2897</v>
      </c>
      <c r="F12" s="1474">
        <f ca="1">IF(G12&lt;B2,"已过期",98030020)</f>
        <v>98030020</v>
      </c>
      <c r="G12" s="2572">
        <v>47118</v>
      </c>
      <c r="H12" s="2573" t="str">
        <f t="shared" ca="1" si="1"/>
        <v>苏海（注册号：98030020）</v>
      </c>
    </row>
    <row r="13" spans="1:8" ht="24" customHeight="1">
      <c r="A13" s="1474" t="s">
        <v>2898</v>
      </c>
      <c r="B13" s="1474">
        <f ca="1">IF(C13&lt;B2,"已过期",1120020033)</f>
        <v>1120020033</v>
      </c>
      <c r="C13" s="2569">
        <v>44339</v>
      </c>
      <c r="D13" s="2570" t="str">
        <f t="shared" ca="1" si="0"/>
        <v>刘敬东（注册号：1120020033）</v>
      </c>
      <c r="E13" s="2571" t="s">
        <v>2898</v>
      </c>
      <c r="F13" s="1474">
        <f ca="1">IF(G13&lt;B2,"已过期",2000110137)</f>
        <v>2000110137</v>
      </c>
      <c r="G13" s="2572">
        <v>46387</v>
      </c>
      <c r="H13" s="2573" t="str">
        <f t="shared" ca="1" si="1"/>
        <v>刘敬东（注册号：2000110137）</v>
      </c>
    </row>
    <row r="14" spans="1:8" ht="24" customHeight="1">
      <c r="A14" s="1474" t="s">
        <v>2899</v>
      </c>
      <c r="B14" s="1474">
        <f ca="1">IF(C14&lt;B2,"已过期",1119980106)</f>
        <v>1119980106</v>
      </c>
      <c r="C14" s="2574">
        <v>44969</v>
      </c>
      <c r="D14" s="2570" t="str">
        <f t="shared" ca="1" si="0"/>
        <v>刘俊财（注册号：1119980106）</v>
      </c>
      <c r="E14" s="2571" t="s">
        <v>2899</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2900</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130" t="s">
        <v>2901</v>
      </c>
      <c r="B17" s="3130"/>
      <c r="C17" s="3130"/>
      <c r="D17" s="3130"/>
      <c r="E17" s="3130"/>
      <c r="F17" s="3130"/>
      <c r="G17" s="3130"/>
      <c r="H17" s="3130"/>
    </row>
    <row r="18" spans="1:8" ht="24" customHeight="1">
      <c r="A18" s="3131" t="s">
        <v>2902</v>
      </c>
      <c r="B18" s="3131"/>
      <c r="C18" s="3131"/>
      <c r="D18" s="2567"/>
      <c r="E18" s="3132" t="s">
        <v>2903</v>
      </c>
      <c r="F18" s="3131"/>
      <c r="G18" s="3131"/>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Sheet1</vt:lpstr>
      <vt:lpstr>案例</vt:lpstr>
      <vt:lpstr>系统读取表</vt:lpstr>
      <vt:lpstr>结果表 (净值)</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2021-02-07T02:35:18Z</dcterms:modified>
</cp:coreProperties>
</file>