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不动产收益法" sheetId="15" r:id="rId20"/>
    <sheet name="比较法-工业" sheetId="40" r:id="rId21"/>
    <sheet name="Sheet1" sheetId="68" r:id="rId22"/>
    <sheet name="剩余法-现房" sheetId="43" state="hidden" r:id="rId23"/>
    <sheet name="比较法-住宅、综合" sheetId="39"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2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3">'比较法-住宅、综合'!$A$1:$K$67,'比较法-住宅、综合'!$A$71:$N$134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19">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22">'剩余法-现房'!$A$1:$K$32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7" i="66" l="1"/>
  <c r="B17" i="66"/>
  <c r="C16" i="66"/>
  <c r="B16" i="66"/>
  <c r="C15" i="66"/>
  <c r="B15" i="66"/>
  <c r="D17" i="66" l="1"/>
  <c r="G17" i="66" l="1"/>
  <c r="D16" i="66" l="1"/>
  <c r="G16" i="66" l="1"/>
  <c r="D15" i="66" l="1"/>
  <c r="G15" i="66" l="1"/>
  <c r="I13" i="3" l="1"/>
  <c r="A3" i="3"/>
  <c r="C11" i="4" l="1"/>
  <c r="B7" i="4"/>
  <c r="D3" i="4"/>
  <c r="F1" i="46" l="1"/>
  <c r="G81" i="46"/>
  <c r="G82" i="46"/>
  <c r="G83" i="46"/>
  <c r="G84" i="46"/>
  <c r="G85" i="46"/>
  <c r="G86" i="46"/>
  <c r="G87" i="46"/>
  <c r="G80" i="46"/>
  <c r="D10" i="69"/>
  <c r="D9" i="69"/>
  <c r="C5" i="69"/>
  <c r="D5" i="69" s="1"/>
  <c r="I43" i="40"/>
  <c r="G43" i="40"/>
  <c r="E43" i="40"/>
  <c r="I36" i="40"/>
  <c r="G36" i="40"/>
  <c r="E36" i="40"/>
  <c r="C36" i="40"/>
  <c r="E68" i="40"/>
  <c r="F68" i="40" s="1"/>
  <c r="G68" i="40" s="1"/>
  <c r="H68" i="40" s="1"/>
  <c r="I68" i="40" s="1"/>
  <c r="J68" i="40" s="1"/>
  <c r="K68" i="40" s="1"/>
  <c r="L68" i="40" s="1"/>
  <c r="M68" i="40" s="1"/>
  <c r="D68" i="40"/>
  <c r="I9" i="40"/>
  <c r="G9" i="40"/>
  <c r="E9" i="40"/>
  <c r="I7" i="40"/>
  <c r="G7" i="40"/>
  <c r="E7" i="40"/>
  <c r="P3" i="68"/>
  <c r="P4" i="68"/>
  <c r="P5" i="68"/>
  <c r="P6" i="68"/>
  <c r="P7" i="68"/>
  <c r="P8" i="68"/>
  <c r="P9" i="68"/>
  <c r="P10" i="68"/>
  <c r="P11" i="68"/>
  <c r="P12" i="68"/>
  <c r="P13" i="68"/>
  <c r="P14" i="68"/>
  <c r="P15" i="68"/>
  <c r="P16" i="68"/>
  <c r="P2" i="68"/>
  <c r="B59" i="1"/>
  <c r="C4" i="69" l="1"/>
  <c r="D4" i="69" s="1"/>
  <c r="C3" i="69"/>
  <c r="D3" i="69" s="1"/>
  <c r="C16" i="11"/>
  <c r="C15" i="11"/>
  <c r="C14" i="11"/>
  <c r="C9" i="11"/>
  <c r="C8" i="11"/>
  <c r="K36" i="36" l="1"/>
  <c r="K38" i="35"/>
  <c r="K42" i="37"/>
  <c r="K49" i="34"/>
  <c r="K48" i="33" l="1"/>
  <c r="K48" i="21"/>
  <c r="F10" i="69" l="1"/>
  <c r="F9" i="69"/>
  <c r="B16" i="69" s="1"/>
  <c r="K44" i="40"/>
  <c r="K49" i="39"/>
  <c r="E77" i="9"/>
  <c r="F77" i="9"/>
  <c r="B13" i="69" l="1"/>
  <c r="G10" i="69"/>
  <c r="AH5" i="59"/>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c r="A14" i="55"/>
  <c r="A10" i="55"/>
  <c r="B61" i="63"/>
  <c r="A9" i="55"/>
  <c r="B60" i="63"/>
  <c r="A8" i="55"/>
  <c r="A6" i="54"/>
  <c r="A8" i="54"/>
  <c r="B53" i="63" s="1"/>
  <c r="A7" i="54"/>
  <c r="A28" i="51"/>
  <c r="N4" i="63" s="1"/>
  <c r="A27" i="51"/>
  <c r="B20" i="63"/>
  <c r="Q17" i="59"/>
  <c r="AB15" i="59"/>
  <c r="O17" i="59"/>
  <c r="Y15" i="59"/>
  <c r="Z15" i="59"/>
  <c r="N18" i="59"/>
  <c r="O18" i="59"/>
  <c r="P18" i="59"/>
  <c r="Q18" i="59"/>
  <c r="N17" i="59"/>
  <c r="X15" i="59"/>
  <c r="P17" i="59"/>
  <c r="B19" i="59"/>
  <c r="C19" i="59"/>
  <c r="D19" i="59"/>
  <c r="E19" i="59"/>
  <c r="F19" i="59"/>
  <c r="K75" i="9"/>
  <c r="K6" i="4"/>
  <c r="O76" i="9" s="1"/>
  <c r="L76" i="9"/>
  <c r="B22" i="31"/>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s="1"/>
  <c r="D86" i="46"/>
  <c r="K86" i="46"/>
  <c r="J86" i="46"/>
  <c r="M85" i="46"/>
  <c r="N85" i="46"/>
  <c r="K85" i="46"/>
  <c r="D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E58" i="46" s="1"/>
  <c r="B56" i="46" s="1"/>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C12" i="40" s="1"/>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G5" i="3" s="1"/>
  <c r="BH13" i="3"/>
  <c r="BH5" i="3" s="1"/>
  <c r="BI13" i="3"/>
  <c r="BI5" i="3"/>
  <c r="BJ13" i="3"/>
  <c r="BK13" i="3"/>
  <c r="BM13" i="3"/>
  <c r="BN13" i="3"/>
  <c r="BL13" i="3" s="1"/>
  <c r="BO13" i="3"/>
  <c r="BP13" i="3"/>
  <c r="BS13" i="3"/>
  <c r="BT13" i="3"/>
  <c r="BT5" i="3" s="1"/>
  <c r="G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C13" i="40" s="1"/>
  <c r="H13" i="40" s="1"/>
  <c r="AZ15" i="3"/>
  <c r="G5" i="3"/>
  <c r="B3" i="3" s="1"/>
  <c r="BK5" i="3"/>
  <c r="BO5" i="3"/>
  <c r="BP5" i="3"/>
  <c r="BN5" i="3"/>
  <c r="BL18" i="3"/>
  <c r="AZ18" i="3"/>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D69" i="46"/>
  <c r="E69" i="46"/>
  <c r="B67" i="46" s="1"/>
  <c r="E47" i="46"/>
  <c r="B45" i="46" s="1"/>
  <c r="A4" i="64"/>
  <c r="A4" i="51"/>
  <c r="C51" i="10"/>
  <c r="I100" i="46"/>
  <c r="N100" i="46"/>
  <c r="H100" i="46"/>
  <c r="F108" i="46"/>
  <c r="E100" i="46"/>
  <c r="G100" i="46"/>
  <c r="C100" i="46"/>
  <c r="J100" i="46"/>
  <c r="M100" i="46"/>
  <c r="AA12" i="36"/>
  <c r="U12" i="35"/>
  <c r="AB12" i="35"/>
  <c r="W11" i="35"/>
  <c r="AA11" i="35"/>
  <c r="S14" i="37"/>
  <c r="U13" i="37"/>
  <c r="S13" i="21"/>
  <c r="C24" i="9"/>
  <c r="C25" i="9"/>
  <c r="G9" i="1"/>
  <c r="G8" i="1"/>
  <c r="B6" i="63"/>
  <c r="B46" i="50"/>
  <c r="B4" i="63"/>
  <c r="C46" i="36"/>
  <c r="C48" i="35"/>
  <c r="D48" i="35" s="1"/>
  <c r="E48" i="35" s="1"/>
  <c r="F48" i="35" s="1"/>
  <c r="G48" i="35" s="1"/>
  <c r="C52" i="37"/>
  <c r="D52" i="37" s="1"/>
  <c r="E52" i="37" s="1"/>
  <c r="F52" i="37" s="1"/>
  <c r="G52" i="37" s="1"/>
  <c r="H52" i="37" s="1"/>
  <c r="O19" i="46"/>
  <c r="K17" i="4"/>
  <c r="A22" i="51" s="1"/>
  <c r="B16" i="63" s="1"/>
  <c r="H10" i="48"/>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N6" i="3"/>
  <c r="E41" i="3"/>
  <c r="E280" i="3"/>
  <c r="E471" i="3"/>
  <c r="E59" i="3"/>
  <c r="E418" i="3"/>
  <c r="E270" i="3"/>
  <c r="E408" i="3"/>
  <c r="E464" i="3"/>
  <c r="E92" i="3"/>
  <c r="E157" i="3"/>
  <c r="E238" i="3"/>
  <c r="E209" i="3"/>
  <c r="E414" i="3"/>
  <c r="E161" i="3"/>
  <c r="E44" i="3"/>
  <c r="E450" i="3"/>
  <c r="E202" i="3"/>
  <c r="E5" i="6"/>
  <c r="D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c r="K15" i="1" s="1"/>
  <c r="AZ16" i="3"/>
  <c r="A9" i="64"/>
  <c r="A9" i="51"/>
  <c r="B9" i="63" s="1"/>
  <c r="E4" i="4"/>
  <c r="C4" i="4"/>
  <c r="G66" i="36"/>
  <c r="J18" i="36"/>
  <c r="AE8" i="1"/>
  <c r="AE7" i="1"/>
  <c r="W18" i="36"/>
  <c r="AC18" i="36"/>
  <c r="AG6" i="1"/>
  <c r="C12" i="11"/>
  <c r="L20" i="6"/>
  <c r="L19" i="6"/>
  <c r="B21" i="55"/>
  <c r="B72" i="63"/>
  <c r="B20" i="55"/>
  <c r="B70" i="63"/>
  <c r="S7" i="1"/>
  <c r="S8" i="1"/>
  <c r="S9" i="1"/>
  <c r="R9" i="1"/>
  <c r="R7" i="1"/>
  <c r="R8" i="1"/>
  <c r="C45" i="9"/>
  <c r="H14" i="66"/>
  <c r="B7" i="66" s="1"/>
  <c r="O40" i="9"/>
  <c r="K31" i="9"/>
  <c r="K32" i="9" s="1"/>
  <c r="R7" i="54"/>
  <c r="B52" i="63" s="1"/>
  <c r="N76" i="9"/>
  <c r="D70" i="39"/>
  <c r="E70" i="39" s="1"/>
  <c r="E72" i="39" s="1"/>
  <c r="C72" i="39"/>
  <c r="C67" i="40"/>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AP7" i="1"/>
  <c r="G13" i="1"/>
  <c r="D46" i="36"/>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c r="T11" i="59"/>
  <c r="B12" i="59"/>
  <c r="B11" i="59"/>
  <c r="S11" i="59"/>
  <c r="D12" i="59"/>
  <c r="E65" i="40"/>
  <c r="F65" i="40" s="1"/>
  <c r="G65" i="40" s="1"/>
  <c r="G67" i="40" s="1"/>
  <c r="D72" i="39"/>
  <c r="V11" i="59"/>
  <c r="D11" i="59"/>
  <c r="C7" i="46"/>
  <c r="E67" i="40"/>
  <c r="D10" i="59"/>
  <c r="D9" i="59"/>
  <c r="F67" i="40"/>
  <c r="H65" i="40"/>
  <c r="I65" i="40" s="1"/>
  <c r="H67" i="40"/>
  <c r="F40" i="44"/>
  <c r="J6" i="65"/>
  <c r="B8" i="67"/>
  <c r="B13" i="67"/>
  <c r="F28" i="44"/>
  <c r="M25" i="44"/>
  <c r="L49" i="44"/>
  <c r="F13" i="15"/>
  <c r="M10" i="44"/>
  <c r="L48" i="15"/>
  <c r="I5" i="65"/>
  <c r="F43" i="44"/>
  <c r="M23" i="44"/>
  <c r="F14" i="67"/>
  <c r="F46" i="44"/>
  <c r="N5" i="65"/>
  <c r="F26" i="15"/>
  <c r="E14" i="67"/>
  <c r="L47" i="15"/>
  <c r="J4" i="65"/>
  <c r="J17" i="44"/>
  <c r="F12" i="67"/>
  <c r="F6" i="15"/>
  <c r="B9" i="67"/>
  <c r="B10" i="67"/>
  <c r="N7" i="65"/>
  <c r="L48" i="44"/>
  <c r="M22" i="15"/>
  <c r="I4" i="65"/>
  <c r="F9" i="67"/>
  <c r="M30" i="44"/>
  <c r="F10" i="67"/>
  <c r="E10" i="67"/>
  <c r="M6" i="15"/>
  <c r="M28" i="15"/>
  <c r="N6" i="65"/>
  <c r="M26" i="15"/>
  <c r="I3" i="65"/>
  <c r="F15" i="44"/>
  <c r="F11" i="67"/>
  <c r="F13" i="67"/>
  <c r="M23" i="15"/>
  <c r="B14" i="67"/>
  <c r="M31" i="44"/>
  <c r="F42" i="15"/>
  <c r="F39" i="44"/>
  <c r="J3" i="65"/>
  <c r="J15" i="15"/>
  <c r="E9" i="67"/>
  <c r="F11" i="44"/>
  <c r="B11" i="67"/>
  <c r="J7" i="65"/>
  <c r="F9" i="44"/>
  <c r="F8" i="67"/>
  <c r="J5" i="65"/>
  <c r="M24" i="44"/>
  <c r="M26" i="44"/>
  <c r="F38" i="44"/>
  <c r="M9" i="15"/>
  <c r="M29" i="44"/>
  <c r="M8" i="44"/>
  <c r="F16" i="15"/>
  <c r="F36" i="15"/>
  <c r="J36" i="15"/>
  <c r="F10" i="44"/>
  <c r="E12" i="67"/>
  <c r="F9" i="15"/>
  <c r="F40" i="15"/>
  <c r="F8" i="44"/>
  <c r="M24" i="15"/>
  <c r="F18" i="44"/>
  <c r="F45" i="44"/>
  <c r="E13" i="67"/>
  <c r="N4" i="65"/>
  <c r="F37" i="15"/>
  <c r="C19" i="44"/>
  <c r="N3" i="65"/>
  <c r="M27" i="15"/>
  <c r="F38" i="15"/>
  <c r="M8" i="15"/>
  <c r="E11" i="67"/>
  <c r="I7" i="65"/>
  <c r="I6" i="65"/>
  <c r="F8" i="15"/>
  <c r="M28" i="44"/>
  <c r="F37" i="44"/>
  <c r="E8" i="67"/>
  <c r="B12" i="67"/>
  <c r="M11" i="44"/>
  <c r="L27" i="6" l="1"/>
  <c r="C9" i="12"/>
  <c r="K6" i="1"/>
  <c r="U13" i="40"/>
  <c r="AB13" i="40"/>
  <c r="G3" i="46"/>
  <c r="J13" i="40"/>
  <c r="W13" i="40" s="1"/>
  <c r="F13" i="40"/>
  <c r="A11" i="55"/>
  <c r="B62" i="63" s="1"/>
  <c r="A2" i="55"/>
  <c r="B55" i="63" s="1"/>
  <c r="K76" i="9"/>
  <c r="C30" i="44"/>
  <c r="C15" i="43"/>
  <c r="C31" i="43"/>
  <c r="C15" i="12"/>
  <c r="C25" i="12"/>
  <c r="C27" i="43"/>
  <c r="C28" i="15"/>
  <c r="F70" i="39"/>
  <c r="I20" i="46"/>
  <c r="C95" i="9"/>
  <c r="C92" i="9" s="1"/>
  <c r="C18" i="9"/>
  <c r="D18" i="9" s="1"/>
  <c r="M44" i="9" s="1"/>
  <c r="J85" i="46"/>
  <c r="E80" i="46"/>
  <c r="B78" i="46" s="1"/>
  <c r="C24" i="46" s="1"/>
  <c r="G17" i="46"/>
  <c r="C16" i="46" s="1"/>
  <c r="D5" i="46" s="1"/>
  <c r="F80" i="46"/>
  <c r="H81" i="46" s="1"/>
  <c r="H58" i="46"/>
  <c r="E10" i="46"/>
  <c r="E11" i="46"/>
  <c r="E8" i="46"/>
  <c r="E9" i="46"/>
  <c r="H86" i="46"/>
  <c r="H80" i="46"/>
  <c r="H82" i="46"/>
  <c r="H83" i="46"/>
  <c r="M43" i="9"/>
  <c r="A30" i="64"/>
  <c r="A30" i="51"/>
  <c r="B22" i="63" s="1"/>
  <c r="P75" i="15"/>
  <c r="D23" i="15"/>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E58" i="39"/>
  <c r="F27" i="6"/>
  <c r="F31" i="6" s="1"/>
  <c r="E53" i="40"/>
  <c r="G30" i="6"/>
  <c r="G31" i="6" s="1"/>
  <c r="E28" i="6"/>
  <c r="BL5" i="3"/>
  <c r="AZ13" i="3"/>
  <c r="AZ5" i="3" s="1"/>
  <c r="E15" i="6"/>
  <c r="E12" i="6"/>
  <c r="E11" i="6"/>
  <c r="E14" i="6"/>
  <c r="E13" i="6"/>
  <c r="E10" i="6"/>
  <c r="D21" i="12"/>
  <c r="C21" i="12" s="1"/>
  <c r="O7" i="1"/>
  <c r="P7" i="1" s="1"/>
  <c r="O11" i="1"/>
  <c r="P11" i="1" s="1"/>
  <c r="O8" i="1"/>
  <c r="P8" i="1" s="1"/>
  <c r="O12" i="1"/>
  <c r="P12" i="1" s="1"/>
  <c r="O10" i="1"/>
  <c r="P10" i="1" s="1"/>
  <c r="O9" i="1"/>
  <c r="P9" i="1" s="1"/>
  <c r="O13" i="1"/>
  <c r="P13" i="1" s="1"/>
  <c r="A18" i="64"/>
  <c r="B74" i="63" s="1"/>
  <c r="C53" i="10"/>
  <c r="A18" i="51"/>
  <c r="B14" i="63" s="1"/>
  <c r="L5" i="54"/>
  <c r="B39" i="63" s="1"/>
  <c r="K5" i="54"/>
  <c r="T41" i="4"/>
  <c r="A17" i="51" s="1"/>
  <c r="B13" i="63" s="1"/>
  <c r="G16" i="1"/>
  <c r="AP16" i="1"/>
  <c r="F22" i="11" s="1"/>
  <c r="J65" i="40"/>
  <c r="I67" i="40"/>
  <c r="I52" i="37"/>
  <c r="H48" i="35"/>
  <c r="I48" i="35" s="1"/>
  <c r="J48" i="35" s="1"/>
  <c r="K48" i="35" s="1"/>
  <c r="L48" i="35" s="1"/>
  <c r="M48" i="35" s="1"/>
  <c r="N48" i="35" s="1"/>
  <c r="O48" i="35" s="1"/>
  <c r="F7" i="35"/>
  <c r="J7" i="35"/>
  <c r="H7" i="35"/>
  <c r="E46" i="36"/>
  <c r="F46" i="36" s="1"/>
  <c r="G46" i="36" s="1"/>
  <c r="H46" i="36" s="1"/>
  <c r="I46" i="36" s="1"/>
  <c r="J46" i="36" s="1"/>
  <c r="K46" i="36" s="1"/>
  <c r="L46" i="36" s="1"/>
  <c r="M46" i="36" s="1"/>
  <c r="N46" i="36" s="1"/>
  <c r="O46" i="36" s="1"/>
  <c r="H7" i="36"/>
  <c r="J7" i="36"/>
  <c r="E58" i="33"/>
  <c r="F58" i="21"/>
  <c r="E59" i="34"/>
  <c r="C18" i="11"/>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E3" i="65"/>
  <c r="M29" i="15"/>
  <c r="F7" i="15"/>
  <c r="C18" i="44"/>
  <c r="F43" i="15"/>
  <c r="E2" i="65"/>
  <c r="C5" i="46" l="1"/>
  <c r="AC13" i="40"/>
  <c r="F70" i="15"/>
  <c r="C6" i="15"/>
  <c r="F49" i="15"/>
  <c r="F58" i="15" s="1"/>
  <c r="M7" i="15"/>
  <c r="M17" i="15" s="1"/>
  <c r="M6" i="1"/>
  <c r="Q16" i="1"/>
  <c r="S13" i="40"/>
  <c r="AA13" i="40"/>
  <c r="AC11" i="46"/>
  <c r="AC13" i="46" s="1"/>
  <c r="C101" i="46"/>
  <c r="F22" i="46"/>
  <c r="Z7" i="46"/>
  <c r="E22" i="46"/>
  <c r="Z11" i="46"/>
  <c r="Z13" i="46" s="1"/>
  <c r="AA11" i="46"/>
  <c r="AA13" i="46" s="1"/>
  <c r="AF11" i="46"/>
  <c r="AF13" i="46" s="1"/>
  <c r="AB11" i="46"/>
  <c r="AB13" i="46" s="1"/>
  <c r="Y11" i="46"/>
  <c r="Y13" i="46" s="1"/>
  <c r="G22" i="46"/>
  <c r="F101" i="46"/>
  <c r="I101" i="46"/>
  <c r="N101" i="46"/>
  <c r="AD11" i="46"/>
  <c r="AD13" i="46" s="1"/>
  <c r="G101" i="46"/>
  <c r="B113" i="46"/>
  <c r="L101" i="46"/>
  <c r="E101" i="46"/>
  <c r="K101" i="46"/>
  <c r="AG11" i="46"/>
  <c r="AG13" i="46" s="1"/>
  <c r="AH11" i="46"/>
  <c r="AH13" i="46" s="1"/>
  <c r="AI11" i="46"/>
  <c r="AI13" i="46" s="1"/>
  <c r="AE11" i="46"/>
  <c r="AE13" i="46" s="1"/>
  <c r="H22" i="46"/>
  <c r="H101" i="46"/>
  <c r="J22" i="46"/>
  <c r="D101" i="46"/>
  <c r="M101" i="46"/>
  <c r="AJ11" i="46"/>
  <c r="AJ13" i="46" s="1"/>
  <c r="J101" i="46"/>
  <c r="N104" i="45"/>
  <c r="F72" i="39"/>
  <c r="G70" i="39"/>
  <c r="F12" i="40"/>
  <c r="S12" i="40" s="1"/>
  <c r="G11" i="69"/>
  <c r="H87" i="46"/>
  <c r="H84" i="46"/>
  <c r="H85" i="46"/>
  <c r="E16" i="6"/>
  <c r="E27" i="6"/>
  <c r="K26" i="6" s="1"/>
  <c r="M26" i="6" s="1"/>
  <c r="I26" i="6" s="1"/>
  <c r="S26" i="6" s="1"/>
  <c r="H12" i="39"/>
  <c r="AB12" i="39" s="1"/>
  <c r="E65" i="39"/>
  <c r="E60" i="40"/>
  <c r="E63" i="39"/>
  <c r="E58" i="40"/>
  <c r="E67" i="39"/>
  <c r="E62" i="40"/>
  <c r="E66" i="39"/>
  <c r="E61" i="40"/>
  <c r="E64" i="39"/>
  <c r="E59" i="40"/>
  <c r="E3" i="6"/>
  <c r="D29" i="46" s="1"/>
  <c r="D1" i="46" s="1"/>
  <c r="AY6" i="3"/>
  <c r="K19" i="6"/>
  <c r="S6" i="1" s="1"/>
  <c r="K14" i="1"/>
  <c r="K20" i="6"/>
  <c r="M20" i="6" s="1"/>
  <c r="I20" i="6" s="1"/>
  <c r="S20" i="6" s="1"/>
  <c r="E30" i="6"/>
  <c r="A17" i="64"/>
  <c r="A25" i="51"/>
  <c r="B18" i="63" s="1"/>
  <c r="A25" i="64"/>
  <c r="A3" i="55"/>
  <c r="B56" i="63" s="1"/>
  <c r="B38" i="63"/>
  <c r="F12" i="39"/>
  <c r="S12" i="39" s="1"/>
  <c r="J12" i="39"/>
  <c r="W12" i="39" s="1"/>
  <c r="AC7" i="36"/>
  <c r="V36" i="36" s="1"/>
  <c r="I36" i="36" s="1"/>
  <c r="W7" i="36"/>
  <c r="F7" i="36"/>
  <c r="W7" i="35"/>
  <c r="AC7" i="35"/>
  <c r="V38" i="35" s="1"/>
  <c r="I38" i="35" s="1"/>
  <c r="F59" i="34"/>
  <c r="G58" i="21"/>
  <c r="F58" i="33"/>
  <c r="G58" i="33" s="1"/>
  <c r="H58" i="33" s="1"/>
  <c r="I58" i="33" s="1"/>
  <c r="J58" i="33" s="1"/>
  <c r="K58" i="33" s="1"/>
  <c r="L58" i="33" s="1"/>
  <c r="M58" i="33" s="1"/>
  <c r="N58" i="33" s="1"/>
  <c r="O58" i="33" s="1"/>
  <c r="J7" i="33"/>
  <c r="F7" i="33"/>
  <c r="U7" i="36"/>
  <c r="AB7" i="36"/>
  <c r="T36" i="36" s="1"/>
  <c r="G36" i="36" s="1"/>
  <c r="AB7" i="35"/>
  <c r="T38" i="35" s="1"/>
  <c r="G38" i="35" s="1"/>
  <c r="U7" i="35"/>
  <c r="AA7" i="35"/>
  <c r="R38" i="35" s="1"/>
  <c r="S7" i="35"/>
  <c r="J52" i="37"/>
  <c r="K52" i="37" s="1"/>
  <c r="L52" i="37" s="1"/>
  <c r="M52" i="37" s="1"/>
  <c r="N52" i="37" s="1"/>
  <c r="O52" i="37" s="1"/>
  <c r="J67" i="40"/>
  <c r="K65" i="40"/>
  <c r="M19" i="44"/>
  <c r="M20" i="46"/>
  <c r="C19" i="46"/>
  <c r="B40" i="1"/>
  <c r="F17" i="11"/>
  <c r="C17" i="11" s="1"/>
  <c r="C19" i="11" s="1"/>
  <c r="L47" i="44"/>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C16" i="15"/>
  <c r="AE6" i="1"/>
  <c r="C17" i="15"/>
  <c r="E31" i="6" l="1"/>
  <c r="J6" i="15"/>
  <c r="J5" i="15" s="1"/>
  <c r="S16" i="1"/>
  <c r="F24" i="43"/>
  <c r="C26" i="43" s="1"/>
  <c r="D24" i="43" s="1"/>
  <c r="F33" i="12"/>
  <c r="C34" i="12" s="1"/>
  <c r="D33" i="12" s="1"/>
  <c r="O6" i="1"/>
  <c r="P6" i="1" s="1"/>
  <c r="J106" i="46"/>
  <c r="J102" i="46"/>
  <c r="J107" i="46"/>
  <c r="J104" i="46"/>
  <c r="J103" i="46"/>
  <c r="J109" i="46"/>
  <c r="J105" i="46"/>
  <c r="M107" i="46"/>
  <c r="M102" i="46"/>
  <c r="M106" i="46"/>
  <c r="M105" i="46"/>
  <c r="M109" i="46"/>
  <c r="M104" i="46"/>
  <c r="M103" i="46"/>
  <c r="K103" i="46"/>
  <c r="K102" i="46"/>
  <c r="K104" i="46"/>
  <c r="K105" i="46"/>
  <c r="K109" i="46"/>
  <c r="K107" i="46"/>
  <c r="K106" i="46"/>
  <c r="L105" i="46"/>
  <c r="L104" i="46"/>
  <c r="L107" i="46"/>
  <c r="L102" i="46"/>
  <c r="L103" i="46"/>
  <c r="L109" i="46"/>
  <c r="L106" i="46"/>
  <c r="G103" i="46"/>
  <c r="G106" i="46"/>
  <c r="G109" i="46"/>
  <c r="G102" i="46"/>
  <c r="G104" i="46"/>
  <c r="G107" i="46"/>
  <c r="G105" i="46"/>
  <c r="N105" i="46"/>
  <c r="N109" i="46"/>
  <c r="N103" i="46"/>
  <c r="N106" i="46"/>
  <c r="N107" i="46"/>
  <c r="N104" i="46"/>
  <c r="N102" i="46"/>
  <c r="F106" i="46"/>
  <c r="F109" i="46"/>
  <c r="F102" i="46"/>
  <c r="F103" i="46"/>
  <c r="F107" i="46"/>
  <c r="F104" i="46"/>
  <c r="F105" i="46"/>
  <c r="C109" i="46"/>
  <c r="C104" i="46"/>
  <c r="C106" i="46"/>
  <c r="C103" i="46"/>
  <c r="C105" i="46"/>
  <c r="C107" i="46"/>
  <c r="C102" i="46"/>
  <c r="D106" i="46"/>
  <c r="D105" i="46"/>
  <c r="D104" i="46"/>
  <c r="D107" i="46"/>
  <c r="D102" i="46"/>
  <c r="D109" i="46"/>
  <c r="D103" i="46"/>
  <c r="H102" i="46"/>
  <c r="H106" i="46"/>
  <c r="H109" i="46"/>
  <c r="H107" i="46"/>
  <c r="H104" i="46"/>
  <c r="H105" i="46"/>
  <c r="H103" i="46"/>
  <c r="E106" i="46"/>
  <c r="E109" i="46"/>
  <c r="E107" i="46"/>
  <c r="E102" i="46"/>
  <c r="E104" i="46"/>
  <c r="E105" i="46"/>
  <c r="E103" i="46"/>
  <c r="I115" i="46"/>
  <c r="J115" i="46" s="1"/>
  <c r="K115" i="46" s="1"/>
  <c r="L115" i="46" s="1"/>
  <c r="M115" i="46" s="1"/>
  <c r="B118" i="46"/>
  <c r="C118" i="46" s="1"/>
  <c r="D116" i="46"/>
  <c r="E116" i="46" s="1"/>
  <c r="F116" i="46" s="1"/>
  <c r="G116" i="46" s="1"/>
  <c r="H116" i="46" s="1"/>
  <c r="D115" i="46"/>
  <c r="E115" i="46" s="1"/>
  <c r="F115" i="46" s="1"/>
  <c r="G115" i="46" s="1"/>
  <c r="H115" i="46" s="1"/>
  <c r="D117" i="46"/>
  <c r="E117" i="46" s="1"/>
  <c r="F117" i="46" s="1"/>
  <c r="G117" i="46" s="1"/>
  <c r="H117" i="46" s="1"/>
  <c r="I117" i="46"/>
  <c r="J117" i="46" s="1"/>
  <c r="K117" i="46" s="1"/>
  <c r="L117" i="46" s="1"/>
  <c r="M117" i="46" s="1"/>
  <c r="B116" i="46"/>
  <c r="C116" i="46" s="1"/>
  <c r="I116" i="46"/>
  <c r="J116" i="46" s="1"/>
  <c r="K116" i="46" s="1"/>
  <c r="L116" i="46" s="1"/>
  <c r="M116" i="46" s="1"/>
  <c r="G118" i="46"/>
  <c r="H118" i="46" s="1"/>
  <c r="I118" i="46"/>
  <c r="J118" i="46" s="1"/>
  <c r="K118" i="46" s="1"/>
  <c r="L118" i="46" s="1"/>
  <c r="M118" i="46" s="1"/>
  <c r="B117" i="46"/>
  <c r="C117" i="46" s="1"/>
  <c r="D118" i="46"/>
  <c r="E118" i="46" s="1"/>
  <c r="F118" i="46" s="1"/>
  <c r="B115" i="46"/>
  <c r="I102" i="46"/>
  <c r="I105" i="46"/>
  <c r="I107" i="46"/>
  <c r="I109" i="46"/>
  <c r="I106" i="46"/>
  <c r="I103" i="46"/>
  <c r="I104" i="46"/>
  <c r="D22" i="46"/>
  <c r="C21" i="46" s="1"/>
  <c r="F7" i="37"/>
  <c r="G72" i="39"/>
  <c r="H70" i="39"/>
  <c r="H12" i="40"/>
  <c r="AB12" i="40" s="1"/>
  <c r="J12" i="40"/>
  <c r="E41" i="46"/>
  <c r="C41" i="46" s="1"/>
  <c r="C38" i="46" s="1"/>
  <c r="C20" i="46"/>
  <c r="C34" i="46" s="1"/>
  <c r="U12" i="39"/>
  <c r="U12" i="40"/>
  <c r="K25" i="6"/>
  <c r="M25" i="6" s="1"/>
  <c r="I25" i="6" s="1"/>
  <c r="S25" i="6" s="1"/>
  <c r="K24" i="6"/>
  <c r="M24" i="6" s="1"/>
  <c r="I24" i="6" s="1"/>
  <c r="S24" i="6" s="1"/>
  <c r="K21" i="6"/>
  <c r="M21" i="6" s="1"/>
  <c r="I21" i="6" s="1"/>
  <c r="S21" i="6" s="1"/>
  <c r="K23" i="6"/>
  <c r="M23" i="6" s="1"/>
  <c r="I23" i="6" s="1"/>
  <c r="S23" i="6" s="1"/>
  <c r="K22" i="6"/>
  <c r="M22" i="6" s="1"/>
  <c r="I22" i="6" s="1"/>
  <c r="S22" i="6" s="1"/>
  <c r="AA12" i="40"/>
  <c r="AA12" i="39"/>
  <c r="M14" i="1"/>
  <c r="K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BS6"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337" i="3"/>
  <c r="AY25"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96" i="3"/>
  <c r="AY521" i="3"/>
  <c r="AY474" i="3"/>
  <c r="AY354" i="3"/>
  <c r="AY482" i="3"/>
  <c r="BE6" i="3"/>
  <c r="AY441" i="3"/>
  <c r="AY121" i="3"/>
  <c r="AY491" i="3"/>
  <c r="AY508" i="3"/>
  <c r="M19" i="6"/>
  <c r="D16" i="43"/>
  <c r="C16" i="43" s="1"/>
  <c r="E6" i="6"/>
  <c r="D45" i="9"/>
  <c r="C21" i="4"/>
  <c r="O5" i="54" s="1"/>
  <c r="B45" i="63" s="1"/>
  <c r="D16" i="12"/>
  <c r="L38" i="9"/>
  <c r="B14" i="66" s="1"/>
  <c r="B1" i="66" s="1"/>
  <c r="C7" i="66" s="1"/>
  <c r="AC12" i="39"/>
  <c r="K67" i="40"/>
  <c r="L65" i="40"/>
  <c r="H7" i="37"/>
  <c r="G41" i="36"/>
  <c r="H41" i="36" s="1"/>
  <c r="G40" i="36"/>
  <c r="H40" i="36" s="1"/>
  <c r="AA7" i="33"/>
  <c r="R48" i="33" s="1"/>
  <c r="S7" i="33"/>
  <c r="G59" i="34"/>
  <c r="H7" i="33"/>
  <c r="AA7" i="37"/>
  <c r="R42" i="37" s="1"/>
  <c r="S7" i="37"/>
  <c r="R39" i="35"/>
  <c r="E38" i="35"/>
  <c r="G42" i="35"/>
  <c r="H42" i="35" s="1"/>
  <c r="G43" i="35"/>
  <c r="H43" i="35" s="1"/>
  <c r="AC7" i="33"/>
  <c r="V48" i="33" s="1"/>
  <c r="I48" i="33" s="1"/>
  <c r="W7" i="33"/>
  <c r="H58" i="21"/>
  <c r="I42" i="35"/>
  <c r="J42" i="35" s="1"/>
  <c r="I43" i="35"/>
  <c r="J43" i="35" s="1"/>
  <c r="AA7" i="36"/>
  <c r="R36" i="36" s="1"/>
  <c r="S7" i="36"/>
  <c r="I40" i="36"/>
  <c r="J40" i="36" s="1"/>
  <c r="J7" i="37"/>
  <c r="J18"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C23" i="46" l="1"/>
  <c r="S7" i="46"/>
  <c r="S5" i="46"/>
  <c r="T5" i="46" s="1"/>
  <c r="V5" i="46" s="1"/>
  <c r="S6" i="46"/>
  <c r="S2" i="46"/>
  <c r="T2" i="46" s="1"/>
  <c r="V2" i="46" s="1"/>
  <c r="S4" i="46"/>
  <c r="S3" i="46"/>
  <c r="T3" i="46" s="1"/>
  <c r="V3" i="46" s="1"/>
  <c r="C115" i="46"/>
  <c r="D113" i="46" s="1"/>
  <c r="C37" i="46"/>
  <c r="G37" i="46" s="1"/>
  <c r="I37" i="46" s="1"/>
  <c r="T16" i="46"/>
  <c r="V16" i="46" s="1"/>
  <c r="T6" i="46"/>
  <c r="V6" i="46" s="1"/>
  <c r="C35" i="46"/>
  <c r="G35" i="46" s="1"/>
  <c r="I35" i="46" s="1"/>
  <c r="C36" i="46"/>
  <c r="G36" i="46" s="1"/>
  <c r="I36" i="46" s="1"/>
  <c r="T8" i="46"/>
  <c r="V8" i="46" s="1"/>
  <c r="T4" i="46"/>
  <c r="V4" i="46" s="1"/>
  <c r="T12" i="46"/>
  <c r="V12" i="46" s="1"/>
  <c r="T15" i="46"/>
  <c r="V15" i="46" s="1"/>
  <c r="T11" i="46"/>
  <c r="V11" i="46" s="1"/>
  <c r="T13" i="46"/>
  <c r="V13" i="46" s="1"/>
  <c r="T9" i="46"/>
  <c r="V9" i="46" s="1"/>
  <c r="T10" i="46"/>
  <c r="V10" i="46" s="1"/>
  <c r="C33" i="46"/>
  <c r="E33" i="46" s="1"/>
  <c r="C29" i="46"/>
  <c r="C30" i="46" s="1"/>
  <c r="E30" i="46" s="1"/>
  <c r="T14" i="46"/>
  <c r="V14" i="46" s="1"/>
  <c r="T7" i="46"/>
  <c r="V7" i="46" s="1"/>
  <c r="W12" i="40"/>
  <c r="AC12" i="40"/>
  <c r="H72" i="39"/>
  <c r="I70" i="39"/>
  <c r="F68" i="15"/>
  <c r="C39" i="46"/>
  <c r="E39" i="46" s="1"/>
  <c r="E38" i="46"/>
  <c r="G38" i="46"/>
  <c r="I38" i="46" s="1"/>
  <c r="G34" i="46"/>
  <c r="I34" i="46" s="1"/>
  <c r="E34" i="46"/>
  <c r="K27" i="6"/>
  <c r="D19" i="12"/>
  <c r="C19" i="12" s="1"/>
  <c r="C16" i="12"/>
  <c r="D13" i="11"/>
  <c r="C13" i="11" s="1"/>
  <c r="D22" i="12"/>
  <c r="C22" i="12" s="1"/>
  <c r="C20" i="12" s="1"/>
  <c r="M27" i="6"/>
  <c r="I19" i="6"/>
  <c r="H19" i="6" s="1"/>
  <c r="C22" i="4"/>
  <c r="D21" i="6"/>
  <c r="D10" i="6"/>
  <c r="D6" i="6"/>
  <c r="D14" i="6"/>
  <c r="D20" i="6"/>
  <c r="E45" i="9"/>
  <c r="E68" i="39"/>
  <c r="D24" i="6"/>
  <c r="D22" i="6"/>
  <c r="D9" i="6"/>
  <c r="D29" i="6"/>
  <c r="E63" i="40"/>
  <c r="D19" i="6"/>
  <c r="D25" i="6"/>
  <c r="D13" i="6"/>
  <c r="D23" i="6"/>
  <c r="D28" i="6"/>
  <c r="D30" i="6" s="1"/>
  <c r="D8" i="6"/>
  <c r="F45" i="9"/>
  <c r="K38" i="9"/>
  <c r="C14" i="66" s="1"/>
  <c r="B2" i="66" s="1"/>
  <c r="D7" i="66" s="1"/>
  <c r="D26" i="6"/>
  <c r="D12" i="6"/>
  <c r="D5" i="6"/>
  <c r="H21" i="6"/>
  <c r="H22" i="6"/>
  <c r="R22" i="6" s="1"/>
  <c r="D15" i="6"/>
  <c r="H20" i="6"/>
  <c r="R20" i="6" s="1"/>
  <c r="H25" i="6"/>
  <c r="R25" i="6" s="1"/>
  <c r="H23" i="6"/>
  <c r="H24" i="6"/>
  <c r="R24" i="6" s="1"/>
  <c r="H26" i="6"/>
  <c r="D11" i="6"/>
  <c r="T10" i="1"/>
  <c r="T13" i="1"/>
  <c r="T12" i="1"/>
  <c r="T7" i="1"/>
  <c r="M16" i="1"/>
  <c r="T11" i="1"/>
  <c r="T8" i="1"/>
  <c r="T9" i="1"/>
  <c r="O14" i="1"/>
  <c r="T6" i="1"/>
  <c r="G33" i="46"/>
  <c r="I33" i="46" s="1"/>
  <c r="E43" i="35"/>
  <c r="F43" i="35" s="1"/>
  <c r="E42" i="35"/>
  <c r="F42" i="35" s="1"/>
  <c r="U7" i="33"/>
  <c r="AB7" i="33"/>
  <c r="T48" i="33" s="1"/>
  <c r="G48" i="33" s="1"/>
  <c r="U7" i="37"/>
  <c r="AB7" i="37"/>
  <c r="T42" i="37" s="1"/>
  <c r="G42" i="37" s="1"/>
  <c r="AC7" i="37"/>
  <c r="V42" i="37" s="1"/>
  <c r="I42" i="37" s="1"/>
  <c r="W7" i="37"/>
  <c r="R37" i="36"/>
  <c r="E36" i="36"/>
  <c r="I58" i="21"/>
  <c r="J58" i="21" s="1"/>
  <c r="K58" i="21" s="1"/>
  <c r="L58" i="21" s="1"/>
  <c r="M58" i="21" s="1"/>
  <c r="N58" i="21" s="1"/>
  <c r="O58" i="21" s="1"/>
  <c r="I52" i="33"/>
  <c r="J52" i="33" s="1"/>
  <c r="C38" i="35"/>
  <c r="C39" i="35"/>
  <c r="B3" i="35" s="1"/>
  <c r="B2" i="35" s="1"/>
  <c r="R43" i="37"/>
  <c r="E42" i="37"/>
  <c r="H59" i="34"/>
  <c r="R49" i="33"/>
  <c r="E48" i="33"/>
  <c r="M65" i="40"/>
  <c r="L67" i="40"/>
  <c r="F7" i="21"/>
  <c r="C65" i="15"/>
  <c r="C59" i="15"/>
  <c r="B5" i="11"/>
  <c r="B3" i="11"/>
  <c r="B4" i="11"/>
  <c r="C27" i="12"/>
  <c r="D26" i="12" s="1"/>
  <c r="C32" i="12" s="1"/>
  <c r="D30" i="12" s="1"/>
  <c r="J26" i="15"/>
  <c r="J29" i="15" s="1"/>
  <c r="J24" i="15"/>
  <c r="C38" i="15"/>
  <c r="Q58" i="44"/>
  <c r="Q67" i="44"/>
  <c r="Q49" i="44"/>
  <c r="Q55" i="44" s="1"/>
  <c r="C16" i="44"/>
  <c r="F7" i="67"/>
  <c r="C14" i="15"/>
  <c r="E35" i="46" l="1"/>
  <c r="E29" i="46"/>
  <c r="G39" i="46"/>
  <c r="I39" i="46" s="1"/>
  <c r="E36" i="46"/>
  <c r="E37" i="46"/>
  <c r="R21" i="6"/>
  <c r="J70" i="39"/>
  <c r="I72" i="39"/>
  <c r="C27" i="46"/>
  <c r="H27" i="6"/>
  <c r="D16" i="6"/>
  <c r="C18" i="15"/>
  <c r="C15" i="15"/>
  <c r="C20" i="44"/>
  <c r="C17" i="44"/>
  <c r="P14" i="1"/>
  <c r="P16" i="1" s="1"/>
  <c r="C13" i="12" s="1"/>
  <c r="O16" i="1"/>
  <c r="C13" i="43"/>
  <c r="L16" i="1"/>
  <c r="T16" i="1"/>
  <c r="N16" i="1"/>
  <c r="C29" i="43" s="1"/>
  <c r="R23" i="6"/>
  <c r="R26" i="6"/>
  <c r="D27" i="6"/>
  <c r="D31" i="6" s="1"/>
  <c r="R19" i="6"/>
  <c r="S19" i="6"/>
  <c r="S27" i="6" s="1"/>
  <c r="I27" i="6"/>
  <c r="A20" i="64"/>
  <c r="A6" i="64"/>
  <c r="N5" i="54"/>
  <c r="B43" i="63" s="1"/>
  <c r="A6" i="51"/>
  <c r="B7" i="63" s="1"/>
  <c r="A20" i="51"/>
  <c r="B15" i="63" s="1"/>
  <c r="E52" i="33"/>
  <c r="F52" i="33" s="1"/>
  <c r="E53" i="33"/>
  <c r="F53" i="33" s="1"/>
  <c r="E46" i="37"/>
  <c r="F46" i="37" s="1"/>
  <c r="E47" i="37"/>
  <c r="F47" i="37" s="1"/>
  <c r="J7" i="21"/>
  <c r="E40" i="36"/>
  <c r="F40" i="36" s="1"/>
  <c r="E41" i="36"/>
  <c r="F41" i="36" s="1"/>
  <c r="I41" i="36"/>
  <c r="J41" i="36" s="1"/>
  <c r="G47" i="37"/>
  <c r="H47" i="37" s="1"/>
  <c r="G46" i="37"/>
  <c r="H46" i="37" s="1"/>
  <c r="G52" i="33"/>
  <c r="H52" i="33" s="1"/>
  <c r="G53" i="33"/>
  <c r="H53" i="33" s="1"/>
  <c r="H7" i="21"/>
  <c r="S7" i="21"/>
  <c r="AA7" i="21"/>
  <c r="R48" i="21" s="1"/>
  <c r="N65" i="40"/>
  <c r="N67" i="40" s="1"/>
  <c r="M67" i="40"/>
  <c r="J9" i="40" s="1"/>
  <c r="C48" i="33"/>
  <c r="C49" i="33"/>
  <c r="B3" i="33" s="1"/>
  <c r="B2" i="33" s="1"/>
  <c r="I59" i="34"/>
  <c r="J59" i="34" s="1"/>
  <c r="K59" i="34" s="1"/>
  <c r="L59" i="34" s="1"/>
  <c r="M59" i="34" s="1"/>
  <c r="N59" i="34" s="1"/>
  <c r="O59" i="34" s="1"/>
  <c r="F7" i="34" s="1"/>
  <c r="C43" i="37"/>
  <c r="B3" i="37" s="1"/>
  <c r="B2" i="37" s="1"/>
  <c r="C42" i="37"/>
  <c r="I53" i="33"/>
  <c r="J53" i="33" s="1"/>
  <c r="C37" i="36"/>
  <c r="B3" i="36" s="1"/>
  <c r="B2" i="36" s="1"/>
  <c r="C36" i="36"/>
  <c r="I46" i="37"/>
  <c r="J46" i="37" s="1"/>
  <c r="I47" i="37"/>
  <c r="J47" i="37" s="1"/>
  <c r="E4" i="67"/>
  <c r="D77" i="9"/>
  <c r="N75" i="9" s="1"/>
  <c r="E7" i="67"/>
  <c r="B7" i="67"/>
  <c r="C26" i="46" l="1"/>
  <c r="B2" i="46" s="1"/>
  <c r="B3" i="46" s="1"/>
  <c r="F9" i="40"/>
  <c r="S9" i="40" s="1"/>
  <c r="K70" i="39"/>
  <c r="J72" i="39"/>
  <c r="R27" i="6"/>
  <c r="R6" i="1"/>
  <c r="C19" i="15"/>
  <c r="C20" i="15" s="1"/>
  <c r="C26" i="15" s="1"/>
  <c r="I6" i="6"/>
  <c r="I5" i="6"/>
  <c r="C17" i="43"/>
  <c r="C14" i="43"/>
  <c r="C14" i="12"/>
  <c r="C17" i="12"/>
  <c r="C21" i="44"/>
  <c r="AA7" i="34"/>
  <c r="R49" i="34" s="1"/>
  <c r="S7" i="34"/>
  <c r="AC9" i="40"/>
  <c r="V44" i="40" s="1"/>
  <c r="I44" i="40" s="1"/>
  <c r="I48" i="40" s="1"/>
  <c r="J48" i="40" s="1"/>
  <c r="W9" i="40"/>
  <c r="H7" i="34"/>
  <c r="R49" i="21"/>
  <c r="E48" i="21"/>
  <c r="AB7" i="21"/>
  <c r="T48" i="21" s="1"/>
  <c r="G48" i="21" s="1"/>
  <c r="U7" i="21"/>
  <c r="AC7" i="21"/>
  <c r="V48" i="21" s="1"/>
  <c r="I48" i="21" s="1"/>
  <c r="W7" i="21"/>
  <c r="H9" i="40"/>
  <c r="AA9" i="40"/>
  <c r="R44" i="40" s="1"/>
  <c r="J7" i="34"/>
  <c r="E3" i="67"/>
  <c r="B2" i="67"/>
  <c r="D4" i="46"/>
  <c r="F35" i="15"/>
  <c r="M21" i="15"/>
  <c r="B4" i="46" l="1"/>
  <c r="C34" i="15"/>
  <c r="F62" i="15"/>
  <c r="C61" i="15" s="1"/>
  <c r="J20" i="15"/>
  <c r="R16" i="1"/>
  <c r="K72" i="39"/>
  <c r="L70" i="39"/>
  <c r="C18" i="43"/>
  <c r="C19" i="43" s="1"/>
  <c r="C25" i="43" s="1"/>
  <c r="C24" i="43" s="1"/>
  <c r="C18" i="12"/>
  <c r="C23" i="12" s="1"/>
  <c r="C23" i="15"/>
  <c r="C29" i="15" s="1"/>
  <c r="C22" i="44"/>
  <c r="C25" i="44" s="1"/>
  <c r="E44" i="40"/>
  <c r="U9" i="40"/>
  <c r="AB9" i="40"/>
  <c r="T44" i="40" s="1"/>
  <c r="G44" i="40" s="1"/>
  <c r="I52" i="21"/>
  <c r="J52" i="21" s="1"/>
  <c r="I53" i="21"/>
  <c r="J53" i="21" s="1"/>
  <c r="G52" i="21"/>
  <c r="H52" i="21" s="1"/>
  <c r="G53" i="21"/>
  <c r="H53" i="21" s="1"/>
  <c r="C49" i="21"/>
  <c r="B3" i="21" s="1"/>
  <c r="B2" i="21" s="1"/>
  <c r="C48" i="21"/>
  <c r="AC7" i="34"/>
  <c r="V49" i="34" s="1"/>
  <c r="I49" i="34" s="1"/>
  <c r="W7" i="34"/>
  <c r="E53" i="21"/>
  <c r="F53" i="21" s="1"/>
  <c r="E52" i="21"/>
  <c r="F52" i="21" s="1"/>
  <c r="U7" i="34"/>
  <c r="AB7" i="34"/>
  <c r="T49" i="34" s="1"/>
  <c r="G49" i="34" s="1"/>
  <c r="R50" i="34"/>
  <c r="E49" i="34"/>
  <c r="B3" i="67"/>
  <c r="B4" i="67"/>
  <c r="M70" i="39" l="1"/>
  <c r="L72" i="39"/>
  <c r="R45" i="40"/>
  <c r="C45" i="40" s="1"/>
  <c r="C28" i="44"/>
  <c r="C31" i="44" s="1"/>
  <c r="C22" i="43"/>
  <c r="C21" i="43" s="1"/>
  <c r="C28" i="43" s="1"/>
  <c r="C30" i="43" s="1"/>
  <c r="C32" i="43" s="1"/>
  <c r="B2" i="43" s="1"/>
  <c r="Q50" i="15"/>
  <c r="C33" i="15"/>
  <c r="C31" i="15" s="1"/>
  <c r="C56" i="15"/>
  <c r="J19" i="15"/>
  <c r="J17" i="15" s="1"/>
  <c r="J14" i="15"/>
  <c r="J59" i="15"/>
  <c r="J60" i="15" s="1"/>
  <c r="C36" i="15"/>
  <c r="C13" i="15"/>
  <c r="E54" i="34"/>
  <c r="F54" i="34" s="1"/>
  <c r="E53" i="34"/>
  <c r="F53" i="34" s="1"/>
  <c r="G54" i="34"/>
  <c r="H54" i="34" s="1"/>
  <c r="G53" i="34"/>
  <c r="H53" i="34" s="1"/>
  <c r="G48" i="40"/>
  <c r="H48" i="40" s="1"/>
  <c r="G49" i="40"/>
  <c r="H49" i="40" s="1"/>
  <c r="I49" i="40"/>
  <c r="J49" i="40" s="1"/>
  <c r="E49" i="40"/>
  <c r="F49" i="40" s="1"/>
  <c r="E48" i="40"/>
  <c r="F48" i="40" s="1"/>
  <c r="C50" i="34"/>
  <c r="B3" i="34" s="1"/>
  <c r="B2" i="34" s="1"/>
  <c r="C49" i="34"/>
  <c r="I53" i="34"/>
  <c r="J53" i="34" s="1"/>
  <c r="I54" i="34"/>
  <c r="J54" i="34" s="1"/>
  <c r="C44" i="40"/>
  <c r="H9" i="39" l="1"/>
  <c r="N70" i="39"/>
  <c r="N72" i="39" s="1"/>
  <c r="M72" i="39"/>
  <c r="C37" i="15"/>
  <c r="C30" i="15" s="1"/>
  <c r="C39" i="15" s="1"/>
  <c r="Q71" i="15"/>
  <c r="J35" i="15"/>
  <c r="C55" i="15"/>
  <c r="C64" i="15" s="1"/>
  <c r="Q49" i="15"/>
  <c r="B4" i="43"/>
  <c r="B5" i="43"/>
  <c r="B3" i="43"/>
  <c r="J22" i="15"/>
  <c r="J13" i="15"/>
  <c r="J23" i="15" s="1"/>
  <c r="C60" i="15"/>
  <c r="C58" i="15" s="1"/>
  <c r="C63" i="15"/>
  <c r="C15" i="44"/>
  <c r="C35" i="44"/>
  <c r="C33" i="44" s="1"/>
  <c r="Q51" i="44"/>
  <c r="C38" i="44"/>
  <c r="J16" i="44"/>
  <c r="J21" i="44"/>
  <c r="J19" i="44" s="1"/>
  <c r="C46" i="9"/>
  <c r="B56" i="40"/>
  <c r="F56" i="40" s="1"/>
  <c r="B54" i="40"/>
  <c r="F54" i="40" s="1"/>
  <c r="B57" i="40"/>
  <c r="F57" i="40" s="1"/>
  <c r="B61" i="40"/>
  <c r="F61" i="40" s="1"/>
  <c r="B62" i="40"/>
  <c r="F62" i="40" s="1"/>
  <c r="B58" i="40"/>
  <c r="F58" i="40" s="1"/>
  <c r="B55" i="40"/>
  <c r="F55" i="40" s="1"/>
  <c r="B59" i="40"/>
  <c r="F59" i="40" s="1"/>
  <c r="B53" i="40"/>
  <c r="F53" i="40" s="1"/>
  <c r="B60" i="40"/>
  <c r="F60" i="40" s="1"/>
  <c r="L51" i="15"/>
  <c r="F9" i="39" l="1"/>
  <c r="J9" i="39"/>
  <c r="AB9" i="39"/>
  <c r="T49" i="39" s="1"/>
  <c r="G49" i="39" s="1"/>
  <c r="U9" i="39"/>
  <c r="F63" i="40"/>
  <c r="B2" i="40" s="1"/>
  <c r="J16" i="15"/>
  <c r="J25" i="15" s="1"/>
  <c r="L57" i="15"/>
  <c r="L60" i="15" s="1"/>
  <c r="Q68" i="15"/>
  <c r="J24" i="44"/>
  <c r="J15" i="44"/>
  <c r="J25" i="44" s="1"/>
  <c r="Q72" i="44"/>
  <c r="C39" i="44"/>
  <c r="C32" i="44" s="1"/>
  <c r="C42" i="44" s="1"/>
  <c r="C43" i="44"/>
  <c r="C57" i="15"/>
  <c r="C66" i="15" s="1"/>
  <c r="C67" i="15" s="1"/>
  <c r="Q70" i="15"/>
  <c r="Q69" i="15" s="1"/>
  <c r="C40" i="15"/>
  <c r="J39" i="15"/>
  <c r="J40" i="15" s="1"/>
  <c r="K33" i="9"/>
  <c r="K34" i="9" s="1"/>
  <c r="O41" i="9"/>
  <c r="R8" i="54" s="1"/>
  <c r="B54" i="63" s="1"/>
  <c r="F46" i="9"/>
  <c r="E46" i="9"/>
  <c r="D46" i="9"/>
  <c r="I14" i="66"/>
  <c r="B8" i="66" s="1"/>
  <c r="C19" i="9"/>
  <c r="G54" i="39" l="1"/>
  <c r="H54" i="39" s="1"/>
  <c r="G53" i="39"/>
  <c r="H53" i="39" s="1"/>
  <c r="W9" i="39"/>
  <c r="AC9" i="39"/>
  <c r="V49" i="39" s="1"/>
  <c r="I49" i="39" s="1"/>
  <c r="I53" i="39" s="1"/>
  <c r="J53" i="39" s="1"/>
  <c r="AA9" i="39"/>
  <c r="R49" i="39" s="1"/>
  <c r="S9" i="39"/>
  <c r="L43" i="9"/>
  <c r="B4" i="40"/>
  <c r="B5" i="40"/>
  <c r="B3" i="40"/>
  <c r="Q67" i="15"/>
  <c r="L46" i="15"/>
  <c r="Q58" i="15"/>
  <c r="J18" i="44"/>
  <c r="J27" i="44" s="1"/>
  <c r="Q71" i="44"/>
  <c r="Q70" i="44" s="1"/>
  <c r="C44" i="44"/>
  <c r="C45" i="44" s="1"/>
  <c r="C70" i="15"/>
  <c r="C46" i="15"/>
  <c r="Q57" i="15"/>
  <c r="Q63" i="15" s="1"/>
  <c r="Q48" i="15"/>
  <c r="Q54" i="15" s="1"/>
  <c r="Q66" i="15"/>
  <c r="Q76" i="15" s="1"/>
  <c r="C43" i="15"/>
  <c r="B2" i="15"/>
  <c r="J42" i="15"/>
  <c r="J43" i="15" s="1"/>
  <c r="D8" i="66"/>
  <c r="C8" i="66"/>
  <c r="C21" i="9"/>
  <c r="C20" i="9"/>
  <c r="E49" i="39" l="1"/>
  <c r="R50" i="39"/>
  <c r="B3" i="15"/>
  <c r="C8" i="12" s="1"/>
  <c r="C10" i="12"/>
  <c r="C6" i="12" s="1"/>
  <c r="B2" i="44"/>
  <c r="L52" i="44"/>
  <c r="I54" i="39" l="1"/>
  <c r="J54" i="39" s="1"/>
  <c r="E54" i="39"/>
  <c r="F54" i="39" s="1"/>
  <c r="E53" i="39"/>
  <c r="F53" i="39" s="1"/>
  <c r="C50" i="39"/>
  <c r="C49" i="39"/>
  <c r="C24" i="12"/>
  <c r="C29" i="12"/>
  <c r="B3" i="44"/>
  <c r="B5" i="44"/>
  <c r="B4" i="44"/>
  <c r="Q69" i="44"/>
  <c r="L58" i="44"/>
  <c r="L61" i="44" s="1"/>
  <c r="B59" i="39" l="1"/>
  <c r="F59" i="39" s="1"/>
  <c r="B66" i="39"/>
  <c r="F66" i="39" s="1"/>
  <c r="B62" i="39"/>
  <c r="F62" i="39" s="1"/>
  <c r="B65" i="39"/>
  <c r="F65" i="39" s="1"/>
  <c r="B60" i="39"/>
  <c r="F60" i="39" s="1"/>
  <c r="B61" i="39"/>
  <c r="F61" i="39" s="1"/>
  <c r="B63" i="39"/>
  <c r="F63" i="39" s="1"/>
  <c r="B67" i="39"/>
  <c r="F67" i="39" s="1"/>
  <c r="B58" i="39"/>
  <c r="F58" i="39" s="1"/>
  <c r="B64" i="39"/>
  <c r="F64" i="39" s="1"/>
  <c r="F68" i="39"/>
  <c r="B2" i="39" s="1"/>
  <c r="C35" i="12"/>
  <c r="C33" i="12" s="1"/>
  <c r="C28" i="12"/>
  <c r="C26" i="12" s="1"/>
  <c r="C31" i="12" s="1"/>
  <c r="C30" i="12" s="1"/>
  <c r="Q59" i="44"/>
  <c r="Q64" i="44" s="1"/>
  <c r="Q68" i="44"/>
  <c r="Q77" i="44" s="1"/>
  <c r="B5" i="39" l="1"/>
  <c r="B3" i="39"/>
  <c r="B4" i="39"/>
  <c r="C36" i="12"/>
  <c r="B2" i="12" s="1"/>
  <c r="D19" i="9"/>
  <c r="L44" i="9" l="1"/>
  <c r="G19" i="9"/>
  <c r="D22" i="9"/>
  <c r="B5" i="12"/>
  <c r="B3" i="12"/>
  <c r="B4" i="12"/>
  <c r="D21" i="9"/>
  <c r="D20" i="9"/>
  <c r="G20" i="9" l="1"/>
  <c r="G21" i="9"/>
  <c r="C32" i="9"/>
  <c r="N43" i="9"/>
  <c r="G22" i="9"/>
  <c r="C42" i="9" l="1"/>
  <c r="C34" i="9"/>
  <c r="C33" i="9"/>
  <c r="O43" i="9"/>
  <c r="C35" i="9"/>
  <c r="F42" i="9" s="1"/>
  <c r="O38" i="9"/>
  <c r="N38" i="9" l="1"/>
  <c r="K28" i="9" s="1"/>
  <c r="D42" i="9"/>
  <c r="Q5" i="54" s="1"/>
  <c r="B47" i="63" s="1"/>
  <c r="C44" i="9"/>
  <c r="R5" i="54"/>
  <c r="B48" i="63" s="1"/>
  <c r="D14" i="66"/>
  <c r="N68" i="9"/>
  <c r="D63" i="9"/>
  <c r="K25" i="9"/>
  <c r="K26" i="9"/>
  <c r="E42" i="9"/>
  <c r="P5" i="54" s="1"/>
  <c r="B46" i="63" s="1"/>
  <c r="M38" i="9"/>
  <c r="K27" i="9" s="1"/>
  <c r="D73" i="9" l="1"/>
  <c r="N73" i="9" s="1"/>
  <c r="C96" i="9"/>
  <c r="C91" i="9" s="1"/>
  <c r="C103" i="9"/>
  <c r="C90" i="9"/>
  <c r="C97" i="9" s="1"/>
  <c r="C111" i="9"/>
  <c r="C104" i="9" s="1"/>
  <c r="C82" i="9"/>
  <c r="C81" i="9" s="1"/>
  <c r="C85" i="9" s="1"/>
  <c r="C86" i="9" s="1"/>
  <c r="D72" i="9" s="1"/>
  <c r="D70" i="9"/>
  <c r="D71" i="9"/>
  <c r="D66" i="9" s="1"/>
  <c r="N72" i="9" s="1"/>
  <c r="F14" i="66"/>
  <c r="E14" i="66"/>
  <c r="O39" i="9"/>
  <c r="E44" i="9"/>
  <c r="N69" i="9"/>
  <c r="D44" i="9"/>
  <c r="G14" i="66"/>
  <c r="F44" i="9"/>
  <c r="C113" i="9" l="1"/>
  <c r="M84" i="9"/>
  <c r="N84" i="9" s="1"/>
  <c r="M87" i="9"/>
  <c r="N87" i="9" s="1"/>
  <c r="M83" i="9"/>
  <c r="N83" i="9" s="1"/>
  <c r="M86" i="9"/>
  <c r="N86" i="9" s="1"/>
  <c r="M88" i="9"/>
  <c r="N88" i="9" s="1"/>
  <c r="M85" i="9"/>
  <c r="N85" i="9" s="1"/>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E15" i="66" l="1"/>
  <c r="F15" i="66"/>
  <c r="B5" i="66"/>
  <c r="B6" i="66" l="1"/>
  <c r="C5" i="66"/>
  <c r="D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<sst xmlns="http://schemas.openxmlformats.org/spreadsheetml/2006/main" count="7046" uniqueCount="3117">
  <si>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</si>
  <si>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</si>
  <si>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</si>
  <si>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</si>
  <si>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</si>
  <si>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</si>
  <si>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</si>
  <si>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</si>
  <si>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</si>
  <si>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</si>
  <si>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</si>
  <si>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</si>
  <si>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</si>
  <si>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</si>
  <si>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</si>
  <si>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</si>
  <si>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</si>
  <si>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</si>
  <si>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</si>
  <si>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</si>
  <si>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</si>
  <si>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</si>
  <si>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</si>
  <si>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</si>
  <si>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</si>
  <si>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</si>
  <si>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</si>
  <si>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</si>
  <si>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</si>
  <si>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</si>
  <si>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</si>
  <si>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</si>
  <si>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</si>
  <si>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</si>
  <si>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</si>
  <si>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</si>
  <si>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</si>
  <si>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</si>
  <si>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</si>
  <si>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</si>
  <si>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</si>
  <si>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</si>
  <si>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</si>
  <si>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</si>
  <si>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</si>
  <si>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</si>
  <si>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</si>
  <si>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</si>
  <si>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</si>
  <si>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</si>
  <si>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</si>
  <si>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</si>
  <si>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</si>
  <si>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</si>
  <si>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</si>
  <si>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</si>
  <si>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</si>
  <si>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</si>
  <si>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</si>
  <si>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</si>
  <si>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</si>
  <si>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</si>
  <si>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</si>
  <si>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</si>
  <si>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</si>
  <si>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</si>
  <si>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</si>
  <si>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</si>
  <si>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</si>
  <si>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</si>
  <si>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</si>
  <si>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</si>
  <si>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</si>
  <si>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</si>
  <si>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</si>
  <si>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</si>
  <si>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</si>
  <si>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</si>
  <si>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</si>
  <si>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</si>
  <si>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</si>
  <si>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</si>
  <si>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</si>
  <si>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</si>
  <si>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</si>
  <si>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</si>
  <si>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</si>
  <si>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</si>
  <si>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</si>
  <si>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</si>
  <si>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</si>
  <si>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</si>
  <si>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</si>
  <si>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</si>
  <si>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</si>
  <si>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</si>
  <si>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</si>
  <si>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</si>
  <si>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</si>
  <si>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</si>
  <si>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</si>
  <si>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</si>
  <si>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</si>
  <si>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</si>
  <si>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</si>
  <si>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</si>
  <si>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</si>
  <si>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</si>
  <si>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</si>
  <si>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</si>
  <si>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</si>
  <si>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</si>
  <si>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</si>
  <si>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</si>
  <si>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</si>
  <si>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</si>
  <si>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</si>
  <si>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</si>
  <si>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</si>
  <si>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</si>
  <si>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</si>
  <si>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</si>
  <si>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</si>
  <si>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</si>
  <si>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</si>
  <si>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</si>
  <si>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</si>
  <si>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</si>
  <si>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</si>
  <si>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</si>
  <si>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</si>
  <si>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</si>
  <si>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</si>
  <si>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</si>
  <si>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</si>
  <si>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</si>
  <si>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</si>
  <si>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</si>
  <si>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</si>
  <si>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</si>
  <si>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</si>
  <si>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</si>
  <si>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</si>
  <si>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</si>
  <si>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</si>
  <si>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</si>
  <si>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</si>
  <si>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</si>
  <si>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</si>
  <si>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</si>
  <si>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</si>
  <si>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</si>
  <si>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</si>
  <si>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</si>
  <si>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</si>
  <si>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</si>
  <si>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</si>
  <si>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</si>
  <si>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</si>
  <si>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</si>
  <si>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</si>
  <si>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</si>
  <si>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</si>
  <si>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</si>
  <si>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</si>
  <si>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</si>
  <si>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</si>
  <si>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</si>
  <si>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</si>
  <si>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</si>
  <si>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</si>
  <si>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</si>
  <si>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</si>
  <si>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</si>
  <si>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</si>
  <si>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</si>
  <si>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</si>
  <si>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</si>
  <si>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</si>
  <si>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</si>
  <si>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</si>
  <si>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</si>
  <si>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</si>
  <si>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</si>
  <si>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</si>
  <si>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</si>
  <si>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</si>
  <si>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</si>
  <si>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</si>
  <si>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</si>
  <si>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</si>
  <si>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</si>
  <si>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</si>
  <si>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</si>
  <si>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</si>
  <si>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</si>
  <si>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</si>
  <si>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</si>
  <si>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</si>
  <si>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</si>
  <si>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</si>
  <si>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</si>
  <si>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</si>
  <si>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</si>
  <si>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</si>
  <si>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</si>
  <si>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</si>
  <si>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</si>
  <si>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</si>
  <si>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</si>
  <si>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</si>
  <si>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</si>
  <si>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</si>
  <si>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</si>
  <si>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</si>
  <si>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</si>
  <si>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</si>
  <si>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</si>
  <si>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</si>
  <si>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</si>
  <si>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</si>
  <si>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</si>
  <si>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</si>
  <si>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</si>
  <si>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</si>
  <si>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</si>
  <si>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</si>
  <si>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</si>
  <si>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</si>
  <si>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</si>
  <si>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</si>
  <si>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</si>
  <si>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</si>
  <si>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</si>
  <si>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</si>
  <si>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</si>
  <si>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</si>
  <si>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</si>
  <si>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</si>
  <si>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</si>
  <si>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</si>
  <si>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</si>
  <si>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</si>
  <si>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</si>
  <si>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</si>
  <si>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</si>
  <si>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</si>
  <si>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</si>
  <si>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</si>
  <si>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</si>
  <si>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</si>
  <si>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</si>
  <si>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</si>
  <si>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</si>
  <si>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</si>
  <si>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</si>
  <si>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</si>
  <si>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</si>
  <si>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</si>
  <si>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</si>
  <si>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</si>
  <si>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</si>
  <si>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</si>
  <si>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</si>
  <si>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</si>
  <si>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</si>
  <si>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</si>
  <si>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</si>
  <si>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</si>
  <si>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</si>
  <si>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</si>
  <si>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</si>
  <si>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</si>
  <si>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</si>
  <si>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</si>
  <si>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</si>
  <si>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</si>
  <si>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</si>
  <si>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</si>
  <si>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</si>
  <si>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</si>
  <si>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</si>
  <si>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</si>
  <si>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</si>
  <si>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</si>
  <si>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</si>
  <si>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</si>
  <si>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</si>
  <si>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</si>
  <si>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</si>
  <si>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</si>
  <si>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</si>
  <si>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</si>
  <si>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</si>
  <si>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</si>
  <si>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</si>
  <si>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</si>
  <si>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</si>
  <si>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</si>
  <si>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</si>
  <si>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</si>
  <si>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</si>
  <si>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</si>
  <si>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</si>
  <si>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</si>
  <si>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</si>
  <si>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</si>
  <si>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</si>
  <si>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</si>
  <si>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</si>
  <si>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</si>
  <si>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</si>
  <si>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</si>
  <si>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</si>
  <si>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</si>
  <si>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</si>
  <si>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</si>
  <si>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</si>
  <si>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</si>
  <si>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</si>
  <si>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</si>
  <si>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</si>
  <si>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</si>
  <si>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</si>
  <si>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</si>
  <si>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</si>
  <si>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</si>
  <si>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</si>
  <si>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</si>
  <si>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</si>
  <si>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</si>
  <si>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</si>
  <si>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</si>
  <si>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</si>
  <si>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</si>
  <si>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</si>
  <si>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</si>
  <si>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</si>
  <si>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</si>
  <si>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</si>
  <si>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</si>
  <si>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</si>
  <si>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</si>
  <si>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</si>
  <si>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</si>
  <si>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</si>
  <si>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</si>
  <si>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</si>
  <si>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</si>
  <si>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</si>
  <si>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</si>
  <si>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</si>
  <si>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</si>
  <si>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</si>
  <si>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</si>
  <si>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</si>
  <si>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</si>
  <si>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</si>
  <si>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</si>
  <si>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</si>
  <si>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</si>
  <si>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</si>
  <si>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</si>
  <si>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</si>
  <si>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</si>
  <si>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</si>
  <si>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</si>
  <si>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</si>
  <si>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</si>
  <si>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</si>
  <si>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</si>
  <si>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</si>
  <si>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</si>
  <si>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</si>
  <si>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</si>
  <si>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</si>
  <si>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</si>
  <si>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</si>
  <si>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</si>
  <si>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</si>
  <si>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</si>
  <si>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</si>
  <si>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</si>
  <si>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</si>
  <si>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</si>
  <si>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</si>
  <si>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</si>
  <si>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</si>
  <si>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</si>
  <si>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</si>
  <si>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</si>
  <si>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</si>
  <si>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</si>
  <si>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</si>
  <si>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</si>
  <si>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</si>
  <si>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</si>
  <si>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</si>
  <si>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</si>
  <si>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</si>
  <si>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</si>
  <si>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</si>
  <si>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</si>
  <si>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</si>
  <si>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</si>
  <si>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</si>
  <si>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</si>
  <si>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</si>
  <si>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</si>
  <si>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</si>
  <si>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</si>
  <si>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</si>
  <si>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</si>
  <si>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</si>
  <si>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</si>
  <si>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</si>
  <si>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</si>
  <si>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</si>
  <si>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</si>
  <si>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</si>
  <si>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</si>
  <si>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</si>
  <si>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</si>
  <si>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</si>
  <si>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</si>
  <si>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</si>
  <si>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</si>
  <si>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</si>
  <si>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</si>
  <si>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</si>
  <si>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</si>
  <si>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</si>
  <si>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</si>
  <si>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</si>
  <si>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</si>
  <si>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</si>
  <si>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</si>
  <si>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</si>
  <si>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</si>
  <si>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</si>
  <si>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</si>
  <si>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</si>
  <si>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</si>
  <si>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</si>
  <si>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</si>
  <si>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</si>
  <si>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</si>
  <si>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</si>
  <si>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</si>
  <si>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</si>
  <si>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</si>
  <si>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</si>
  <si>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</si>
  <si>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</si>
  <si>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</si>
  <si>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</si>
  <si>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</si>
  <si>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</si>
  <si>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</si>
  <si>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</si>
  <si>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</si>
  <si>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</si>
  <si>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</si>
  <si>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</si>
  <si>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</si>
  <si>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</si>
  <si>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</si>
  <si>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</si>
  <si>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</si>
  <si>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</si>
  <si>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</si>
  <si>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</si>
  <si>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</si>
  <si>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</si>
  <si>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</si>
  <si>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</si>
  <si>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</si>
  <si>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</si>
  <si>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</si>
  <si>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</si>
  <si>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</si>
  <si>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</si>
  <si>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</si>
  <si>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</si>
  <si>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</si>
  <si>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</si>
  <si>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</si>
  <si>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</si>
  <si>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</si>
  <si>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</si>
  <si>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</si>
  <si>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</si>
  <si>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</si>
  <si>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</si>
  <si>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</si>
  <si>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</si>
  <si>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</si>
  <si>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</si>
  <si>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</si>
  <si>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</si>
  <si>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</si>
  <si>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</si>
  <si>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</si>
  <si>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</si>
  <si>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</si>
  <si>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</si>
  <si>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</si>
  <si>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</si>
  <si>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</si>
  <si>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</si>
  <si>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</si>
  <si>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</si>
  <si>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</si>
  <si>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</si>
  <si>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</si>
  <si>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</si>
  <si>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</si>
  <si>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</si>
  <si>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</si>
  <si>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</si>
  <si>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</si>
  <si>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</si>
  <si>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</si>
  <si>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</si>
  <si>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</si>
  <si>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</si>
  <si>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</si>
  <si>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</si>
  <si>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</si>
  <si>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</si>
  <si>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</si>
  <si>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</si>
  <si>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</si>
  <si>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</si>
  <si>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</si>
  <si>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</si>
  <si>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</si>
  <si>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</si>
  <si>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</si>
  <si>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</si>
  <si>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</si>
  <si>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</si>
  <si>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</si>
  <si>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</si>
  <si>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</si>
  <si>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</si>
  <si>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</si>
  <si>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</si>
  <si>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</si>
  <si>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</si>
  <si>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</si>
  <si>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</si>
  <si>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</si>
  <si>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</si>
  <si>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</si>
  <si>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</si>
  <si>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</si>
  <si>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</si>
  <si>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</si>
  <si>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</si>
  <si>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</si>
  <si>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</si>
  <si>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</si>
  <si>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</si>
  <si>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</si>
  <si>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</si>
  <si>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</si>
  <si>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</si>
  <si>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</si>
  <si>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</si>
  <si>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</si>
  <si>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</si>
  <si>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</si>
  <si>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</si>
  <si>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</si>
  <si>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</si>
  <si>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</si>
  <si>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</si>
  <si>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</si>
  <si>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</si>
  <si>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</si>
  <si>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</si>
  <si>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</si>
  <si>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</si>
  <si>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</si>
  <si>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</si>
  <si>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</si>
  <si>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</si>
  <si>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</si>
  <si>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</si>
  <si>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</si>
  <si>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</si>
  <si>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</si>
  <si>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</si>
  <si>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</si>
  <si>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</si>
  <si>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</si>
  <si>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</si>
  <si>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</si>
  <si>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</si>
  <si>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</si>
  <si>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</si>
  <si>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</si>
  <si>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</si>
  <si>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</si>
  <si>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</si>
  <si>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</si>
  <si>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</si>
  <si>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</si>
  <si>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</si>
  <si>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</si>
  <si>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</si>
  <si>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</si>
  <si>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</si>
  <si>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</si>
  <si>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</si>
  <si>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</si>
  <si>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</si>
  <si>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</si>
  <si>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</si>
  <si>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</si>
  <si>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</si>
  <si>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</si>
  <si>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</si>
  <si>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</si>
  <si>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</si>
  <si>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</si>
  <si>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</si>
  <si>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</si>
  <si>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</si>
  <si>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</si>
  <si>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</si>
  <si>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</si>
  <si>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</si>
  <si>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</si>
  <si>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</si>
  <si>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</si>
  <si>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</si>
  <si>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</si>
  <si>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</si>
  <si>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</si>
  <si>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</si>
  <si>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</si>
  <si>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</si>
  <si>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</si>
  <si>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</si>
  <si>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</si>
  <si>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</si>
  <si>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</si>
  <si>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</si>
  <si>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</si>
  <si>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</si>
  <si>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</si>
  <si>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</si>
  <si>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</si>
  <si>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</si>
  <si>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</si>
  <si>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</si>
  <si>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</si>
  <si>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</si>
  <si>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</si>
  <si>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</si>
  <si>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</si>
  <si>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</si>
  <si>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</si>
  <si>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</si>
  <si>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</si>
  <si>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</si>
  <si>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</si>
  <si>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</si>
  <si>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</si>
  <si>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</si>
  <si>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</si>
  <si>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</si>
  <si>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</si>
  <si>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</si>
  <si>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</si>
  <si>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</si>
  <si>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</si>
  <si>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</si>
  <si>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</si>
  <si>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</si>
  <si>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</si>
  <si>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</si>
  <si>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</si>
  <si>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</si>
  <si>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</si>
  <si>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</si>
  <si>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</si>
  <si>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</si>
  <si>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</si>
  <si>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</si>
  <si>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</si>
  <si>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</si>
  <si>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</si>
  <si>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</si>
  <si>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</si>
  <si>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</si>
  <si>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</si>
  <si>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</si>
  <si>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</si>
  <si>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</si>
  <si>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</si>
  <si>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</si>
  <si>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</si>
  <si>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</si>
  <si>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</si>
  <si>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</si>
  <si>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</si>
  <si>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</si>
  <si>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</si>
  <si>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</si>
  <si>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</si>
  <si>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</si>
  <si>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</si>
  <si>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</si>
  <si>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</si>
  <si>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</si>
  <si>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</si>
  <si>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</si>
  <si>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</si>
  <si>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</si>
  <si>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</si>
  <si>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</si>
  <si>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</si>
  <si>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</si>
  <si>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</si>
  <si>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</si>
  <si>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</si>
  <si>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</si>
  <si>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</si>
  <si>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</si>
  <si>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</si>
  <si>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</si>
  <si>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</si>
  <si>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</si>
  <si>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</si>
  <si>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</si>
  <si>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</si>
  <si>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</si>
  <si>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</si>
  <si>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</si>
  <si>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</si>
  <si>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</si>
  <si>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</si>
  <si>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</si>
  <si>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</si>
  <si>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</si>
  <si>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</si>
  <si>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</si>
  <si>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</si>
  <si>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</si>
  <si>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</si>
  <si>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</si>
  <si>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</si>
  <si>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</si>
  <si>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</si>
  <si>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</si>
  <si>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</si>
  <si>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</si>
  <si>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</si>
  <si>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</si>
  <si>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</si>
  <si>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</si>
  <si>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</si>
  <si>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</si>
  <si>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</si>
  <si>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</si>
  <si>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</si>
  <si>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</si>
  <si>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</si>
  <si>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</si>
  <si>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</si>
  <si>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</si>
  <si>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</si>
  <si>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</si>
  <si>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</si>
  <si>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</si>
  <si>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</si>
  <si>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</si>
  <si>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</si>
  <si>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</si>
  <si>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</si>
  <si>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</si>
  <si>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</si>
  <si>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</si>
  <si>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</si>
  <si>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</si>
  <si>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</si>
  <si>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</si>
  <si>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</si>
  <si>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</si>
  <si>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</si>
  <si>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</si>
  <si>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</si>
  <si>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</si>
  <si>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</si>
  <si>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</si>
  <si>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</si>
  <si>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</si>
  <si>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</si>
  <si>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</si>
  <si>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</si>
  <si>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</si>
  <si>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</si>
  <si>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</si>
  <si>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</si>
  <si>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</si>
  <si>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</si>
  <si>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</si>
  <si>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</si>
  <si>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</si>
  <si>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</si>
  <si>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</si>
  <si>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</si>
  <si>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</si>
  <si>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</si>
  <si>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</si>
  <si>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</si>
  <si>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</si>
  <si>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</si>
  <si>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</si>
  <si>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</si>
  <si>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</si>
  <si>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</si>
  <si>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</si>
  <si>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</si>
  <si>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</si>
  <si>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</si>
  <si>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</si>
  <si>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</si>
  <si>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</si>
  <si>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</si>
  <si>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</si>
  <si>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</si>
  <si>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</si>
  <si>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</si>
  <si>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</si>
  <si>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</si>
  <si>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</si>
  <si>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</si>
  <si>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</si>
  <si>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</si>
  <si>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</si>
  <si>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</si>
  <si>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</si>
  <si>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</si>
  <si>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</si>
  <si>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</si>
  <si>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</si>
  <si>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</si>
  <si>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</si>
  <si>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</si>
  <si>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</si>
  <si>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</si>
  <si>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</si>
  <si>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</si>
  <si>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</si>
  <si>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</si>
  <si>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</si>
  <si>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</si>
  <si>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</si>
  <si>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</si>
  <si>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</si>
  <si>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</si>
  <si>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</si>
  <si>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</si>
  <si>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</si>
  <si>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</si>
  <si>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</si>
  <si>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</si>
  <si>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</si>
  <si>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</si>
  <si>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</si>
  <si>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</si>
  <si>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</si>
  <si>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</si>
  <si>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</si>
  <si>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</si>
  <si>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</si>
  <si>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</si>
  <si>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</si>
  <si>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</si>
  <si>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</si>
  <si>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</si>
  <si>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</si>
  <si>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</si>
  <si>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</si>
  <si>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</si>
  <si>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</si>
  <si>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</si>
  <si>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</si>
  <si>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</si>
  <si>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</si>
  <si>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</si>
  <si>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</si>
  <si>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</si>
  <si>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</si>
  <si>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</si>
  <si>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</si>
  <si>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</si>
  <si>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</si>
  <si>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</si>
  <si>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</si>
  <si>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</si>
  <si>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</si>
  <si>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</si>
  <si>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</si>
  <si>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</si>
  <si>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</si>
  <si>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</si>
  <si>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</si>
  <si>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</si>
  <si>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</si>
  <si>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</si>
  <si>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</si>
  <si>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</si>
  <si>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</si>
  <si>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</si>
  <si>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</si>
  <si>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</si>
  <si>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</si>
  <si>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</si>
  <si>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</si>
  <si>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</si>
  <si>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</si>
  <si>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</si>
  <si>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</si>
  <si>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</si>
  <si>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</si>
  <si>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</si>
  <si>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</si>
  <si>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</si>
  <si>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</si>
  <si>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</si>
  <si>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</si>
  <si>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</si>
  <si>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</si>
  <si>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</si>
  <si>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</si>
  <si>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</si>
  <si>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</si>
  <si>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</si>
  <si>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</si>
  <si>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</si>
  <si>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</si>
  <si>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</si>
  <si>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</si>
  <si>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</si>
  <si>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</si>
  <si>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</si>
  <si>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</si>
  <si>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</si>
  <si>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</si>
  <si>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</si>
  <si>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</si>
  <si>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</si>
  <si>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</si>
  <si>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</si>
  <si>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</si>
  <si>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</si>
  <si>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</si>
  <si>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</si>
  <si>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</si>
  <si>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</si>
  <si>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</si>
  <si>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</si>
  <si>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</si>
  <si>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</si>
  <si>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</si>
  <si>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</si>
  <si>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</si>
  <si>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</si>
  <si>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</si>
  <si>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</si>
  <si>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</si>
  <si>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</si>
  <si>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</si>
  <si>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</si>
  <si>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</si>
  <si>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</si>
  <si>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</si>
  <si>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</si>
  <si>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</si>
  <si>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</si>
  <si>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</si>
  <si>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</si>
  <si>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</si>
  <si>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</si>
  <si>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</si>
  <si>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</si>
  <si>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</si>
  <si>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</si>
  <si>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</si>
  <si>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</si>
  <si>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</si>
  <si>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</si>
  <si>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</si>
  <si>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</si>
  <si>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</si>
  <si>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</si>
  <si>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</si>
  <si>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</si>
  <si>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</si>
  <si>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</si>
  <si>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</si>
  <si>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</si>
  <si>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</si>
  <si>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</si>
  <si>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</si>
  <si>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</si>
  <si>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</si>
  <si>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</si>
  <si>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</si>
  <si>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</si>
  <si>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</si>
  <si>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</si>
  <si>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</si>
  <si>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</si>
  <si>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</si>
  <si>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</si>
  <si>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</si>
  <si>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</si>
  <si>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</si>
  <si>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</si>
  <si>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</si>
  <si>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</si>
  <si>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</si>
  <si>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</si>
  <si>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</si>
  <si>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</si>
  <si>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</si>
  <si>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</si>
  <si>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</si>
  <si>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</si>
  <si>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</si>
  <si>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</si>
  <si>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</si>
  <si>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</si>
  <si>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</si>
  <si>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</si>
  <si>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</si>
  <si>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</si>
  <si>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</si>
  <si>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</si>
  <si>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</si>
  <si>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</si>
  <si>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</si>
  <si>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</si>
  <si>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</si>
  <si>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</si>
  <si>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</si>
  <si>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</si>
  <si>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</si>
  <si>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</si>
  <si>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</si>
  <si>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</si>
  <si>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</si>
  <si>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</si>
  <si>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</si>
  <si>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</si>
  <si>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</si>
  <si>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</si>
  <si>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</si>
  <si>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</si>
  <si>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</si>
  <si>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</si>
  <si>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</si>
  <si>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</si>
  <si>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</si>
  <si>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</si>
  <si>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</si>
  <si>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</si>
  <si>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</si>
  <si>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</si>
  <si>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</si>
  <si>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</si>
  <si>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</si>
  <si>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</si>
  <si>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</si>
  <si>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</si>
  <si>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</si>
  <si>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</si>
  <si>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</si>
  <si>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</si>
  <si>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</si>
  <si>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</si>
  <si>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</si>
  <si>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</si>
  <si>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</si>
  <si>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</si>
  <si>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</si>
  <si>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</si>
  <si>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</si>
  <si>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</si>
  <si>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</si>
  <si>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</si>
  <si>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</si>
  <si>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</si>
  <si>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</si>
  <si>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</si>
  <si>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</si>
  <si>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</si>
  <si>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</si>
  <si>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</si>
  <si>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</si>
  <si>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</si>
  <si>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</si>
  <si>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</si>
  <si>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</si>
  <si>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</si>
  <si>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</si>
  <si>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</si>
  <si>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</si>
  <si>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</si>
  <si>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</si>
  <si>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</si>
  <si>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</si>
  <si>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</si>
  <si>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</si>
  <si>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</si>
  <si>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</si>
  <si>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</si>
  <si>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</si>
  <si>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</si>
  <si>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</si>
  <si>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</si>
  <si>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</si>
  <si>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</si>
  <si>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</si>
  <si>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</si>
  <si>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</si>
  <si>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</si>
  <si>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</si>
  <si>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</si>
  <si>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</si>
  <si>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</si>
  <si>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</si>
  <si>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</si>
  <si>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</si>
  <si>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</si>
  <si>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</si>
  <si>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</si>
  <si>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</si>
  <si>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</si>
  <si>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</si>
  <si>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</si>
  <si>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</si>
  <si>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</si>
  <si>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</si>
  <si>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</si>
  <si>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</si>
  <si>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</si>
  <si>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</si>
  <si>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</si>
  <si>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</si>
  <si>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</si>
  <si>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</si>
  <si>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</si>
  <si>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</si>
  <si>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</si>
  <si>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</si>
  <si>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</si>
  <si>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</si>
  <si>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</si>
  <si>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</si>
  <si>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</si>
  <si>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</si>
  <si>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</si>
  <si>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</si>
  <si>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</si>
  <si>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</si>
  <si>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</si>
  <si>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</si>
  <si>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</si>
  <si>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</si>
  <si>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</si>
  <si>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</si>
  <si>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</si>
  <si>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</si>
  <si>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</si>
  <si>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</si>
  <si>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</si>
  <si>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</si>
  <si>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</si>
  <si>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</si>
  <si>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</si>
  <si>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</si>
  <si>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</si>
  <si>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</si>
  <si>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</si>
  <si>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</si>
  <si>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</si>
  <si>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</si>
  <si>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</si>
  <si>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</si>
  <si>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</si>
  <si>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</si>
  <si>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</si>
  <si>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</si>
  <si>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</si>
  <si>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</si>
  <si>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</si>
  <si>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</si>
  <si>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</si>
  <si>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</si>
  <si>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</si>
  <si>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</si>
  <si>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</si>
  <si>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</si>
  <si>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</si>
  <si>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</si>
  <si>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</si>
  <si>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</si>
  <si>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</si>
  <si>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</si>
  <si>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</si>
  <si>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</si>
  <si>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</si>
  <si>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</si>
  <si>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</si>
  <si>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</si>
  <si>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</si>
  <si>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</si>
  <si>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</si>
  <si>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</si>
  <si>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</si>
  <si>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</si>
  <si>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</si>
  <si>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</si>
  <si>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</si>
  <si>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</si>
  <si>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</si>
  <si>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</si>
  <si>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</si>
  <si>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</si>
  <si>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</si>
  <si>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</si>
  <si>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</si>
  <si>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</si>
  <si>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</si>
  <si>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</si>
  <si>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</si>
  <si>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</si>
  <si>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</si>
  <si>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</si>
  <si>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</si>
  <si>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</si>
  <si>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</si>
  <si>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</si>
  <si>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</si>
  <si>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</si>
  <si>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</si>
  <si>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</si>
  <si>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</si>
  <si>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</si>
  <si>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</si>
  <si>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</si>
  <si>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</si>
  <si>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</si>
  <si>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</si>
  <si>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</si>
  <si>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</si>
  <si>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</si>
  <si>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</si>
  <si>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</si>
  <si>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</si>
  <si>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</si>
  <si>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</si>
  <si>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</si>
  <si>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</si>
  <si>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</si>
  <si>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</si>
  <si>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</si>
  <si>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</si>
  <si>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</si>
  <si>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</si>
  <si>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</si>
  <si>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</si>
  <si>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</si>
  <si>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</si>
  <si>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</si>
  <si>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</si>
  <si>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</si>
  <si>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</si>
  <si>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</si>
  <si>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</si>
  <si>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</si>
  <si>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</si>
  <si>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</si>
  <si>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</si>
  <si>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</si>
  <si>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</si>
  <si>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</si>
  <si>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</si>
  <si>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</si>
  <si>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</si>
  <si>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</si>
  <si>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</si>
  <si>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</si>
  <si>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</si>
  <si>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</si>
  <si>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</si>
  <si>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</si>
  <si>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</si>
  <si>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</si>
  <si>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</si>
  <si>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</si>
  <si>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</si>
  <si>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</si>
  <si>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</si>
  <si>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</si>
  <si>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</si>
  <si>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</si>
  <si>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</si>
  <si>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</si>
  <si>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</si>
  <si>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</si>
  <si>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</si>
  <si>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</si>
  <si>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</si>
  <si>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</si>
  <si>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</si>
  <si>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</si>
  <si>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</si>
  <si>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</si>
  <si>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</si>
  <si>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</si>
  <si>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</si>
  <si>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</si>
  <si>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</si>
  <si>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</si>
  <si>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</si>
  <si>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</si>
  <si>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</si>
  <si>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</si>
  <si>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</si>
  <si>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</si>
  <si>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</si>
  <si>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</si>
  <si>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</si>
  <si>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</si>
  <si>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</si>
  <si>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</si>
  <si>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</si>
  <si>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</si>
  <si>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</si>
  <si>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</si>
  <si>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</si>
  <si>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</si>
  <si>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</si>
  <si>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</si>
  <si>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</si>
  <si>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</si>
  <si>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</si>
  <si>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</si>
  <si>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</si>
  <si>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</si>
  <si>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</si>
  <si>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</si>
  <si>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</si>
  <si>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</si>
  <si>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</si>
  <si>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</si>
  <si>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</si>
  <si>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</si>
  <si>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</si>
  <si>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</si>
  <si>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</si>
  <si>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</si>
  <si>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</si>
  <si>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</si>
  <si>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</si>
  <si>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</si>
  <si>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</si>
  <si>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</si>
  <si>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</si>
  <si>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</si>
  <si>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</si>
  <si>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</si>
  <si>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</si>
  <si>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</si>
  <si>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</si>
  <si>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</si>
  <si>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</si>
  <si>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</si>
  <si>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</si>
  <si>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</si>
  <si>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</si>
  <si>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</si>
  <si>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</si>
  <si>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</si>
  <si>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</si>
  <si>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</si>
  <si>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</si>
  <si>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</si>
  <si>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</si>
  <si>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</si>
  <si>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</si>
  <si>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</si>
  <si>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</si>
  <si>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</si>
  <si>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</si>
  <si>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</si>
  <si>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</si>
  <si>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</si>
  <si>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</si>
  <si>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</si>
  <si>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</si>
  <si>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</si>
  <si>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</si>
  <si>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</si>
  <si>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</si>
  <si>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</si>
  <si>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</si>
  <si>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</si>
  <si>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</si>
  <si>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</si>
  <si>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</si>
  <si>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</si>
  <si>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</si>
  <si>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</si>
  <si>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</si>
  <si>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</si>
  <si>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</si>
  <si>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</si>
  <si>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</si>
  <si>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</si>
  <si>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</si>
  <si>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</si>
  <si>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</si>
  <si>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</si>
  <si>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</si>
  <si>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</si>
  <si>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</si>
  <si>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</si>
  <si>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</si>
  <si>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</si>
  <si>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</si>
  <si>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</si>
  <si>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</si>
  <si>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</si>
  <si>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</si>
  <si>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</si>
  <si>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</si>
  <si>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</si>
  <si>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</si>
  <si>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</si>
  <si>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</si>
  <si>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</si>
  <si>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</si>
  <si>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</si>
  <si>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</si>
  <si>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</si>
  <si>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</si>
  <si>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</si>
  <si>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</si>
  <si>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</si>
  <si>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</si>
  <si>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</si>
  <si>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</si>
  <si>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</si>
  <si>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</si>
  <si>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</si>
  <si>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</si>
  <si>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</si>
  <si>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</si>
  <si>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</si>
  <si>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</si>
  <si>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</si>
  <si>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</si>
  <si>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</si>
  <si>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</si>
  <si>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</si>
  <si>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</si>
  <si>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</si>
  <si>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</si>
  <si>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</si>
  <si>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</si>
  <si>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</si>
  <si>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</si>
  <si>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</si>
  <si>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</si>
  <si>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</si>
  <si>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</si>
  <si>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</si>
  <si>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</si>
  <si>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</si>
  <si>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</si>
  <si>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</si>
  <si>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</si>
  <si>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</si>
  <si>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</si>
  <si>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</si>
  <si>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</si>
  <si>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</si>
  <si>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</si>
  <si>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</si>
  <si>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</si>
  <si>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</si>
  <si>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</si>
  <si>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</si>
  <si>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</si>
  <si>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</si>
  <si>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</si>
  <si>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</si>
  <si>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</si>
  <si>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</si>
  <si>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</si>
  <si>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</si>
  <si>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</si>
  <si>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</si>
  <si>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</si>
  <si>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</si>
  <si>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</si>
  <si>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</si>
  <si>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</si>
  <si>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</si>
  <si>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</si>
  <si>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</si>
  <si>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</si>
  <si>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</si>
  <si>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</si>
  <si>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</si>
  <si>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</si>
  <si>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</si>
  <si>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</si>
  <si>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</si>
  <si>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</si>
  <si>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</si>
  <si>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</si>
  <si>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</si>
  <si>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</si>
  <si>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</si>
  <si>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</si>
  <si>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</si>
  <si>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</si>
  <si>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</si>
  <si>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</si>
  <si>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</si>
  <si>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</si>
  <si>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</si>
  <si>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</si>
  <si>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</si>
  <si>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</si>
  <si>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</si>
  <si>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</si>
  <si>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</si>
  <si>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</si>
  <si>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</si>
  <si>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</si>
  <si>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</si>
  <si>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</si>
  <si>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</si>
  <si>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</si>
  <si>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</si>
  <si>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</si>
  <si>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</si>
  <si>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</si>
  <si>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</si>
  <si>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</si>
  <si>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</si>
  <si>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</si>
  <si>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</si>
  <si>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</si>
  <si>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</si>
  <si>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</si>
  <si>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</si>
  <si>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</si>
  <si>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</si>
  <si>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</si>
  <si>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</si>
  <si>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</si>
  <si>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</si>
  <si>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</si>
  <si>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</si>
  <si>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</si>
  <si>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</si>
  <si>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</si>
  <si>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</si>
  <si>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</si>
  <si>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</si>
  <si>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</si>
  <si>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</si>
  <si>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</si>
  <si>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</si>
  <si>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</si>
  <si>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</si>
  <si>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</si>
  <si>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</si>
  <si>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</si>
  <si>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</si>
  <si>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</si>
  <si>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</si>
  <si>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</si>
  <si>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</si>
  <si>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</si>
  <si>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</si>
  <si>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</si>
  <si>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</si>
  <si>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</si>
  <si>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</si>
  <si>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</si>
  <si>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</si>
  <si>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</si>
  <si>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</si>
  <si>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</si>
  <si>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</si>
  <si>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</si>
  <si>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</si>
  <si>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</si>
  <si>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</si>
  <si>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</si>
  <si>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</si>
  <si>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</si>
  <si>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</si>
  <si>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</si>
  <si>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</si>
  <si>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</si>
  <si>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</si>
  <si>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</si>
  <si>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</si>
  <si>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</si>
  <si>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</si>
  <si>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</si>
  <si>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</si>
  <si>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</si>
  <si>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</si>
  <si>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</si>
  <si>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</si>
  <si>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</si>
  <si>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</si>
  <si>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</si>
  <si>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</si>
  <si>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</si>
  <si>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</si>
  <si>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</si>
  <si>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</si>
  <si>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</si>
  <si>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</si>
  <si>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</si>
  <si>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</si>
  <si>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</si>
  <si>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</si>
  <si>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</si>
  <si>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</si>
  <si>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</si>
  <si>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</si>
  <si>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</si>
  <si>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</si>
  <si>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</si>
  <si>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</si>
  <si>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</si>
  <si>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</si>
  <si>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</si>
  <si>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</si>
  <si>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</si>
  <si>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</si>
  <si>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</si>
  <si>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</si>
  <si>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</si>
  <si>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</si>
  <si>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</si>
  <si>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</si>
  <si>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</si>
  <si>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</si>
  <si>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</si>
  <si>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</si>
  <si>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</si>
  <si>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</si>
  <si>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</si>
  <si>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</si>
  <si>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</si>
  <si>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</si>
  <si>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</si>
  <si>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</si>
  <si>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</si>
  <si>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</si>
  <si>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</si>
  <si>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</si>
  <si>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</si>
  <si>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</si>
  <si>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</si>
  <si>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</si>
  <si>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</si>
  <si>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</si>
  <si>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</si>
  <si>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</si>
  <si>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</si>
  <si>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</si>
  <si>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</si>
  <si>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</si>
  <si>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</si>
  <si>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</si>
  <si>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</si>
  <si>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</si>
  <si>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</si>
  <si>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</si>
  <si>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</si>
  <si>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</si>
  <si>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</si>
  <si>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</si>
  <si>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</si>
  <si>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</si>
  <si>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</si>
  <si>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</si>
  <si>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</si>
  <si>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</si>
  <si>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</si>
  <si>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</si>
  <si>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</si>
  <si>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</si>
  <si>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</si>
  <si>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</si>
  <si>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</si>
  <si>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</si>
  <si>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</si>
  <si>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</si>
  <si>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</si>
  <si>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</si>
  <si>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</si>
  <si>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</si>
  <si>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</si>
  <si>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</si>
  <si>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</si>
  <si>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</si>
  <si>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</si>
  <si>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</si>
  <si>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</si>
  <si>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</si>
  <si>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</si>
  <si>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</si>
  <si>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</si>
  <si>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</si>
  <si>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</si>
  <si>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</si>
  <si>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</si>
  <si>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</si>
  <si>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</si>
  <si>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</si>
  <si>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</si>
  <si>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</si>
  <si>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</si>
  <si>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</si>
  <si>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</si>
  <si>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</si>
  <si>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</si>
  <si>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</si>
  <si>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</si>
  <si>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</si>
  <si>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</si>
  <si>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</si>
  <si>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</si>
  <si>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</si>
  <si>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</si>
  <si>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</si>
  <si>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</si>
  <si>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</si>
  <si>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</si>
  <si>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</si>
  <si>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</si>
  <si>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</si>
  <si>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</si>
  <si>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</si>
  <si>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</si>
  <si>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</si>
  <si>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</si>
  <si>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</si>
  <si>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</si>
  <si>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</si>
  <si>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</si>
  <si>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</si>
  <si>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</si>
  <si>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</si>
  <si>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</si>
  <si>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</si>
  <si>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</si>
  <si>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</si>
  <si>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</si>
  <si>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</si>
  <si>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</si>
  <si>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</si>
  <si>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</si>
  <si>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</si>
  <si>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</si>
  <si>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</si>
  <si>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</si>
  <si>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</si>
  <si>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</si>
  <si>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</si>
  <si>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</si>
  <si>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</si>
  <si>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</si>
  <si>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</si>
  <si>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</si>
  <si>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</si>
  <si>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</si>
  <si>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</si>
  <si>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</si>
  <si>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</si>
  <si>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</si>
  <si>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</si>
  <si>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</si>
  <si>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</si>
  <si>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</si>
  <si>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</si>
  <si>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</si>
  <si>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</si>
  <si>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</si>
  <si>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</si>
  <si>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</si>
  <si>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</si>
  <si>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</si>
  <si>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</si>
  <si>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</si>
  <si>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</si>
  <si>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</si>
  <si>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</si>
  <si>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</si>
  <si>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</si>
  <si>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</si>
  <si>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</si>
  <si>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</si>
  <si>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</si>
  <si>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</si>
  <si>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</si>
  <si>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</si>
  <si>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</si>
  <si>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</si>
  <si>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</si>
  <si>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</si>
  <si>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</si>
  <si>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</si>
  <si>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</si>
  <si>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</si>
  <si>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</si>
  <si>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</si>
  <si>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</si>
  <si>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</si>
  <si>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</si>
  <si>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</si>
  <si>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</si>
  <si>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</si>
  <si>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</si>
  <si>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</si>
  <si>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</si>
  <si>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</si>
  <si>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</si>
  <si>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</si>
  <si>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</si>
  <si>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</si>
  <si>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</si>
  <si>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</si>
  <si>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</si>
  <si>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</si>
  <si>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</si>
  <si>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</si>
  <si>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</si>
  <si>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</si>
  <si>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</si>
  <si>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</si>
  <si>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</si>
  <si>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</si>
  <si>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</si>
  <si>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</si>
  <si>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</si>
  <si>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</si>
  <si>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</si>
  <si>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</si>
  <si>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</si>
  <si>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</si>
  <si>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</si>
  <si>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</si>
  <si>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</si>
  <si>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</si>
  <si>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</si>
  <si>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</si>
  <si>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</si>
  <si>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</si>
  <si>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</si>
  <si>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</si>
  <si>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</si>
  <si>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</si>
  <si>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</si>
  <si>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</si>
  <si>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</si>
  <si>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</si>
  <si>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</si>
  <si>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</si>
  <si>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</si>
  <si>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</si>
  <si>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</si>
  <si>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</si>
  <si>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</si>
  <si>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</si>
  <si>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</si>
  <si>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</si>
  <si>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</si>
  <si>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</si>
  <si>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</si>
  <si>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</si>
  <si>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</si>
  <si>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</si>
  <si>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</si>
  <si>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</si>
  <si>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</si>
  <si>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</si>
  <si>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</si>
  <si>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</si>
  <si>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</si>
  <si>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</si>
  <si>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</si>
  <si>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</si>
  <si>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</si>
  <si>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</si>
  <si>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</si>
  <si>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</si>
  <si>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</si>
  <si>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</si>
  <si>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</si>
  <si>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</si>
  <si>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</si>
  <si>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</si>
  <si>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</si>
  <si>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</si>
  <si>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</si>
  <si>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</si>
  <si>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</si>
  <si>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</si>
  <si>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</si>
  <si>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</si>
  <si>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</si>
  <si>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</si>
  <si>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</si>
  <si>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</si>
  <si>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</si>
  <si>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</si>
  <si>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</si>
  <si>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</si>
  <si>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</si>
  <si>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</si>
  <si>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</si>
  <si>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</si>
  <si>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</si>
  <si>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</si>
  <si>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</si>
  <si>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</si>
  <si>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</si>
  <si>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</si>
  <si>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</si>
  <si>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</si>
  <si>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</si>
  <si>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</si>
  <si>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</si>
  <si>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</si>
  <si>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</si>
  <si>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</si>
  <si>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</si>
  <si>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</si>
  <si>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</si>
  <si>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</si>
  <si>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</si>
  <si>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</si>
  <si>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</si>
  <si>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</si>
  <si>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</si>
  <si>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</si>
  <si>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</si>
  <si>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</si>
  <si>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</si>
  <si>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</si>
  <si>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</si>
  <si>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</si>
  <si>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</si>
  <si>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</si>
  <si>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</si>
  <si>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</si>
  <si>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</si>
  <si>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</si>
  <si>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</si>
  <si>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</si>
  <si>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</si>
  <si>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</si>
  <si>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</si>
  <si>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</si>
  <si>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</si>
  <si>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</si>
  <si>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</si>
  <si>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</si>
  <si>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</si>
  <si>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</si>
  <si>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</si>
  <si>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</si>
  <si>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</si>
  <si>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</si>
  <si>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</si>
  <si>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</si>
  <si>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</si>
  <si>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</si>
  <si>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</si>
  <si>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</si>
  <si>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</si>
  <si>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</si>
  <si>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</si>
  <si>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</si>
  <si>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</si>
  <si>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</si>
  <si>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</si>
  <si>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</si>
  <si>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</si>
  <si>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</si>
  <si>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</si>
  <si>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</si>
  <si>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</si>
  <si>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</si>
  <si>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</si>
  <si>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</si>
  <si>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</si>
  <si>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</si>
  <si>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</si>
  <si>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</si>
  <si>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</si>
  <si>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</si>
  <si>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</si>
  <si>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</si>
  <si>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</si>
  <si>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</si>
  <si>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</si>
  <si>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</si>
  <si>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</si>
  <si>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</si>
  <si>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</si>
  <si>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</si>
  <si>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</si>
  <si>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</si>
  <si>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</si>
  <si>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</si>
  <si>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</si>
  <si>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</si>
  <si>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</si>
  <si>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</si>
  <si>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</si>
  <si>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</si>
  <si>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</si>
  <si>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</si>
  <si>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</si>
  <si>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</si>
  <si>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</si>
  <si>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</si>
  <si>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</si>
  <si>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</si>
  <si>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</si>
  <si>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</si>
  <si>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</si>
  <si>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</si>
  <si>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</si>
  <si>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</si>
  <si>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</si>
  <si>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</si>
  <si>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</si>
  <si>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</si>
  <si>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</si>
  <si>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</si>
  <si>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</si>
  <si>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</si>
  <si>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</si>
  <si>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</si>
  <si>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</si>
  <si>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</si>
  <si>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</si>
  <si>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</si>
  <si>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</si>
  <si>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</si>
  <si>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</si>
  <si>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</si>
  <si>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</si>
  <si>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</si>
  <si>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</si>
  <si>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</si>
  <si>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</si>
  <si>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</si>
  <si>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</si>
  <si>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</si>
  <si>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</si>
  <si>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</si>
  <si>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</si>
  <si>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</si>
  <si>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</si>
  <si>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</si>
  <si>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</si>
  <si>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</si>
  <si>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</si>
  <si>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</si>
  <si>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</si>
  <si>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</si>
  <si>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</si>
  <si>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</si>
  <si>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</si>
  <si>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</si>
  <si>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</si>
  <si>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</si>
  <si>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</si>
  <si>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</si>
  <si>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</si>
  <si>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</si>
  <si>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</si>
  <si>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</si>
  <si>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</si>
  <si>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</si>
  <si>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</si>
  <si>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</si>
  <si>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</si>
  <si>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</si>
  <si>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</si>
  <si>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</si>
  <si>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</si>
  <si>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</si>
  <si>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</si>
  <si>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</si>
  <si>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</si>
  <si>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</si>
  <si>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</si>
  <si>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</si>
  <si>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</si>
  <si>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</si>
  <si>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</si>
  <si>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</si>
  <si>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</si>
  <si>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</si>
  <si>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</si>
  <si>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</si>
  <si>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</si>
  <si>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</si>
  <si>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</si>
  <si>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</si>
  <si>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</si>
  <si>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</si>
  <si>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</si>
  <si>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</si>
  <si>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</si>
  <si>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</si>
  <si>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</si>
  <si>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</si>
  <si>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</si>
  <si>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</si>
  <si>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</si>
  <si>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</si>
  <si>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</si>
  <si>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</si>
  <si>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</si>
  <si>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</si>
  <si>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</si>
  <si>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</si>
  <si>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</si>
  <si>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</si>
  <si>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</si>
  <si>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</si>
  <si>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</si>
  <si>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</si>
  <si>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</si>
  <si>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</si>
  <si>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</si>
  <si>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</si>
  <si>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</si>
  <si>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</si>
  <si>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</si>
  <si>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</si>
  <si>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</si>
  <si>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</si>
  <si>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</si>
  <si>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</si>
  <si>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</si>
  <si>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</si>
  <si>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</si>
  <si>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</si>
  <si>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</si>
  <si>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</si>
  <si>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</si>
  <si>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</si>
  <si>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</si>
  <si>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</si>
  <si>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</si>
  <si>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</si>
  <si>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</si>
  <si>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</si>
  <si>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</si>
  <si>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</si>
  <si>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</si>
  <si>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</si>
  <si>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</si>
  <si>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</si>
  <si>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</si>
  <si>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</si>
  <si>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</si>
  <si>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</si>
  <si>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</si>
  <si>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</si>
  <si>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</si>
  <si>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</si>
  <si>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</si>
  <si>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</si>
  <si>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</si>
  <si>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</si>
  <si>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</si>
  <si>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</si>
  <si>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</si>
  <si>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</si>
  <si>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</si>
  <si>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</si>
  <si>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</si>
  <si>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</si>
  <si>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</si>
  <si>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</si>
  <si>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</si>
  <si>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</si>
  <si>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</si>
  <si>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</si>
  <si>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</si>
  <si>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</si>
  <si>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</si>
  <si>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</si>
  <si>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</si>
  <si>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</si>
  <si>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</si>
  <si>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</si>
  <si>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</si>
  <si>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</si>
  <si>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</si>
  <si>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</si>
  <si>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</si>
  <si>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</si>
  <si>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</si>
  <si>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</si>
  <si>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</si>
  <si>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</si>
  <si>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</si>
  <si>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</si>
  <si>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</si>
  <si>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</si>
  <si>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</si>
  <si>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</si>
  <si>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</si>
  <si>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</si>
  <si>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</si>
  <si>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</si>
  <si>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</si>
  <si>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</si>
  <si>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</si>
  <si>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</si>
  <si>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</si>
  <si>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</si>
  <si>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</si>
  <si>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</si>
  <si>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</si>
  <si>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</si>
  <si>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</si>
  <si>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</si>
  <si>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</si>
  <si>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</si>
  <si>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</si>
  <si>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</si>
  <si>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</si>
  <si>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</si>
  <si>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</si>
  <si>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</si>
  <si>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</si>
  <si>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</si>
  <si>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</si>
  <si>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</si>
  <si>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</si>
  <si>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</si>
  <si>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</si>
  <si>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</si>
  <si>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</si>
  <si>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</si>
  <si>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</si>
  <si>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</si>
  <si>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</si>
  <si>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</si>
  <si>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</si>
  <si>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</si>
  <si>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</si>
  <si>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</si>
  <si>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</si>
  <si>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</si>
  <si>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</si>
  <si>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</si>
  <si>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</si>
  <si>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</si>
  <si>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</si>
  <si>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</si>
  <si>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</si>
  <si>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</si>
  <si>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</si>
  <si>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</si>
  <si>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</si>
  <si>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</si>
  <si>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</si>
  <si>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</si>
  <si>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</si>
  <si>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</si>
  <si>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</si>
  <si>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</si>
  <si>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</si>
  <si>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</si>
  <si>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</si>
  <si>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</si>
  <si>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</si>
  <si>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</si>
  <si>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</si>
  <si>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</si>
  <si>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</si>
  <si>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</si>
  <si>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</si>
  <si>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</si>
  <si>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</si>
  <si>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</si>
  <si>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</si>
  <si>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</si>
  <si>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</si>
  <si>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</si>
  <si>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</si>
  <si>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</si>
  <si>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</si>
  <si>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</si>
  <si>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</si>
  <si>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</si>
  <si>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</si>
  <si>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</si>
  <si>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</si>
  <si>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</si>
  <si>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</si>
  <si>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</si>
  <si>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</si>
  <si>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</si>
  <si>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</si>
  <si>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</si>
  <si>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</si>
  <si>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</si>
  <si>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</si>
  <si>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</si>
  <si>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</si>
  <si>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</si>
  <si>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</si>
  <si>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</si>
  <si>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</si>
  <si>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</si>
  <si>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</si>
  <si>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</si>
  <si>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</si>
  <si>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</si>
  <si>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</si>
  <si>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</si>
  <si>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</si>
  <si>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</si>
  <si>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</si>
  <si>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</si>
  <si>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</si>
  <si>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</si>
  <si>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</si>
  <si>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</si>
  <si>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</si>
  <si>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</si>
  <si>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</si>
  <si>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</si>
  <si>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</si>
  <si>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</si>
  <si>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</si>
  <si>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</si>
  <si>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</si>
  <si>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</si>
  <si>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</si>
  <si>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</si>
  <si>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</si>
  <si>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</si>
  <si>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</si>
  <si>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</si>
  <si>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</si>
  <si>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</si>
  <si>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</si>
  <si>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</si>
  <si>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</si>
  <si>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</si>
  <si>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</si>
  <si>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</si>
  <si>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</si>
  <si>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</si>
  <si>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</si>
  <si>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</si>
  <si>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</si>
  <si>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</si>
  <si>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</si>
  <si>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</si>
  <si>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</si>
  <si>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</si>
  <si>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</si>
  <si>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</si>
  <si>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</si>
  <si>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</si>
  <si>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</si>
  <si>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</si>
  <si>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</si>
  <si>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</si>
  <si>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</si>
  <si>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</si>
  <si>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</si>
  <si>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</si>
  <si>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</si>
  <si>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</si>
  <si>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</si>
  <si>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</si>
  <si>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</si>
  <si>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</si>
  <si>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</si>
  <si>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</si>
  <si>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</si>
  <si>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</si>
  <si>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</si>
  <si>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</si>
  <si>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</si>
  <si>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</si>
  <si>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</si>
  <si>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</si>
  <si>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</si>
  <si>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</si>
  <si>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</si>
  <si>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</si>
  <si>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</si>
  <si>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</si>
  <si>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</si>
  <si>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</si>
  <si>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</si>
  <si>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</si>
  <si>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</si>
  <si>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</si>
  <si>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</si>
  <si>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</si>
  <si>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</si>
  <si>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</si>
  <si>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</si>
  <si>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</si>
  <si>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</si>
  <si>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</si>
  <si>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</si>
  <si>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</si>
  <si>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</si>
  <si>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</si>
  <si>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</si>
  <si>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</si>
  <si>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</si>
  <si>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</si>
  <si>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</si>
  <si>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</si>
  <si>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</si>
  <si>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</si>
  <si>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</si>
  <si>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</si>
  <si>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</si>
  <si>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</si>
  <si>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</si>
  <si>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</si>
  <si>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</si>
  <si>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</si>
  <si>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</si>
  <si>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</si>
  <si>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</si>
  <si>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</si>
  <si>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</si>
  <si>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</si>
  <si>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</si>
  <si>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</si>
  <si>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</si>
  <si>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</si>
  <si>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</si>
  <si>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</si>
  <si>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</si>
  <si>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</si>
  <si>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</si>
  <si>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</si>
  <si>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</si>
  <si>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</si>
  <si>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</si>
  <si>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</si>
  <si>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</si>
  <si>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</si>
  <si>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</si>
  <si>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</si>
  <si>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</si>
  <si>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</si>
  <si>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</si>
  <si>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</si>
  <si>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</si>
  <si>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</si>
  <si>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</si>
  <si>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</si>
  <si>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</si>
  <si>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</si>
  <si>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</si>
  <si>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</si>
  <si>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</si>
  <si>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</si>
  <si>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</si>
  <si>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</si>
  <si>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</si>
  <si>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</si>
  <si>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</si>
  <si>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</si>
  <si>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</si>
  <si>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</si>
  <si>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</si>
  <si>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</si>
  <si>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</si>
  <si>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</si>
  <si>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</si>
  <si>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</si>
  <si>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</si>
  <si>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</si>
  <si>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</si>
  <si>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</si>
  <si>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</si>
  <si>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</si>
  <si>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</si>
  <si>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</si>
  <si>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</si>
  <si>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</si>
  <si>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</si>
  <si>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</si>
  <si>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</si>
  <si>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</si>
  <si>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</si>
  <si>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</si>
  <si>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</si>
  <si>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</si>
  <si>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</si>
  <si>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</si>
  <si>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</si>
  <si>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</si>
  <si>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</si>
  <si>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</si>
  <si>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</si>
  <si>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</si>
  <si>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</si>
  <si>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</si>
  <si>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</si>
  <si>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</si>
  <si>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</si>
  <si>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</si>
  <si>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</si>
  <si>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</si>
  <si>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</si>
  <si>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</si>
  <si>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</si>
  <si>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</si>
  <si>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</si>
  <si>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</si>
  <si>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</si>
  <si>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</si>
  <si>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</si>
  <si>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</si>
  <si>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</si>
  <si>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</si>
  <si>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</si>
  <si>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</si>
  <si>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</si>
  <si>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</si>
  <si>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</si>
  <si>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</si>
  <si>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</si>
  <si>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</si>
  <si>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</si>
  <si>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</si>
  <si>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</si>
  <si>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</si>
  <si>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</si>
  <si>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</si>
  <si>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</si>
  <si>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</si>
  <si>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</si>
  <si>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</si>
  <si>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</si>
  <si>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</si>
  <si>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</si>
  <si>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</si>
  <si>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</si>
  <si>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</si>
  <si>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</si>
  <si>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</si>
  <si>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</si>
  <si>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</si>
  <si>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</si>
  <si>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</si>
  <si>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</si>
  <si>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</si>
  <si>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</si>
  <si>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</si>
  <si>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</si>
  <si>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</si>
  <si>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</si>
  <si>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</si>
  <si>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</si>
  <si>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</si>
  <si>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</si>
  <si>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</si>
  <si>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</si>
  <si>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</si>
  <si>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</si>
  <si>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</si>
  <si>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</si>
  <si>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</si>
  <si>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</si>
  <si>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</si>
  <si>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</si>
  <si>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</si>
  <si>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</si>
  <si>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</si>
  <si>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</si>
  <si>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</si>
  <si>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</si>
  <si>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</si>
  <si>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</si>
  <si>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</si>
  <si>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</si>
  <si>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</si>
  <si>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</si>
  <si>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</si>
  <si>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</si>
  <si>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</si>
  <si>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</si>
  <si>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</si>
  <si>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</si>
  <si>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</si>
  <si>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</si>
  <si>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</si>
  <si>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</si>
  <si>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</si>
  <si>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</si>
  <si>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</si>
  <si>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</si>
  <si>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</si>
  <si>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</si>
  <si>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</si>
  <si>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</si>
  <si>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</si>
  <si>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</si>
  <si>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</si>
  <si>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</si>
  <si>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</si>
  <si>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</si>
  <si>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</si>
  <si>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</si>
  <si>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</si>
  <si>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</si>
  <si>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</si>
  <si>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</si>
  <si>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</si>
  <si>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</si>
  <si>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</si>
  <si>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</si>
  <si>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</si>
  <si>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</si>
  <si>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</si>
  <si>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</si>
  <si>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</si>
  <si>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</si>
  <si>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</si>
  <si>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</si>
  <si>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</si>
  <si>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</si>
  <si>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</si>
  <si>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</si>
  <si>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</si>
  <si>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</si>
  <si>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</si>
  <si>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</si>
  <si>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</si>
  <si>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</si>
  <si>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</si>
  <si>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</si>
  <si>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</si>
  <si>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</si>
  <si>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</si>
  <si>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</si>
  <si>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</si>
  <si>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</si>
  <si>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</si>
  <si>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</si>
  <si>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</si>
  <si>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</si>
  <si>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</si>
  <si>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</si>
  <si>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</si>
  <si>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</si>
  <si>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</si>
  <si>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</si>
  <si>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</si>
  <si>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</si>
  <si>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</si>
  <si>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</si>
  <si>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</si>
  <si>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</si>
  <si>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</si>
  <si>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</si>
  <si>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</si>
  <si>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</si>
  <si>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</si>
  <si>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</si>
  <si>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</si>
  <si>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</si>
  <si>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</si>
  <si>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</si>
  <si>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</si>
  <si>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</si>
  <si>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</si>
  <si>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</si>
  <si>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</si>
  <si>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</si>
  <si>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</si>
  <si>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</si>
  <si>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</si>
  <si>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</si>
  <si>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</si>
  <si>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</si>
  <si>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</si>
  <si>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</si>
  <si>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</si>
  <si>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</si>
  <si>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</si>
  <si>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</si>
  <si>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</si>
  <si>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</si>
  <si>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</si>
  <si>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</si>
  <si>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</si>
  <si>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</si>
  <si>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</si>
  <si>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</si>
  <si>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</si>
  <si>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</si>
  <si>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</si>
  <si>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</si>
  <si>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</si>
  <si>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</si>
  <si>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</si>
  <si>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</si>
  <si>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</si>
  <si>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</si>
  <si>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</si>
  <si>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</si>
  <si>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</si>
  <si>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</si>
  <si>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</si>
  <si>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</si>
  <si>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</si>
  <si>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</si>
  <si>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</si>
  <si>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</si>
  <si>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</si>
  <si>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</si>
  <si>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</si>
  <si>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</si>
  <si>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</si>
  <si>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</si>
  <si>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</si>
  <si>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</si>
  <si>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</si>
  <si>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</si>
  <si>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</si>
  <si>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</si>
  <si>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</si>
  <si>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</si>
  <si>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</si>
  <si>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</si>
  <si>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</si>
  <si>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</si>
  <si>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</si>
  <si>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</si>
  <si>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</si>
  <si>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</si>
  <si>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</si>
  <si>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</si>
  <si>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</si>
  <si>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</si>
  <si>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</si>
  <si>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</si>
  <si>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</si>
  <si>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</si>
  <si>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</si>
  <si>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</si>
  <si>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</si>
  <si>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</si>
  <si>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</si>
  <si>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</si>
  <si>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</si>
  <si>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</si>
  <si>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</si>
  <si>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</si>
  <si>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</si>
  <si>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</si>
  <si>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</si>
  <si>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</si>
  <si>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</si>
  <si>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</si>
  <si>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</si>
  <si>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</si>
  <si>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</si>
  <si>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</si>
  <si>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</si>
  <si>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</si>
  <si>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</si>
  <si>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</si>
  <si>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</si>
  <si>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</si>
  <si>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</si>
  <si>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</si>
  <si>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</si>
  <si>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</si>
  <si>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</si>
  <si>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</si>
  <si>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</si>
  <si>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</si>
  <si>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</si>
  <si>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</si>
  <si>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</si>
  <si>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</si>
  <si>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</si>
  <si>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</si>
  <si>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</si>
  <si>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</si>
  <si>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</si>
  <si>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</si>
  <si>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</si>
  <si>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</si>
  <si>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</si>
  <si>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</si>
  <si>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</si>
  <si>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</si>
  <si>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</si>
  <si>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</si>
  <si>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</si>
  <si>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</si>
  <si>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</si>
  <si>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</si>
  <si>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</si>
  <si>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</si>
  <si>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</si>
  <si>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</si>
  <si>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</si>
  <si>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</si>
  <si>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</si>
  <si>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</si>
  <si>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</si>
  <si>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</si>
  <si>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</si>
  <si>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</si>
  <si>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</si>
  <si>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</si>
  <si>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</si>
  <si>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</si>
  <si>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</si>
  <si>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</si>
  <si>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</si>
  <si>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</si>
  <si>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</si>
  <si>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</si>
  <si>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</si>
  <si>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</si>
  <si>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</si>
  <si>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</si>
  <si>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</si>
  <si>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</si>
  <si>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</si>
  <si>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</si>
  <si>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</si>
  <si>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</si>
  <si>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</si>
  <si>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</si>
  <si>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</si>
  <si>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</si>
  <si>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</si>
  <si>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</si>
  <si>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</si>
  <si>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</si>
  <si>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</si>
  <si>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</si>
  <si>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</si>
  <si>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</si>
  <si>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</si>
  <si>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</si>
  <si>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</si>
  <si>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</si>
  <si>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</si>
  <si>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</si>
  <si>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</si>
  <si>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</si>
  <si>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</si>
  <si>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</si>
  <si>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</si>
  <si>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</si>
  <si>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</si>
  <si>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</si>
  <si>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</si>
  <si>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</si>
  <si>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</si>
  <si>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</si>
  <si>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</si>
  <si>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</si>
  <si>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</si>
  <si>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</si>
  <si>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</si>
  <si>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</si>
  <si>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</si>
  <si>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</si>
  <si>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</si>
  <si>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</si>
  <si>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</si>
  <si>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</si>
  <si>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</si>
  <si>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</si>
  <si>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</si>
  <si>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</si>
  <si>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</si>
  <si>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</si>
  <si>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</si>
  <si>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</si>
  <si>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</si>
  <si>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</si>
  <si>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</si>
  <si>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</si>
  <si>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</si>
  <si>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</si>
  <si>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</si>
  <si>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</si>
  <si>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</si>
  <si>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</si>
  <si>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</si>
  <si>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</si>
  <si>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</si>
  <si>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</si>
  <si>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</si>
  <si>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</si>
  <si>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</si>
  <si>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</si>
  <si>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</si>
  <si>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</si>
  <si>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</si>
  <si>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</si>
  <si>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</si>
  <si>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</si>
  <si>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</si>
  <si>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</si>
  <si>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</si>
  <si>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</si>
  <si>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</si>
  <si>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</si>
  <si>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</si>
  <si>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</si>
  <si>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</si>
  <si>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</si>
  <si>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</si>
  <si>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</si>
  <si>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</si>
  <si>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</si>
  <si>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</si>
  <si>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</si>
  <si>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</si>
  <si>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</si>
  <si>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</si>
  <si>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</si>
  <si>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</si>
  <si>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</si>
  <si>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</si>
  <si>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</si>
  <si>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</si>
  <si>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</si>
  <si>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</si>
  <si>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</si>
  <si>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</si>
  <si>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</si>
  <si>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</si>
  <si>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</si>
  <si>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</si>
  <si>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</si>
  <si>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</si>
  <si>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</si>
  <si>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</si>
  <si>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</si>
  <si>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</si>
  <si>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</si>
  <si>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</si>
  <si>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</si>
  <si>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</si>
  <si>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</si>
  <si>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</si>
  <si>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</si>
  <si>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</si>
  <si>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</si>
  <si>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</si>
  <si>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</si>
  <si>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</si>
  <si>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</si>
  <si>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</si>
  <si>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</si>
  <si>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</si>
  <si>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企业</t>
  </si>
  <si>
    <t>通路</t>
  </si>
  <si>
    <t>通电</t>
  </si>
  <si>
    <t>通讯</t>
  </si>
  <si>
    <t>通上水</t>
  </si>
  <si>
    <t>通下水</t>
  </si>
  <si>
    <t>地上</t>
  </si>
  <si>
    <t>工业</t>
    <phoneticPr fontId="7" type="noConversion"/>
  </si>
  <si>
    <t>不动产收益法</t>
  </si>
  <si>
    <t>土地（套用方法）</t>
  </si>
  <si>
    <t>押一</t>
  </si>
  <si>
    <t>按租金收入计税</t>
  </si>
  <si>
    <t>钢混</t>
  </si>
  <si>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</si>
  <si>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</si>
  <si>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</si>
  <si>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</si>
  <si>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</si>
  <si>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</si>
  <si>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</si>
  <si>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</si>
  <si>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</si>
  <si>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</si>
  <si>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</si>
  <si>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</si>
  <si>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</si>
  <si>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</si>
  <si>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</si>
  <si>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北京经济技术开发区路东区A12-1地块工业项目国有建设用地使用权挂牌出让公告</t>
  </si>
  <si>
    <t>工业用地</t>
  </si>
  <si>
    <t>≤2</t>
  </si>
  <si>
    <t>挂牌</t>
  </si>
  <si>
    <t>2020-09-10</t>
  </si>
  <si>
    <t>北京亦城坤元投资管理有限公司</t>
  </si>
  <si>
    <t>北京经济技术开发区路东区A11-2地块工业项目国有建设用地使用权挂牌出让公告</t>
  </si>
  <si>
    <t>大兴生物医药产业基地DX00-0502-6004-1地块M1工业项目用地</t>
  </si>
  <si>
    <t>≤2.0</t>
  </si>
  <si>
    <t>一类工业用地(M1)</t>
  </si>
  <si>
    <t>2020-07-29</t>
  </si>
  <si>
    <t>北京三元基因药业股份有限公司</t>
  </si>
  <si>
    <t>大兴生物医药产业基地DX00-0502-6004-2地块工业用地国有建设用地使用权出让</t>
  </si>
  <si>
    <t>M1一类工业用地</t>
  </si>
  <si>
    <t>2020-05-21</t>
  </si>
  <si>
    <t>北京赛诺希德医疗科技有限公司</t>
  </si>
  <si>
    <t>大兴生物医药产业基地DX00-0502-6014-3地块工业用地</t>
  </si>
  <si>
    <t>≤1.5</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</si>
  <si>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</si>
  <si>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</si>
  <si>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</si>
  <si>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</si>
  <si>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</si>
  <si>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</si>
  <si>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</si>
  <si>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</si>
  <si>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</si>
  <si>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</si>
  <si>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</si>
  <si>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</si>
  <si>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</si>
  <si>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</si>
  <si>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</si>
  <si>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</si>
  <si>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</si>
  <si>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</si>
  <si>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</si>
  <si>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</si>
  <si>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</si>
  <si>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</si>
  <si>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</si>
  <si>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</si>
  <si>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</si>
  <si>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</si>
  <si>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</si>
  <si>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</si>
  <si>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</si>
  <si>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</si>
  <si>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</si>
  <si>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正常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</si>
  <si>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</si>
  <si>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</si>
  <si>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</si>
  <si>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</si>
  <si>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</si>
  <si>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</si>
  <si>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</si>
  <si>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</si>
  <si>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</si>
  <si>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</si>
  <si>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</si>
  <si>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</si>
  <si>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</si>
  <si>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</si>
  <si>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</si>
  <si>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</si>
  <si>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</si>
  <si>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</si>
  <si>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土地</t>
  </si>
  <si>
    <t>项目全部</t>
  </si>
  <si>
    <t>剩余法-待开发</t>
  </si>
  <si>
    <t>宗地容积率</t>
  </si>
  <si>
    <t>不临58条商业街</t>
  </si>
  <si>
    <t>Ⅶ-光机电</t>
  </si>
  <si>
    <t>平整</t>
  </si>
  <si>
    <t>较好</t>
  </si>
  <si>
    <t>一般</t>
  </si>
  <si>
    <t>基准地价</t>
  </si>
  <si>
    <t>盛嘉优时影院管理（北京）有限公司</t>
    <phoneticPr fontId="6" type="noConversion"/>
  </si>
  <si>
    <t>中行西城</t>
    <phoneticPr fontId="6" type="noConversion"/>
  </si>
  <si>
    <t>北京市通州区中关村科技园通州园光机电一体化产业基地嘉创五路3号</t>
    <phoneticPr fontId="6" type="noConversion"/>
  </si>
  <si>
    <t>工业</t>
    <phoneticPr fontId="6" type="noConversion"/>
  </si>
  <si>
    <t>否</t>
  </si>
  <si>
    <t>工业项目</t>
  </si>
  <si>
    <t>无</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</si>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</sst>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45" fillId="0" borderId="0">
      <alignment vertical="center"/>
    </xf>
  </cellStyleXfs>
  <cellXfs count="36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60" fillId="5" borderId="33" xfId="14" applyFont="1" applyFill="1" applyBorder="1"/>
    <xf numFmtId="183" fontId="71" fillId="0" borderId="34" xfId="14" applyNumberFormat="1" applyFont="1" applyFill="1" applyBorder="1" applyAlignment="1" applyProtection="1">
      <alignment horizontal="center" vertical="center"/>
      <protection locked="0"/>
    </xf>
    <xf numFmtId="0" fontId="160" fillId="0" borderId="0" xfId="14" applyFont="1"/>
    <xf numFmtId="180" fontId="58" fillId="5" borderId="1" xfId="17" applyNumberFormat="1" applyFont="1" applyFill="1" applyBorder="1" applyAlignment="1" applyProtection="1">
      <alignment horizontal="center" vertical="center" wrapText="1"/>
    </xf>
    <xf numFmtId="0" fontId="52" fillId="5" borderId="6" xfId="14" applyFont="1" applyFill="1" applyBorder="1" applyAlignment="1" applyProtection="1">
      <alignment horizontal="center" vertical="center" wrapText="1"/>
    </xf>
    <xf numFmtId="179" fontId="52" fillId="5" borderId="6" xfId="14" applyNumberFormat="1" applyFont="1" applyFill="1" applyBorder="1" applyAlignment="1" applyProtection="1">
      <alignment horizontal="center" vertical="center" wrapText="1"/>
    </xf>
    <xf numFmtId="0" fontId="52" fillId="5" borderId="7" xfId="14"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4"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4" applyNumberFormat="1" applyFont="1" applyFill="1" applyBorder="1" applyAlignment="1" applyProtection="1">
      <alignment horizontal="center" vertical="center"/>
      <protection locked="0"/>
    </xf>
    <xf numFmtId="177" fontId="71" fillId="6" borderId="43" xfId="17" applyNumberFormat="1" applyFont="1" applyFill="1" applyBorder="1" applyAlignment="1" applyProtection="1">
      <alignment horizontal="center" vertical="center"/>
      <protection locked="0"/>
    </xf>
    <xf numFmtId="183" fontId="71" fillId="0" borderId="44" xfId="14"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4" applyNumberFormat="1" applyFont="1" applyFill="1" applyBorder="1" applyAlignment="1" applyProtection="1">
      <alignment horizontal="center" vertical="center"/>
      <protection locked="0"/>
    </xf>
    <xf numFmtId="0" fontId="280" fillId="5" borderId="26" xfId="14" applyFont="1" applyFill="1" applyBorder="1" applyAlignment="1">
      <alignment vertical="center"/>
    </xf>
    <xf numFmtId="0" fontId="160" fillId="5" borderId="39" xfId="14" applyFont="1" applyFill="1" applyBorder="1" applyAlignment="1">
      <alignment vertical="center"/>
    </xf>
    <xf numFmtId="0" fontId="160" fillId="0" borderId="0" xfId="14" applyFont="1" applyAlignment="1">
      <alignment vertical="center"/>
    </xf>
    <xf numFmtId="0" fontId="160" fillId="5" borderId="36" xfId="14" applyFont="1" applyFill="1" applyBorder="1"/>
    <xf numFmtId="0" fontId="58" fillId="5" borderId="37" xfId="14" applyFont="1" applyFill="1" applyBorder="1" applyAlignment="1">
      <alignment horizontal="right" vertical="center"/>
    </xf>
    <xf numFmtId="0" fontId="58" fillId="5" borderId="38" xfId="14" applyFont="1" applyFill="1" applyBorder="1" applyAlignment="1">
      <alignment horizontal="right" vertical="center"/>
    </xf>
    <xf numFmtId="0" fontId="84" fillId="5" borderId="1" xfId="14" applyFont="1" applyFill="1" applyBorder="1" applyAlignment="1">
      <alignment horizontal="center"/>
    </xf>
    <xf numFmtId="0" fontId="149" fillId="0" borderId="6" xfId="14" applyFont="1" applyBorder="1" applyAlignment="1" applyProtection="1">
      <alignment horizontal="center"/>
      <protection locked="0"/>
    </xf>
    <xf numFmtId="0" fontId="84" fillId="5" borderId="6" xfId="14" applyFont="1" applyFill="1" applyBorder="1" applyAlignment="1">
      <alignment horizontal="center"/>
    </xf>
    <xf numFmtId="10" fontId="149" fillId="0" borderId="6" xfId="14" applyNumberFormat="1" applyFont="1" applyBorder="1" applyAlignment="1" applyProtection="1">
      <alignment horizontal="center"/>
      <protection locked="0"/>
    </xf>
    <xf numFmtId="0" fontId="84" fillId="5" borderId="7" xfId="14" applyFont="1" applyFill="1" applyBorder="1"/>
    <xf numFmtId="0" fontId="84" fillId="5" borderId="43" xfId="14" applyFont="1" applyFill="1" applyBorder="1" applyAlignment="1">
      <alignment horizontal="center"/>
    </xf>
    <xf numFmtId="0" fontId="149" fillId="0" borderId="44" xfId="14" applyFont="1" applyBorder="1" applyAlignment="1" applyProtection="1">
      <alignment horizontal="center"/>
      <protection locked="0"/>
    </xf>
    <xf numFmtId="0" fontId="84" fillId="5" borderId="44" xfId="14" applyFont="1" applyFill="1" applyBorder="1" applyAlignment="1">
      <alignment horizontal="center"/>
    </xf>
    <xf numFmtId="10" fontId="149" fillId="0" borderId="44" xfId="14" applyNumberFormat="1" applyFont="1" applyBorder="1" applyAlignment="1" applyProtection="1">
      <alignment horizontal="center"/>
      <protection locked="0"/>
    </xf>
    <xf numFmtId="0" fontId="84" fillId="5" borderId="46" xfId="14" applyFont="1" applyFill="1" applyBorder="1"/>
    <xf numFmtId="0" fontId="144" fillId="5" borderId="0" xfId="14" applyFont="1" applyFill="1" applyBorder="1" applyAlignment="1">
      <alignment horizontal="left"/>
    </xf>
    <xf numFmtId="0" fontId="84" fillId="5" borderId="0" xfId="14" applyFont="1" applyFill="1" applyBorder="1" applyAlignment="1">
      <alignment horizontal="center"/>
    </xf>
    <xf numFmtId="0" fontId="149" fillId="0" borderId="6" xfId="14" applyFont="1" applyFill="1" applyBorder="1" applyAlignment="1" applyProtection="1">
      <alignment horizontal="center"/>
      <protection locked="0"/>
    </xf>
    <xf numFmtId="0" fontId="149" fillId="0" borderId="0" xfId="14" applyFont="1"/>
    <xf numFmtId="0" fontId="149" fillId="5" borderId="44" xfId="14" applyFont="1" applyFill="1" applyBorder="1" applyAlignment="1">
      <alignment horizontal="center"/>
    </xf>
    <xf numFmtId="0" fontId="160" fillId="5" borderId="0" xfId="14" applyFont="1" applyFill="1"/>
    <xf numFmtId="0" fontId="149" fillId="0" borderId="7" xfId="14" applyFont="1" applyFill="1" applyBorder="1" applyAlignment="1" applyProtection="1">
      <alignment horizontal="center"/>
      <protection locked="0"/>
    </xf>
    <xf numFmtId="0" fontId="149" fillId="5" borderId="46" xfId="14" applyFont="1" applyFill="1" applyBorder="1" applyAlignment="1">
      <alignment horizont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4" fontId="83" fillId="17" borderId="2" xfId="0" applyNumberFormat="1"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14" applyFont="1" applyFill="1" applyBorder="1" applyAlignment="1">
      <alignment horizontal="center"/>
    </xf>
    <xf numFmtId="0" fontId="58" fillId="5" borderId="37" xfId="14" applyFont="1" applyFill="1" applyBorder="1" applyAlignment="1">
      <alignment horizontal="center"/>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17</xdr:row>
      <xdr:rowOff>85725</xdr:rowOff>
    </xdr:from>
    <xdr:to>
      <xdr:col>14</xdr:col>
      <xdr:colOff>275041</xdr:colOff>
      <xdr:row>35</xdr:row>
      <xdr:rowOff>104387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3000375"/>
          <a:ext cx="9476191" cy="3104762"/>
        </a:xfrm>
        <a:prstGeom prst="rect">
          <a:avLst/>
        </a:prstGeom>
      </xdr:spPr>
    </xdr:pic>
    <xdr:clientData/>
  </xdr:twoCellAnchor>
  <xdr:twoCellAnchor editAs="oneCell">
    <xdr:from>
      <xdr:col>0</xdr:col>
      <xdr:colOff>438149</xdr:colOff>
      <xdr:row>35</xdr:row>
      <xdr:rowOff>161925</xdr:rowOff>
    </xdr:from>
    <xdr:to>
      <xdr:col>14</xdr:col>
      <xdr:colOff>238124</xdr:colOff>
      <xdr:row>44</xdr:row>
      <xdr:rowOff>91913</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49" y="6162675"/>
          <a:ext cx="9401175" cy="1473038"/>
        </a:xfrm>
        <a:prstGeom prst="rect">
          <a:avLst/>
        </a:prstGeom>
      </xdr:spPr>
    </xdr:pic>
    <xdr:clientData/>
  </xdr:twoCellAnchor>
  <xdr:twoCellAnchor editAs="oneCell">
    <xdr:from>
      <xdr:col>0</xdr:col>
      <xdr:colOff>457200</xdr:colOff>
      <xdr:row>44</xdr:row>
      <xdr:rowOff>133350</xdr:rowOff>
    </xdr:from>
    <xdr:to>
      <xdr:col>14</xdr:col>
      <xdr:colOff>256001</xdr:colOff>
      <xdr:row>53</xdr:row>
      <xdr:rowOff>114110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7677150"/>
          <a:ext cx="9400001"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25;&#28192;&#24037;&#19994;&#22303;&#22320;&#65288;6688-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25;&#28192;&#24037;&#19994;&#22303;&#22320;&#65288;6688-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25;&#28192;&#21152;&#27833;&#31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5000</v>
          </cell>
          <cell r="C14">
            <v>6688</v>
          </cell>
          <cell r="D14">
            <v>999</v>
          </cell>
          <cell r="G14">
            <v>999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5000</v>
          </cell>
          <cell r="C14">
            <v>6688</v>
          </cell>
          <cell r="D14">
            <v>999</v>
          </cell>
          <cell r="G14">
            <v>999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378.48</v>
          </cell>
          <cell r="C14">
            <v>2668</v>
          </cell>
          <cell r="D14">
            <v>408</v>
          </cell>
          <cell r="G14">
            <v>408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北京市北京市通州区中关村科技园通州园光机电一体化产业基地嘉创五路3号出让国有建设用地使用权抵押价格预评估</v>
      </c>
      <c r="AX2" s="2614"/>
      <c r="AZ2" s="2614"/>
      <c r="BA2" s="2615"/>
      <c r="BC2" s="2615"/>
    </row>
    <row r="3" spans="1:55" s="2616" customFormat="1">
      <c r="A3" s="2595" t="s">
        <v>2641</v>
      </c>
      <c r="B3" s="2598" t="str">
        <f>'预评函-封皮'!B40</f>
        <v>盛嘉优时影院管理（北京）有限公司</v>
      </c>
    </row>
    <row r="4" spans="1:55" s="2597" customFormat="1">
      <c r="A4" s="2595" t="s">
        <v>2642</v>
      </c>
      <c r="B4" s="2596" t="str">
        <f>'预评函-封皮'!B46</f>
        <v>土地估价师、土地估价师</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受贵公司委托，我公司对北京市北京市通州区中关村科技园通州园光机电一体化产业基地嘉创五路3号出让国有建设用地使用权抵押价格进行了预评估。</v>
      </c>
      <c r="AM6" s="2620"/>
    </row>
    <row r="7" spans="1:55" s="2594" customFormat="1">
      <c r="A7" s="2595" t="s">
        <v>2637</v>
      </c>
      <c r="B7" s="2596" t="str">
        <f>'预评函-1'!A6</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55" s="2594" customFormat="1">
      <c r="A10" s="2595" t="s">
        <v>2639</v>
      </c>
      <c r="B10" s="2596" t="str">
        <f>'预评函-1'!A11</f>
        <v>2020年9月24日（评估专业人员勘察现场之日）</v>
      </c>
    </row>
    <row r="11" spans="1:55" s="2594" customFormat="1">
      <c r="A11" s="2595" t="s">
        <v>2645</v>
      </c>
      <c r="B11" s="2596" t="str">
        <f>'预评函-1'!A14</f>
        <v>根据《国有土地使用证》[]，本次评估估价对象证载（地类）用途为工业。</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根据委托估价方介绍及评估专业人员现场勘查，本次评估估价对象实际土地开发程度为红线外市政基础设施达“五通”（即通路、通电、通讯、通上水、通下水）、宗地红线内场地平整。</v>
      </c>
    </row>
    <row r="14" spans="1:55" s="2594" customFormat="1">
      <c r="A14" s="2595" t="s">
        <v>2648</v>
      </c>
      <c r="B14" s="2596" t="str">
        <f>'预评函-1'!A18</f>
        <v>。本次评估设定土地开发程度为红线外市政基础设施达“五通”、宗地红线内场地平整。</v>
      </c>
    </row>
    <row r="15" spans="1:55" s="2594" customFormat="1">
      <c r="A15" s="2595" t="s">
        <v>2644</v>
      </c>
      <c r="B15" s="2596" t="str">
        <f>'预评函-1'!A20</f>
        <v>根据《国有土地使用证》[]，估价对象（分摊）出让国有建设用地使用权面积为6316平方米。根据《建设工程规划许可证》[]、《出让合同》[]，估价对象规划建筑面积为5000平方米。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估价期日：2020年9月24日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t="str">
        <f>'预评函-2'!E5</f>
        <v>工业</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红线外五通、宗地红线内</v>
      </c>
    </row>
    <row r="39" spans="1:2">
      <c r="A39" s="2595" t="s">
        <v>2699</v>
      </c>
      <c r="B39" s="2596" t="str">
        <f>'预评函-2'!L5</f>
        <v>红线外五通、宗地红线内场地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6316</v>
      </c>
    </row>
    <row r="44" spans="1:2">
      <c r="A44" s="2595" t="s">
        <v>2720</v>
      </c>
      <c r="B44" s="2596" t="str">
        <f>'预评函-2'!O3</f>
        <v>规划建筑面积/㎡</v>
      </c>
    </row>
    <row r="45" spans="1:2">
      <c r="A45" s="2595" t="s">
        <v>2702</v>
      </c>
      <c r="B45" s="2596">
        <f>'预评函-2'!O5</f>
        <v>5000</v>
      </c>
    </row>
    <row r="46" spans="1:2">
      <c r="A46" s="2595" t="s">
        <v>2703</v>
      </c>
      <c r="B46" s="2596">
        <f ca="1">'预评函-2'!P5</f>
        <v>1539</v>
      </c>
    </row>
    <row r="47" spans="1:2">
      <c r="A47" s="2595" t="s">
        <v>2704</v>
      </c>
      <c r="B47" s="2596">
        <f ca="1">'预评函-2'!Q5</f>
        <v>1944</v>
      </c>
    </row>
    <row r="48" spans="1:2">
      <c r="A48" s="2595" t="s">
        <v>2705</v>
      </c>
      <c r="B48" s="2596">
        <f ca="1">'预评函-2'!R5</f>
        <v>972</v>
      </c>
    </row>
    <row r="49" spans="1:2">
      <c r="A49" s="2595" t="s">
        <v>2721</v>
      </c>
      <c r="B49" s="2596" t="str">
        <f>'预评函-2'!A6</f>
        <v>抵押价格</v>
      </c>
    </row>
    <row r="50" spans="1:2">
      <c r="A50" s="2595" t="s">
        <v>2706</v>
      </c>
      <c r="B50" s="2596">
        <f ca="1">'预评函-2'!R6</f>
        <v>972</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1.权利限制：根据估价对象《不动产权证书》——、《国有土地使用权》复印件，截至估价期日，估价对象抵押权未见登记。未设定租赁等其他他项权利。</v>
      </c>
    </row>
    <row r="56" spans="1:2">
      <c r="A56" s="2595" t="s">
        <v>2659</v>
      </c>
      <c r="B56" s="2596" t="str">
        <f>'预评函-3'!A3</f>
        <v>2.基础设施条件：估价对象实际开发程度为红线外五通、宗地红线内；本次评估设定开发程度为红线外五通、宗地红线内场地。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（1）根据估价对象《不动产权证书》——、《国有土地使用权》复印件，截至估价期日，估价对象抵押权未见登记。</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由于本次评估估价目的是评估储备国有建设用地使用权的“抵押价格”，因此本次评估设定土地开发程度为红线外市政基础设施达“五通”、宗地红线内场地平整。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19" sqref="I1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69" t="str">
        <f>IF(B10="北京市","北京市",C10)&amp;F10&amp;B16&amp;"国有建设用地使用权"&amp;B9&amp;"预评估"</f>
        <v>北京市北京市通州区中关村科技园通州园光机电一体化产业基地嘉创五路3号出让国有建设用地使用权抵押价格预评估</v>
      </c>
      <c r="C1" s="3370"/>
      <c r="D1" s="3370"/>
      <c r="E1" s="3370"/>
      <c r="F1" s="3370"/>
      <c r="G1" s="3370"/>
      <c r="H1" s="3370"/>
      <c r="I1" s="3371"/>
      <c r="J1" s="3074"/>
      <c r="K1" s="2310" t="str">
        <f>IF(B10="北京市","北京市",C10)&amp;F10&amp;B16&amp;"国有建设用地使用权"&amp;B9</f>
        <v>北京市北京市通州区中关村科技园通州园光机电一体化产业基地嘉创五路3号出让国有建设用地使用权抵押价格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北京市北京市通州区中关村科技园通州园光机电一体化产业基地嘉创五路3号出让国有建设用地使用权</v>
      </c>
      <c r="L2" s="3053"/>
      <c r="M2" s="3053"/>
      <c r="N2" s="3054"/>
      <c r="O2" s="3055"/>
      <c r="P2" s="3054"/>
      <c r="Q2" s="3054"/>
      <c r="R2" s="3054"/>
      <c r="S2" s="3054"/>
      <c r="T2" s="3054"/>
      <c r="U2" s="3054"/>
    </row>
    <row r="3" spans="1:21">
      <c r="A3" s="1588" t="s">
        <v>1928</v>
      </c>
      <c r="B3" s="1589">
        <v>44098</v>
      </c>
      <c r="C3" s="2997" t="s">
        <v>1983</v>
      </c>
      <c r="D3" s="1589">
        <f>B3</f>
        <v>44098</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t="s">
        <v>3109</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
        <v>3110</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tr">
        <f>B5</f>
        <v>盛嘉优时影院管理（北京）有限公司</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2956</v>
      </c>
      <c r="C8" s="1598"/>
      <c r="D8" s="3375" t="s">
        <v>1933</v>
      </c>
      <c r="E8" s="1757" t="s">
        <v>3002</v>
      </c>
      <c r="F8" s="1599"/>
      <c r="G8" s="3075"/>
      <c r="H8" s="3075"/>
      <c r="I8" s="3078"/>
      <c r="J8" s="3074"/>
      <c r="K8" s="3057"/>
      <c r="L8" s="3053"/>
      <c r="M8" s="3053"/>
      <c r="N8" s="3054"/>
      <c r="O8" s="3055"/>
      <c r="P8" s="3054"/>
      <c r="Q8" s="3054"/>
      <c r="R8" s="3054"/>
      <c r="S8" s="3054"/>
      <c r="T8" s="3054"/>
      <c r="U8" s="3054"/>
    </row>
    <row r="9" spans="1:21" ht="15" thickBot="1">
      <c r="A9" s="2999" t="s">
        <v>1932</v>
      </c>
      <c r="B9" s="1600" t="s">
        <v>3002</v>
      </c>
      <c r="C9" s="1601"/>
      <c r="D9" s="3376"/>
      <c r="E9" s="1600" t="s">
        <v>943</v>
      </c>
      <c r="F9" s="1664"/>
      <c r="G9" s="3079"/>
      <c r="H9" s="3079"/>
      <c r="I9" s="3080"/>
      <c r="J9" s="3074"/>
      <c r="K9" s="3057"/>
      <c r="L9" s="3053"/>
      <c r="M9" s="3053"/>
      <c r="N9" s="3054"/>
      <c r="O9" s="3055"/>
      <c r="P9" s="3054"/>
      <c r="Q9" s="3054"/>
      <c r="R9" s="3054"/>
      <c r="S9" s="3054"/>
      <c r="T9" s="3054"/>
      <c r="U9" s="3054"/>
    </row>
    <row r="10" spans="1:21" ht="15" thickTop="1">
      <c r="A10" s="3000" t="s">
        <v>1987</v>
      </c>
      <c r="B10" s="1640" t="s">
        <v>1934</v>
      </c>
      <c r="C10" s="1602"/>
      <c r="D10" s="1594"/>
      <c r="E10" s="1603" t="s">
        <v>1935</v>
      </c>
      <c r="F10" s="1604" t="s">
        <v>3111</v>
      </c>
      <c r="G10" s="1662"/>
      <c r="H10" s="1663"/>
      <c r="I10" s="1594"/>
      <c r="J10" s="3074"/>
      <c r="K10" s="3057"/>
      <c r="L10" s="3053"/>
      <c r="M10" s="3053"/>
      <c r="N10" s="3054"/>
      <c r="O10" s="3055"/>
      <c r="P10" s="3054"/>
      <c r="Q10" s="3054"/>
      <c r="R10" s="3054"/>
      <c r="S10" s="3054"/>
      <c r="T10" s="3054"/>
      <c r="U10" s="3054"/>
    </row>
    <row r="11" spans="1:21" ht="42.75">
      <c r="A11" s="3001" t="s">
        <v>1988</v>
      </c>
      <c r="B11" s="1619" t="s">
        <v>3003</v>
      </c>
      <c r="C11" s="1605" t="str">
        <f>B5</f>
        <v>盛嘉优时影院管理（北京）有限公司</v>
      </c>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72" t="s">
        <v>3112</v>
      </c>
      <c r="C12" s="3373"/>
      <c r="D12" s="3374"/>
      <c r="E12" s="1620" t="s">
        <v>2049</v>
      </c>
      <c r="F12" s="3390" t="s">
        <v>2868</v>
      </c>
      <c r="G12" s="3391"/>
      <c r="H12" s="3391"/>
      <c r="I12" s="3392"/>
      <c r="J12" s="3074"/>
      <c r="K12" s="3057"/>
      <c r="L12" s="3053"/>
      <c r="M12" s="3053"/>
      <c r="N12" s="3054"/>
      <c r="O12" s="3055"/>
      <c r="P12" s="3054"/>
      <c r="Q12" s="3054"/>
      <c r="R12" s="3054"/>
      <c r="S12" s="3054"/>
      <c r="T12" s="3054"/>
      <c r="U12" s="3054"/>
    </row>
    <row r="13" spans="1:21">
      <c r="A13" s="1611" t="s">
        <v>2047</v>
      </c>
      <c r="B13" s="3372"/>
      <c r="C13" s="3373"/>
      <c r="D13" s="3374"/>
      <c r="E13" s="1620" t="s">
        <v>2049</v>
      </c>
      <c r="F13" s="3390" t="s">
        <v>2869</v>
      </c>
      <c r="G13" s="3391"/>
      <c r="H13" s="3391"/>
      <c r="I13" s="3392"/>
      <c r="J13" s="3074"/>
      <c r="K13" s="3057"/>
      <c r="L13" s="3053"/>
      <c r="M13" s="3053"/>
      <c r="N13" s="3054"/>
      <c r="O13" s="3055"/>
      <c r="P13" s="3054"/>
      <c r="Q13" s="3054"/>
      <c r="R13" s="3054"/>
      <c r="S13" s="3054"/>
      <c r="T13" s="3054"/>
      <c r="U13" s="3054"/>
    </row>
    <row r="14" spans="1:21">
      <c r="A14" s="1588" t="s">
        <v>2050</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2951</v>
      </c>
      <c r="C16" s="1620" t="s">
        <v>1937</v>
      </c>
      <c r="D16" s="2488" t="s">
        <v>1938</v>
      </c>
      <c r="E16" s="1643"/>
      <c r="F16" s="1643"/>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工业2047年8月20日</v>
      </c>
    </row>
    <row r="17" spans="1:21">
      <c r="A17" s="1680"/>
      <c r="B17" s="1607"/>
      <c r="C17" s="3003" t="s">
        <v>1944</v>
      </c>
      <c r="D17" s="1621"/>
      <c r="E17" s="1621"/>
      <c r="F17" s="1621"/>
      <c r="G17" s="1621"/>
      <c r="H17" s="1621"/>
      <c r="I17" s="1621">
        <v>53924</v>
      </c>
      <c r="J17" s="3074"/>
      <c r="K17" s="3052" t="str">
        <f>CONCATENATE(K16,L16,M16,N16,O16,P16,Q16,R16,S16,T16,,U16)</f>
        <v>工业2047年8月20日</v>
      </c>
      <c r="L17" s="3053"/>
      <c r="M17" s="3053"/>
      <c r="N17" s="3054"/>
      <c r="O17" s="3055"/>
      <c r="P17" s="3054"/>
      <c r="Q17" s="3054"/>
      <c r="R17" s="3054"/>
      <c r="S17" s="3054"/>
      <c r="T17" s="3054"/>
      <c r="U17" s="3054"/>
    </row>
    <row r="18" spans="1:21">
      <c r="A18" s="1680"/>
      <c r="B18" s="1607"/>
      <c r="C18" s="3003" t="s">
        <v>1945</v>
      </c>
      <c r="D18" s="1608"/>
      <c r="E18" s="1608"/>
      <c r="F18" s="1608"/>
      <c r="G18" s="1608"/>
      <c r="H18" s="1608"/>
      <c r="I18" s="1608">
        <v>50</v>
      </c>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26.92</v>
      </c>
      <c r="J19" s="3074"/>
      <c r="K19" s="3057"/>
      <c r="L19" s="3053"/>
      <c r="M19" s="3053"/>
      <c r="N19" s="3054"/>
      <c r="O19" s="3055"/>
      <c r="P19" s="3054"/>
      <c r="Q19" s="3054"/>
      <c r="R19" s="3054"/>
      <c r="S19" s="3054"/>
      <c r="T19" s="3054"/>
      <c r="U19" s="3054"/>
    </row>
    <row r="20" spans="1:21">
      <c r="A20" s="1700"/>
      <c r="B20" s="1701"/>
      <c r="C20" s="1702" t="s">
        <v>2048</v>
      </c>
      <c r="D20" s="3387"/>
      <c r="E20" s="3388"/>
      <c r="F20" s="3388"/>
      <c r="G20" s="3388"/>
      <c r="H20" s="3388"/>
      <c r="I20" s="3389"/>
      <c r="J20" s="3074"/>
      <c r="K20" s="3057"/>
      <c r="L20" s="3053"/>
      <c r="M20" s="3053"/>
      <c r="N20" s="3054"/>
      <c r="O20" s="3055"/>
      <c r="P20" s="3054"/>
      <c r="Q20" s="3054"/>
      <c r="R20" s="3054"/>
      <c r="S20" s="3054"/>
      <c r="T20" s="3054"/>
      <c r="U20" s="3054"/>
    </row>
    <row r="21" spans="1:21">
      <c r="A21" s="1680" t="s">
        <v>1947</v>
      </c>
      <c r="B21" s="1681" t="s">
        <v>1948</v>
      </c>
      <c r="C21" s="1676">
        <f>'数据-汇总表'!E3</f>
        <v>5000</v>
      </c>
      <c r="D21" s="1677" t="s">
        <v>1949</v>
      </c>
      <c r="E21" s="3377" t="s">
        <v>1986</v>
      </c>
      <c r="F21" s="3378"/>
      <c r="G21" s="3378"/>
      <c r="H21" s="3378"/>
      <c r="I21" s="3379"/>
      <c r="J21" s="3074"/>
      <c r="K21" s="3057"/>
      <c r="L21" s="3053"/>
      <c r="M21" s="3053"/>
      <c r="N21" s="3054"/>
      <c r="O21" s="3055"/>
      <c r="P21" s="3054"/>
      <c r="Q21" s="3054"/>
      <c r="R21" s="3054"/>
      <c r="S21" s="3054"/>
      <c r="T21" s="3054"/>
      <c r="U21" s="3054"/>
    </row>
    <row r="22" spans="1:21">
      <c r="A22" s="2802" t="s">
        <v>943</v>
      </c>
      <c r="B22" s="1588" t="s">
        <v>1950</v>
      </c>
      <c r="C22" s="1610">
        <f>'数据-汇总表'!D3</f>
        <v>6316</v>
      </c>
      <c r="D22" s="1611" t="s">
        <v>1949</v>
      </c>
      <c r="E22" s="3377" t="s">
        <v>2870</v>
      </c>
      <c r="F22" s="3378"/>
      <c r="G22" s="3378"/>
      <c r="H22" s="3378"/>
      <c r="I22" s="3379"/>
      <c r="J22" s="3074"/>
      <c r="K22" s="3057"/>
      <c r="L22" s="3053"/>
      <c r="M22" s="3053"/>
      <c r="N22" s="3054"/>
      <c r="O22" s="3055"/>
      <c r="P22" s="3054"/>
      <c r="Q22" s="3054"/>
      <c r="R22" s="3054"/>
      <c r="S22" s="3054"/>
      <c r="T22" s="3054"/>
      <c r="U22" s="3054"/>
    </row>
    <row r="23" spans="1:21" ht="43.5" thickBot="1">
      <c r="A23" s="1682" t="s">
        <v>1951</v>
      </c>
      <c r="B23" s="1622" t="s">
        <v>1952</v>
      </c>
      <c r="C23" s="1623" t="s">
        <v>3113</v>
      </c>
      <c r="D23" s="1624" t="s">
        <v>1953</v>
      </c>
      <c r="E23" s="1625" t="s">
        <v>3113</v>
      </c>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80" t="s">
        <v>1955</v>
      </c>
      <c r="C24" s="3381"/>
      <c r="D24" s="3382" t="s">
        <v>1956</v>
      </c>
      <c r="E24" s="3383"/>
      <c r="F24" s="1629" t="s">
        <v>1957</v>
      </c>
      <c r="G24" s="3074"/>
      <c r="H24" s="3074"/>
      <c r="I24" s="3078"/>
      <c r="J24" s="3074"/>
      <c r="K24" s="3368" t="s">
        <v>1958</v>
      </c>
      <c r="L24" s="231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943</v>
      </c>
      <c r="D25" s="1631"/>
      <c r="E25" s="1632" t="s">
        <v>943</v>
      </c>
      <c r="F25" s="1633"/>
      <c r="G25" s="3074"/>
      <c r="H25" s="3074"/>
      <c r="I25" s="3078"/>
      <c r="J25" s="3074"/>
      <c r="K25" s="3368"/>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1959</v>
      </c>
      <c r="C26" s="1630" t="s">
        <v>2313</v>
      </c>
      <c r="D26" s="3075"/>
      <c r="E26" s="3075"/>
      <c r="F26" s="3081"/>
      <c r="G26" s="3074"/>
      <c r="H26" s="3074"/>
      <c r="I26" s="3078"/>
      <c r="J26" s="3074"/>
      <c r="K26" s="3368"/>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1960</v>
      </c>
      <c r="B27" s="1670" t="s">
        <v>1961</v>
      </c>
      <c r="C27" s="1634"/>
      <c r="D27" s="2493" t="s">
        <v>1961</v>
      </c>
      <c r="E27" s="1635"/>
      <c r="F27" s="3081"/>
      <c r="G27" s="3074"/>
      <c r="H27" s="3074"/>
      <c r="I27" s="3078"/>
      <c r="J27" s="3074"/>
      <c r="K27" s="3057"/>
      <c r="L27" s="3053"/>
      <c r="M27" s="3053"/>
      <c r="N27" s="3054"/>
      <c r="O27" s="3055"/>
      <c r="P27" s="3054"/>
      <c r="Q27" s="3054"/>
      <c r="R27" s="3054"/>
      <c r="S27" s="3054"/>
      <c r="T27" s="3054"/>
      <c r="U27" s="3054"/>
    </row>
    <row r="28" spans="1:21">
      <c r="A28" s="1673"/>
      <c r="B28" s="1670" t="s">
        <v>1962</v>
      </c>
      <c r="C28" s="1636"/>
      <c r="D28" s="2494" t="s">
        <v>1962</v>
      </c>
      <c r="E28" s="1637"/>
      <c r="F28" s="3081"/>
      <c r="G28" s="3074"/>
      <c r="H28" s="3074"/>
      <c r="I28" s="3078"/>
      <c r="J28" s="3074"/>
      <c r="K28" s="3057"/>
      <c r="L28" s="3053"/>
      <c r="M28" s="3053"/>
      <c r="N28" s="3054"/>
      <c r="O28" s="3055"/>
      <c r="P28" s="3054"/>
      <c r="Q28" s="3054"/>
      <c r="R28" s="3054"/>
      <c r="S28" s="3054"/>
      <c r="T28" s="3054"/>
      <c r="U28" s="3054"/>
    </row>
    <row r="29" spans="1:21">
      <c r="A29" s="1673"/>
      <c r="B29" s="1670" t="s">
        <v>1963</v>
      </c>
      <c r="C29" s="1636"/>
      <c r="D29" s="2494" t="s">
        <v>1963</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1964</v>
      </c>
      <c r="C30" s="1638"/>
      <c r="D30" s="2495" t="s">
        <v>1964</v>
      </c>
      <c r="E30" s="1639"/>
      <c r="F30" s="3082"/>
      <c r="G30" s="3079"/>
      <c r="H30" s="3079"/>
      <c r="I30" s="3080"/>
      <c r="J30" s="3074"/>
      <c r="K30" s="3057"/>
      <c r="L30" s="3053"/>
      <c r="M30" s="3053"/>
      <c r="N30" s="3054"/>
      <c r="O30" s="3055"/>
      <c r="P30" s="3054"/>
      <c r="Q30" s="3054"/>
      <c r="R30" s="3054"/>
      <c r="S30" s="3054"/>
      <c r="T30" s="3054"/>
      <c r="U30" s="3054"/>
    </row>
    <row r="31" spans="1:21" ht="15" thickTop="1">
      <c r="A31" s="3354" t="s">
        <v>1989</v>
      </c>
      <c r="B31" s="1681" t="s">
        <v>1990</v>
      </c>
      <c r="C31" s="3393" t="s">
        <v>3114</v>
      </c>
      <c r="D31" s="3394"/>
      <c r="E31" s="3074"/>
      <c r="F31" s="3074"/>
      <c r="G31" s="3074"/>
      <c r="H31" s="3074"/>
      <c r="I31" s="3078"/>
      <c r="J31" s="3074"/>
      <c r="K31" s="3060"/>
      <c r="L31" s="3054"/>
      <c r="M31" s="3054"/>
      <c r="N31" s="3054"/>
      <c r="O31" s="3054"/>
      <c r="P31" s="3054"/>
      <c r="Q31" s="3054"/>
      <c r="R31" s="3054"/>
      <c r="S31" s="3054"/>
      <c r="T31" s="3054"/>
      <c r="U31" s="3054"/>
    </row>
    <row r="32" spans="1:21">
      <c r="A32" s="3354"/>
      <c r="B32" s="1588" t="s">
        <v>1991</v>
      </c>
      <c r="C32" s="1640" t="s">
        <v>3115</v>
      </c>
      <c r="D32" s="1641"/>
      <c r="E32" s="3074"/>
      <c r="F32" s="3074"/>
      <c r="G32" s="3074"/>
      <c r="H32" s="3074"/>
      <c r="I32" s="3078"/>
      <c r="J32" s="3074"/>
      <c r="K32" s="3060"/>
      <c r="L32" s="3054"/>
      <c r="M32" s="3054"/>
      <c r="N32" s="3054"/>
      <c r="O32" s="3054"/>
      <c r="P32" s="3054"/>
      <c r="Q32" s="3054"/>
      <c r="R32" s="3054"/>
      <c r="S32" s="3054"/>
      <c r="T32" s="3054"/>
      <c r="U32" s="3054"/>
    </row>
    <row r="33" spans="1:28">
      <c r="A33" s="3354"/>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55"/>
      <c r="B34" s="1588" t="s">
        <v>1993</v>
      </c>
      <c r="C34" s="3356"/>
      <c r="D34" s="3357"/>
      <c r="E34" s="3074"/>
      <c r="F34" s="3074"/>
      <c r="G34" s="3074"/>
      <c r="H34" s="3074"/>
      <c r="I34" s="3078"/>
      <c r="J34" s="3074"/>
      <c r="K34" s="3060"/>
      <c r="L34" s="3054"/>
      <c r="M34" s="3054"/>
      <c r="N34" s="3054"/>
      <c r="O34" s="3054"/>
      <c r="P34" s="3054"/>
      <c r="Q34" s="3054"/>
      <c r="R34" s="3054"/>
      <c r="S34" s="3054"/>
      <c r="T34" s="3054"/>
      <c r="U34" s="3054"/>
    </row>
    <row r="35" spans="1:28">
      <c r="A35" s="3358" t="s">
        <v>839</v>
      </c>
      <c r="B35" s="1643"/>
      <c r="C35" s="1690" t="str">
        <f>IF(B35="场地平整","——","具体情况：")</f>
        <v>具体情况：</v>
      </c>
      <c r="D35" s="3360"/>
      <c r="E35" s="3361"/>
      <c r="F35" s="3361"/>
      <c r="G35" s="3361"/>
      <c r="H35" s="3361"/>
      <c r="I35" s="3362"/>
      <c r="J35" s="3074"/>
      <c r="K35" s="3061"/>
      <c r="L35" s="3053"/>
      <c r="M35" s="3053"/>
      <c r="N35" s="3054"/>
      <c r="O35" s="3055"/>
      <c r="P35" s="3054"/>
      <c r="Q35" s="3054"/>
      <c r="R35" s="3054"/>
      <c r="S35" s="3054"/>
      <c r="T35" s="3054"/>
      <c r="U35" s="3054"/>
    </row>
    <row r="36" spans="1:28">
      <c r="A36" s="3354"/>
      <c r="B36" s="3363" t="s">
        <v>2042</v>
      </c>
      <c r="C36" s="3364"/>
      <c r="D36" s="1706"/>
      <c r="E36" s="3365"/>
      <c r="F36" s="3365"/>
      <c r="G36" s="1611" t="str">
        <f>IF(B35="场地未平整","估价结果处理","")</f>
        <v/>
      </c>
      <c r="H36" s="3366"/>
      <c r="I36" s="3366"/>
      <c r="J36" s="3074"/>
      <c r="K36" s="3061"/>
      <c r="L36" s="3053"/>
      <c r="M36" s="3053"/>
      <c r="N36" s="3054"/>
      <c r="O36" s="3055"/>
      <c r="P36" s="3054"/>
      <c r="Q36" s="3054"/>
      <c r="R36" s="3054"/>
      <c r="S36" s="3054"/>
      <c r="T36" s="3054"/>
      <c r="U36" s="3054"/>
    </row>
    <row r="37" spans="1:28" ht="28.5">
      <c r="A37" s="3354"/>
      <c r="B37" s="3384"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54"/>
      <c r="B38" s="3385"/>
      <c r="C38" s="1596" t="s">
        <v>842</v>
      </c>
      <c r="D38" s="1705">
        <f>ROUNDDOWN(MIN(('数据-取费表'!$B$2-D37)/365,D34),1)</f>
        <v>120.8</v>
      </c>
      <c r="E38" s="1648" t="s">
        <v>843</v>
      </c>
      <c r="F38" s="3074"/>
      <c r="G38" s="3074"/>
      <c r="H38" s="3074"/>
      <c r="I38" s="3078"/>
      <c r="J38" s="3074"/>
      <c r="K38" s="3061"/>
      <c r="L38" s="3054"/>
      <c r="M38" s="3054"/>
      <c r="N38" s="3054"/>
      <c r="O38" s="3054"/>
      <c r="P38" s="3054"/>
      <c r="Q38" s="3054"/>
      <c r="R38" s="3054"/>
      <c r="S38" s="3054"/>
      <c r="T38" s="3054"/>
      <c r="U38" s="3054"/>
    </row>
    <row r="39" spans="1:28">
      <c r="A39" s="3355"/>
      <c r="B39" s="3386"/>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1965</v>
      </c>
      <c r="B40" s="1612" t="s">
        <v>3004</v>
      </c>
      <c r="C40" s="1612" t="s">
        <v>3005</v>
      </c>
      <c r="D40" s="1612" t="s">
        <v>3006</v>
      </c>
      <c r="E40" s="1612" t="s">
        <v>3007</v>
      </c>
      <c r="F40" s="1612" t="s">
        <v>3008</v>
      </c>
      <c r="G40" s="1612" t="s">
        <v>943</v>
      </c>
      <c r="H40" s="1612" t="s">
        <v>943</v>
      </c>
      <c r="I40" s="3078"/>
      <c r="J40" s="3074"/>
      <c r="K40" s="3022">
        <f>COUNTIF(B40:H40,"——")</f>
        <v>2</v>
      </c>
      <c r="L40" s="1620" t="s">
        <v>1966</v>
      </c>
      <c r="M40" s="1617" t="s">
        <v>1967</v>
      </c>
      <c r="N40" s="1617" t="s">
        <v>1968</v>
      </c>
      <c r="O40" s="1617" t="s">
        <v>1969</v>
      </c>
      <c r="P40" s="1617" t="s">
        <v>1970</v>
      </c>
      <c r="Q40" s="1617" t="s">
        <v>1971</v>
      </c>
      <c r="R40" s="1617" t="s">
        <v>1972</v>
      </c>
      <c r="S40" s="3367" t="s">
        <v>1973</v>
      </c>
      <c r="T40" s="1652" t="str">
        <f>NUMBERSTRING(7-K40,1)&amp;"通"</f>
        <v>五通</v>
      </c>
      <c r="U40" s="3054"/>
    </row>
    <row r="41" spans="1:28">
      <c r="A41" s="1590"/>
      <c r="B41" s="3359" t="s">
        <v>1712</v>
      </c>
      <c r="C41" s="3359"/>
      <c r="D41" s="3359"/>
      <c r="E41" s="3359"/>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v>
      </c>
      <c r="R41" s="1655" t="str">
        <f>B40&amp;"、"&amp;C40&amp;"、"&amp;D40&amp;"、"&amp;E40&amp;"、"&amp;F40&amp;"、"&amp;G40&amp;"、"&amp;H40</f>
        <v>通路、通电、通讯、通上水、通下水、——、——</v>
      </c>
      <c r="S41" s="3367"/>
      <c r="T41" s="1654" t="str">
        <f>IF(T40="一通",L41,IF(T40="二通",M41,IF(T40="三通",N41,IF(T40="四通",O41,IF(T40="五通",P41,IF(T40="六通",Q41,R41))))))</f>
        <v>通路、通电、通讯、通上水、通下水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t="s">
        <v>1402</v>
      </c>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t="s">
        <v>3104</v>
      </c>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6316</f>
        <v>6316</v>
      </c>
      <c r="B3" s="22">
        <f>IF(C3="否",G5-AT5,G5)</f>
        <v>5000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5000</v>
      </c>
      <c r="H5" s="27">
        <f t="shared" ref="H5:AT5" si="0">SUM(H13:H641)</f>
        <v>5000</v>
      </c>
      <c r="I5" s="27">
        <f t="shared" si="0"/>
        <v>5000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5000</v>
      </c>
      <c r="BA5" s="29">
        <f t="shared" si="1"/>
        <v>5000</v>
      </c>
      <c r="BB5" s="29">
        <f t="shared" si="1"/>
        <v>5000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6316</v>
      </c>
      <c r="F6" s="27" t="s">
        <v>1</v>
      </c>
      <c r="G6" s="27" t="s">
        <v>2</v>
      </c>
      <c r="H6" s="33">
        <f>SUMIF(I$12:AB$12,"总值",I6:AB6)</f>
        <v>6316</v>
      </c>
      <c r="I6" s="27">
        <f t="shared" ref="I6:AB6" si="2">ROUND($A$3*I5/$B$3,2)</f>
        <v>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6316</v>
      </c>
      <c r="AZ6" s="27" t="s">
        <v>3</v>
      </c>
      <c r="BA6" s="27">
        <f>ROUND($AY$6*BA5/$AZ$5,2)</f>
        <v>6316</v>
      </c>
      <c r="BB6" s="27">
        <f>ROUND($AY$6*BB5/$AZ$5,2)</f>
        <v>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3009</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972</v>
      </c>
      <c r="J10" s="51"/>
      <c r="K10" s="2734"/>
      <c r="L10" s="51"/>
      <c r="M10" s="2734"/>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6316</v>
      </c>
      <c r="F13" s="81"/>
      <c r="G13" s="82">
        <f t="shared" ref="G13:G20" si="7">H13+AC13+AT13</f>
        <v>5000</v>
      </c>
      <c r="H13" s="33">
        <f t="shared" ref="H13:H20" si="8">SUMIF(I$12:AB$12,"总值",I13:AB13)</f>
        <v>5000</v>
      </c>
      <c r="I13" s="2731">
        <f>5000</f>
        <v>5000</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6316</v>
      </c>
      <c r="AZ13" s="27">
        <f t="shared" ref="AZ13:AZ20" si="12">BA13+BL13</f>
        <v>5000</v>
      </c>
      <c r="BA13" s="27">
        <f t="shared" ref="BA13:BA20" si="13">SUM(BB13:BK13)</f>
        <v>5000</v>
      </c>
      <c r="BB13" s="27">
        <f t="shared" ref="BB13:BB20" si="14">IF($D13="是",I13-J13,0)</f>
        <v>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5" t="s">
        <v>0</v>
      </c>
      <c r="B1" s="3395" t="s">
        <v>4</v>
      </c>
      <c r="C1" s="3395" t="s">
        <v>5</v>
      </c>
      <c r="D1" s="3396" t="s">
        <v>40</v>
      </c>
      <c r="E1" s="3396" t="s">
        <v>41</v>
      </c>
      <c r="F1" s="3396"/>
      <c r="G1" s="3396"/>
      <c r="H1" s="3396"/>
      <c r="I1" s="3396"/>
      <c r="J1" s="3396"/>
      <c r="K1" s="3396"/>
      <c r="L1" s="3396"/>
      <c r="M1" s="3396"/>
    </row>
    <row r="2" spans="1:13" ht="27" customHeight="1">
      <c r="A2" s="3395"/>
      <c r="B2" s="3395"/>
      <c r="C2" s="3395"/>
      <c r="D2" s="3396"/>
      <c r="E2" s="3396" t="s">
        <v>24</v>
      </c>
      <c r="F2" s="3396" t="s">
        <v>25</v>
      </c>
      <c r="G2" s="3396"/>
      <c r="H2" s="3396"/>
      <c r="I2" s="3396"/>
      <c r="J2" s="3396" t="s">
        <v>26</v>
      </c>
      <c r="K2" s="3396"/>
      <c r="L2" s="3396"/>
      <c r="M2" s="3396"/>
    </row>
    <row r="3" spans="1:13" ht="28.5">
      <c r="A3" s="3395"/>
      <c r="B3" s="3395"/>
      <c r="C3" s="3395"/>
      <c r="D3" s="3396"/>
      <c r="E3" s="33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6" t="s">
        <v>42</v>
      </c>
      <c r="B9" s="3396"/>
      <c r="C9" s="33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7" sqref="I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06" t="s">
        <v>203</v>
      </c>
      <c r="B2" s="3406"/>
      <c r="C2" s="3406"/>
      <c r="D2" s="1889" t="s">
        <v>204</v>
      </c>
      <c r="E2" s="106" t="s">
        <v>205</v>
      </c>
      <c r="F2" s="3083"/>
      <c r="G2" s="1181"/>
      <c r="H2" s="1182"/>
      <c r="I2" s="1183" t="s">
        <v>849</v>
      </c>
      <c r="J2" s="3083"/>
      <c r="K2" s="3083"/>
      <c r="L2" s="3083"/>
      <c r="M2" s="3083"/>
      <c r="N2" s="3083"/>
      <c r="O2" s="3083"/>
      <c r="P2" s="3083"/>
    </row>
    <row r="3" spans="1:16" ht="15.75" thickBot="1">
      <c r="A3" s="3407" t="s">
        <v>206</v>
      </c>
      <c r="B3" s="3407"/>
      <c r="C3" s="3407"/>
      <c r="D3" s="107">
        <f>'数据-基础表'!AY6</f>
        <v>6316</v>
      </c>
      <c r="E3" s="107">
        <f>'数据-基础表'!AZ5</f>
        <v>5000</v>
      </c>
      <c r="F3" s="3083"/>
      <c r="G3" s="278" t="s">
        <v>850</v>
      </c>
      <c r="H3" s="273" t="s">
        <v>851</v>
      </c>
      <c r="I3" s="1890">
        <f>ROUND('数据-基础表'!B3/'数据-基础表'!A3,2)</f>
        <v>0.79</v>
      </c>
      <c r="J3" s="3083"/>
      <c r="K3" s="3083"/>
      <c r="L3" s="3083"/>
      <c r="M3" s="3083"/>
      <c r="N3" s="3083"/>
      <c r="O3" s="3083"/>
      <c r="P3" s="3083"/>
    </row>
    <row r="4" spans="1:16" ht="15">
      <c r="A4" s="3408"/>
      <c r="B4" s="3409"/>
      <c r="C4" s="3410"/>
      <c r="D4" s="108" t="s">
        <v>204</v>
      </c>
      <c r="E4" s="109" t="s">
        <v>205</v>
      </c>
      <c r="F4" s="3083"/>
      <c r="G4" s="1184"/>
      <c r="H4" s="273" t="s">
        <v>852</v>
      </c>
      <c r="I4" s="1890">
        <f>ROUND(SUMIF('数据-基础表'!I9:AS9,"地上",'数据-基础表'!I5:AS5)/'数据-基础表'!A3,2)</f>
        <v>0.79</v>
      </c>
      <c r="J4" s="3083"/>
      <c r="K4" s="3083"/>
      <c r="L4" s="3083"/>
      <c r="M4" s="3083"/>
      <c r="N4" s="3083"/>
      <c r="O4" s="3083"/>
      <c r="P4" s="3083"/>
    </row>
    <row r="5" spans="1:16">
      <c r="A5" s="110" t="s">
        <v>207</v>
      </c>
      <c r="B5" s="3411" t="s">
        <v>230</v>
      </c>
      <c r="C5" s="3411"/>
      <c r="D5" s="111">
        <f>ROUND($D$3*E5/$E$3,2)</f>
        <v>0</v>
      </c>
      <c r="E5" s="112">
        <f>SUMIF('数据-基础表'!$11:$11,"住宅",'数据-基础表'!$5:$5)</f>
        <v>0</v>
      </c>
      <c r="F5" s="3083"/>
      <c r="G5" s="278" t="s">
        <v>853</v>
      </c>
      <c r="H5" s="273" t="s">
        <v>851</v>
      </c>
      <c r="I5" s="1890">
        <f>ROUND(E31/D31,2)</f>
        <v>0.79</v>
      </c>
      <c r="J5" s="3083"/>
      <c r="K5" s="3083"/>
      <c r="L5" s="3083"/>
      <c r="M5" s="3083"/>
      <c r="N5" s="3083"/>
      <c r="O5" s="3083"/>
      <c r="P5" s="3083"/>
    </row>
    <row r="6" spans="1:16" ht="15" thickBot="1">
      <c r="A6" s="113"/>
      <c r="B6" s="3411" t="s">
        <v>208</v>
      </c>
      <c r="C6" s="3411"/>
      <c r="D6" s="111">
        <f>ROUND($D$3*E6/$E$3,2)</f>
        <v>6316</v>
      </c>
      <c r="E6" s="112">
        <f>E3-E5</f>
        <v>5000</v>
      </c>
      <c r="F6" s="3083"/>
      <c r="G6" s="1184"/>
      <c r="H6" s="273" t="s">
        <v>852</v>
      </c>
      <c r="I6" s="1890">
        <f>ROUND(F31/D31,2)</f>
        <v>0.79</v>
      </c>
      <c r="J6" s="3083"/>
      <c r="K6" s="3083"/>
      <c r="L6" s="3083"/>
      <c r="M6" s="3083"/>
      <c r="N6" s="3083"/>
      <c r="O6" s="3083"/>
      <c r="P6" s="3083"/>
    </row>
    <row r="7" spans="1:16" ht="15">
      <c r="A7" s="3403"/>
      <c r="B7" s="3404"/>
      <c r="C7" s="3405"/>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6316</v>
      </c>
      <c r="E8" s="116">
        <f>SUMIF('数据-基础表'!BB10:BK10,"地上",'数据-基础表'!BB5:BK5)</f>
        <v>5000</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6316</v>
      </c>
      <c r="E16" s="120">
        <f>SUM(E8:E15)</f>
        <v>5000</v>
      </c>
      <c r="F16" s="3083"/>
      <c r="G16" s="3084"/>
      <c r="H16" s="956" t="s">
        <v>219</v>
      </c>
      <c r="I16" s="957"/>
      <c r="J16" s="1898"/>
      <c r="K16" s="3397" t="s">
        <v>2547</v>
      </c>
      <c r="L16" s="3398"/>
      <c r="M16" s="3398"/>
      <c r="N16" s="3398"/>
      <c r="O16" s="3398"/>
      <c r="P16" s="3399"/>
    </row>
    <row r="17" spans="1:19" ht="15">
      <c r="A17" s="121" t="s">
        <v>216</v>
      </c>
      <c r="B17" s="122" t="s">
        <v>217</v>
      </c>
      <c r="C17" s="2178" t="s">
        <v>2300</v>
      </c>
      <c r="D17" s="108" t="s">
        <v>204</v>
      </c>
      <c r="E17" s="124" t="s">
        <v>205</v>
      </c>
      <c r="F17" s="125"/>
      <c r="G17" s="1319"/>
      <c r="H17" s="958" t="s">
        <v>218</v>
      </c>
      <c r="I17" s="959" t="s">
        <v>2299</v>
      </c>
      <c r="J17" s="1898"/>
      <c r="K17" s="3400" t="s">
        <v>2548</v>
      </c>
      <c r="L17" s="3401"/>
      <c r="M17" s="3402"/>
      <c r="N17" s="3400" t="s">
        <v>2549</v>
      </c>
      <c r="O17" s="3401"/>
      <c r="P17" s="3402"/>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3010</v>
      </c>
      <c r="D19" s="111">
        <f t="shared" ref="D19:D26" si="1">ROUND($D$3*E19/$E$3,2)</f>
        <v>6316</v>
      </c>
      <c r="E19" s="134">
        <f t="shared" ref="E19:E26" si="2">SUM(F19:G19)</f>
        <v>5000</v>
      </c>
      <c r="F19" s="3085">
        <f>'数据-基础表'!I5</f>
        <v>5000</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6316</v>
      </c>
      <c r="S19" s="2181">
        <f t="shared" si="5"/>
        <v>5000</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6316</v>
      </c>
      <c r="E27" s="141">
        <f>IF(SUM(E19:E26)='数据-基础表'!BA5,SUM(E19:E26),IF(F27="地上面积有误","面积有误","地下面积有误"))</f>
        <v>5000</v>
      </c>
      <c r="F27" s="134">
        <f>IF(SUM(F19:F26)=E8,SUM(F19:F26),"地上面积有误")</f>
        <v>5000</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6316</v>
      </c>
      <c r="S27" s="273">
        <f>IF(SUM(S19:S26)=$E$3,SUM(S19:S26),SUM(S19:S26)&amp;"误差"&amp;ROUND(SUM(S19:S26)-E3,2))</f>
        <v>5000</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6316</v>
      </c>
      <c r="E31" s="1323">
        <f>E27+E30</f>
        <v>5000</v>
      </c>
      <c r="F31" s="1324">
        <f>F27+F30</f>
        <v>5000</v>
      </c>
      <c r="G31" s="1325">
        <f>G27+G30</f>
        <v>0</v>
      </c>
      <c r="H31" s="3083"/>
      <c r="I31" s="3083"/>
      <c r="J31" s="3083"/>
      <c r="K31" s="3083"/>
      <c r="L31" s="3083"/>
      <c r="M31" s="3083"/>
      <c r="N31" s="3083"/>
      <c r="O31" s="3083"/>
      <c r="P31" s="3083"/>
    </row>
    <row r="32" spans="1:19">
      <c r="A32" s="1898"/>
      <c r="B32" s="2222" t="s">
        <v>2308</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44098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工业</v>
      </c>
      <c r="B6" s="2217" t="str">
        <f>IF(A6=0,"","经营性")</f>
        <v>经营性</v>
      </c>
      <c r="C6" s="171" t="s">
        <v>972</v>
      </c>
      <c r="D6" s="2188">
        <f>SUMIF(项目基本情况!D$15:I$15,C6,项目基本情况!D$18:I$18)</f>
        <v>50</v>
      </c>
      <c r="E6" s="2189">
        <f>IF(B6="","",SUMIF(项目基本情况!D$15:I$15,C6,项目基本情况!D$17:I$17))</f>
        <v>53924</v>
      </c>
      <c r="F6" s="172">
        <f>SUMIF(项目基本情况!D$15:I$15,C6,项目基本情况!D$19:I$19)</f>
        <v>26.92</v>
      </c>
      <c r="G6" s="173">
        <f>IF(ISERROR(ROUND(POWER(1+H6,D6-F6)*(POWER(1+H6,F6)-1)/(POWER(1+H6,D6)-1),3)),0,ROUND(POWER(1+H6,D6-F6)*(POWER(1+H6,F6)-1)/(POWER(1+H6,D6)-1),3))</f>
        <v>0.78100000000000003</v>
      </c>
      <c r="H6" s="2739">
        <v>4.4999999999999998E-2</v>
      </c>
      <c r="I6" s="2739">
        <v>0.05</v>
      </c>
      <c r="J6" s="174">
        <v>8.5000000000000006E-2</v>
      </c>
      <c r="K6" s="177">
        <f>SUMIF('数据-汇总表'!C$19:C$33,'数据-取费表'!A6,'数据-汇总表'!E$19:E$33)</f>
        <v>5000</v>
      </c>
      <c r="L6" s="2740">
        <v>1600</v>
      </c>
      <c r="M6" s="175">
        <f t="shared" ref="M6:M14" si="0">ROUND(K6*L6/10000,0)</f>
        <v>800</v>
      </c>
      <c r="N6" s="2741">
        <v>0</v>
      </c>
      <c r="O6" s="175">
        <f>IF($N$5="成新度","——",ROUND(M6*N6,0))</f>
        <v>0</v>
      </c>
      <c r="P6" s="176">
        <f>IF($N$5="成新度","——",M6-O6)</f>
        <v>800</v>
      </c>
      <c r="Q6" s="2742">
        <v>0.05</v>
      </c>
      <c r="R6" s="177">
        <f>SUMIF('数据-汇总表'!C$19:C$33,A6,'数据-汇总表'!R$19:R$33)</f>
        <v>6316</v>
      </c>
      <c r="S6" s="132">
        <f>IF('数据-汇总表'!$I$17="按面积比例",SUMIF('数据-汇总表'!C$19:C$33,A6,'数据-汇总表'!K$19:K$33),SUMIF('数据-汇总表'!C$19:C$33,A6,'数据-汇总表'!N$19:N$33))</f>
        <v>0</v>
      </c>
      <c r="T6" s="2114" t="str">
        <f>IF($T$4="按面积比例",IF(ISERROR(ROUND($M$14*S6/S$16,0)),"0",ROUND($M$14*S6/S$16,0)),"需自行计算录入")</f>
        <v>0</v>
      </c>
      <c r="U6" s="178">
        <v>1.1000000000000001</v>
      </c>
      <c r="V6" s="179">
        <v>0.02</v>
      </c>
      <c r="W6" s="179">
        <v>0.1</v>
      </c>
      <c r="X6" s="2201"/>
      <c r="Y6" s="180">
        <v>1</v>
      </c>
      <c r="Z6" s="181"/>
      <c r="AA6" s="174"/>
      <c r="AB6" s="174"/>
      <c r="AC6" s="2204"/>
      <c r="AD6" s="182"/>
      <c r="AE6" s="960">
        <f ca="1">IF(AN6="",0,SUMIF(INDIRECT("'"&amp;AN6&amp;"'"&amp;"!E:E"),$AE$5,INDIRECT("'"&amp;AN6&amp;"'"&amp;"!F:F")))</f>
        <v>25.92</v>
      </c>
      <c r="AF6" s="139"/>
      <c r="AG6" s="1196">
        <f>IF(AF6="",0,AE6-AF6)</f>
        <v>0</v>
      </c>
      <c r="AH6" s="139"/>
      <c r="AI6" s="185">
        <v>365</v>
      </c>
      <c r="AJ6" s="186"/>
      <c r="AK6" s="187">
        <v>0.01</v>
      </c>
      <c r="AL6" s="188">
        <v>1.5E-3</v>
      </c>
      <c r="AM6" s="2753">
        <v>0.01</v>
      </c>
      <c r="AN6" s="2247" t="s">
        <v>3011</v>
      </c>
      <c r="AO6" s="3093"/>
      <c r="AP6" s="1187">
        <f>ROUND(1-1/(1+H6)^F6,3)</f>
        <v>0.69399999999999995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0.78100000000000003</v>
      </c>
      <c r="H16" s="201">
        <f>ROUND(SUMPRODUCT(H6:H13,K6:K13)/SUMPRODUCT((H6:H13&gt;0)*(K6:K13)),3)</f>
        <v>4.4999999999999998E-2</v>
      </c>
      <c r="I16" s="202"/>
      <c r="J16" s="202"/>
      <c r="K16" s="203">
        <f>SUM(K6:K15)</f>
        <v>5000</v>
      </c>
      <c r="L16" s="204">
        <f>ROUND(M16*10000/SUM(K6:K14),0)</f>
        <v>1600</v>
      </c>
      <c r="M16" s="204">
        <f>SUM(M6:M14)</f>
        <v>800</v>
      </c>
      <c r="N16" s="205">
        <f>ROUND(SUMPRODUCT(M6:M14,N6:N14)/M16,3)</f>
        <v>0</v>
      </c>
      <c r="O16" s="204">
        <f>SUM(O6:O14)</f>
        <v>0</v>
      </c>
      <c r="P16" s="204">
        <f>SUM(P6:P14)</f>
        <v>800</v>
      </c>
      <c r="Q16" s="206">
        <f>ROUND(SUMPRODUCT(Q6:Q13,K6:K13)/SUMPRODUCT((Q6:Q13&gt;0)*(K6:K13)),2)</f>
        <v>0.05</v>
      </c>
      <c r="R16" s="2191">
        <f>SUM(R6:R13)</f>
        <v>6316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0.69399999999999995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1</v>
      </c>
      <c r="C20" s="3105" t="s">
        <v>2322</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1</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1</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140</v>
      </c>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170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1.4999999999999999E-2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1.4999999999999999E-2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4.3499999999999997E-2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2872</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f>C59</f>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412" t="s">
        <v>1654</v>
      </c>
      <c r="B1" s="3413"/>
      <c r="C1" s="3413"/>
      <c r="D1" s="3413"/>
      <c r="E1" s="3413"/>
      <c r="F1" s="3413"/>
      <c r="G1" s="3413"/>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2527</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2528</v>
      </c>
      <c r="G6" s="3136" t="s">
        <v>2883</v>
      </c>
      <c r="H6" s="3124"/>
      <c r="I6" s="3124"/>
      <c r="J6" s="3124"/>
      <c r="K6" s="3124"/>
      <c r="L6" s="3124"/>
      <c r="M6" s="3124"/>
      <c r="N6" s="3124"/>
      <c r="O6" s="3124"/>
      <c r="P6" s="3124"/>
      <c r="Q6" s="3124"/>
      <c r="R6" s="3124"/>
    </row>
    <row r="7" spans="1:18" ht="27.75" thickBot="1">
      <c r="A7" s="3129"/>
      <c r="B7" s="3132" t="s">
        <v>2527</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2528</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21" sqref="D21"/>
    </sheetView>
  </sheetViews>
  <sheetFormatPr defaultColWidth="14.625" defaultRowHeight="13.5"/>
  <cols>
    <col min="1" max="1" width="24.375" style="3187" customWidth="1"/>
    <col min="2" max="16384" width="14.625" style="3187"/>
  </cols>
  <sheetData>
    <row r="1" spans="1:10" ht="16.5">
      <c r="A1" s="3186" t="s">
        <v>2823</v>
      </c>
      <c r="B1" s="3186">
        <f>SUM(B14:B23)</f>
        <v>15378.48</v>
      </c>
      <c r="C1" s="3195"/>
      <c r="D1" s="3195"/>
      <c r="E1" s="3195"/>
      <c r="F1" s="3195"/>
      <c r="G1" s="3196"/>
      <c r="H1" s="3196"/>
      <c r="I1" s="3196"/>
      <c r="J1" s="3196"/>
    </row>
    <row r="2" spans="1:10" ht="16.5">
      <c r="A2" s="3186" t="s">
        <v>2824</v>
      </c>
      <c r="B2" s="3186">
        <f>SUM(C14:C23)</f>
        <v>22360</v>
      </c>
      <c r="C2" s="3195"/>
      <c r="D2" s="3195"/>
      <c r="E2" s="3195"/>
      <c r="F2" s="3195"/>
      <c r="G2" s="3196"/>
      <c r="H2" s="3196"/>
      <c r="I2" s="3196"/>
      <c r="J2" s="3196"/>
    </row>
    <row r="3" spans="1:10" ht="16.5">
      <c r="A3" s="3186" t="s">
        <v>2825</v>
      </c>
      <c r="B3" s="3188">
        <f>项目基本情况!D3</f>
        <v>44098</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3378</v>
      </c>
      <c r="C5" s="3186">
        <f ca="1">ROUND(B5*10000/$B$1,0)</f>
        <v>2197</v>
      </c>
      <c r="D5" s="3186">
        <f ca="1">ROUND(B5*10000/$B$2,0)</f>
        <v>1511</v>
      </c>
      <c r="E5" s="3195"/>
      <c r="F5" s="3195"/>
      <c r="G5" s="3196"/>
      <c r="H5" s="3196"/>
      <c r="I5" s="3196"/>
      <c r="J5" s="3196"/>
    </row>
    <row r="6" spans="1:10" ht="16.5">
      <c r="A6" s="3186" t="s">
        <v>2831</v>
      </c>
      <c r="B6" s="3186">
        <f ca="1">SUM(G14:G23)</f>
        <v>3378</v>
      </c>
      <c r="C6" s="3186">
        <f t="shared" ref="C6:C8" ca="1" si="0">ROUND(B6*10000/$B$1,0)</f>
        <v>2197</v>
      </c>
      <c r="D6" s="3186">
        <f t="shared" ref="D6:D8" ca="1" si="1">ROUND(B6*10000/$B$2,0)</f>
        <v>1511</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5000</v>
      </c>
      <c r="C14" s="3192">
        <f>结果表!K38</f>
        <v>6316</v>
      </c>
      <c r="D14" s="3192">
        <f ca="1">结果表!C42</f>
        <v>972</v>
      </c>
      <c r="E14" s="3192">
        <f ca="1">ROUND(D14*10000/B14,0)</f>
        <v>1944</v>
      </c>
      <c r="F14" s="3192">
        <f ca="1">ROUND(D14*10000/C14,0)</f>
        <v>1539</v>
      </c>
      <c r="G14" s="3192">
        <f ca="1">结果表!C44</f>
        <v>972</v>
      </c>
      <c r="H14" s="3192" t="str">
        <f>结果表!C45</f>
        <v>——</v>
      </c>
      <c r="I14" s="3192" t="str">
        <f>结果表!C46</f>
        <v>——</v>
      </c>
      <c r="J14" s="3196"/>
    </row>
    <row r="15" spans="1:10" ht="16.5">
      <c r="A15" s="3191" t="s">
        <v>2840</v>
      </c>
      <c r="B15" s="3193">
        <f>[1]系统读取表!$B$14</f>
        <v>5000</v>
      </c>
      <c r="C15" s="3193">
        <f>[1]系统读取表!$C$14</f>
        <v>6688</v>
      </c>
      <c r="D15" s="3193">
        <f ca="1">[1]系统读取表!$D$14</f>
        <v>999</v>
      </c>
      <c r="E15" s="3192">
        <f t="shared" ref="E15:E23" ca="1" si="2">ROUND(D15*10000/B15,0)</f>
        <v>1998</v>
      </c>
      <c r="F15" s="3192">
        <f t="shared" ref="F15:F23" ca="1" si="3">ROUND(D15*10000/C15,0)</f>
        <v>1494</v>
      </c>
      <c r="G15" s="2758">
        <f ca="1">[1]系统读取表!$G$14</f>
        <v>999</v>
      </c>
      <c r="H15" s="2758"/>
      <c r="I15" s="3193"/>
      <c r="J15" s="3196"/>
    </row>
    <row r="16" spans="1:10" ht="16.5">
      <c r="A16" s="3191" t="s">
        <v>2841</v>
      </c>
      <c r="B16" s="3193">
        <f>[2]系统读取表!$B$14</f>
        <v>5000</v>
      </c>
      <c r="C16" s="3193">
        <f>[2]系统读取表!$C$14</f>
        <v>6688</v>
      </c>
      <c r="D16" s="3193">
        <f ca="1">[2]系统读取表!$D$14</f>
        <v>999</v>
      </c>
      <c r="E16" s="3192">
        <f t="shared" ca="1" si="2"/>
        <v>1998</v>
      </c>
      <c r="F16" s="3192">
        <f t="shared" ca="1" si="3"/>
        <v>1494</v>
      </c>
      <c r="G16" s="2758">
        <f ca="1">[2]系统读取表!$G$14</f>
        <v>999</v>
      </c>
      <c r="H16" s="2758"/>
      <c r="I16" s="3193"/>
      <c r="J16" s="3196"/>
    </row>
    <row r="17" spans="1:10" ht="16.5">
      <c r="A17" s="3191" t="s">
        <v>2842</v>
      </c>
      <c r="B17" s="3193">
        <f>[3]系统读取表!$B$14</f>
        <v>378.48</v>
      </c>
      <c r="C17" s="3193">
        <f>[3]系统读取表!$C$14</f>
        <v>2668</v>
      </c>
      <c r="D17" s="3193">
        <f ca="1">[3]系统读取表!$D$14</f>
        <v>408</v>
      </c>
      <c r="E17" s="3192">
        <f t="shared" ca="1" si="2"/>
        <v>10780</v>
      </c>
      <c r="F17" s="3192">
        <f t="shared" ca="1" si="3"/>
        <v>1529</v>
      </c>
      <c r="G17" s="2758">
        <f ca="1">[3]系统读取表!$G$14</f>
        <v>408</v>
      </c>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t="s">
        <v>3100</v>
      </c>
      <c r="E1" s="1720" t="s">
        <v>2045</v>
      </c>
      <c r="F1" s="1722" t="s">
        <v>3099</v>
      </c>
      <c r="G1" s="309"/>
      <c r="H1" s="309"/>
      <c r="I1" s="309"/>
      <c r="J1" s="1912"/>
      <c r="K1" s="1912"/>
      <c r="L1" s="1912"/>
      <c r="M1" s="1912"/>
      <c r="N1" s="1912"/>
      <c r="O1" s="1912"/>
      <c r="P1" s="1912"/>
      <c r="Q1" s="1912"/>
      <c r="R1" s="1912"/>
      <c r="S1" s="1912"/>
      <c r="T1" s="1912"/>
      <c r="U1" s="1912"/>
      <c r="V1" s="1912"/>
    </row>
    <row r="2" spans="1:22" ht="21.75" customHeight="1" thickBot="1">
      <c r="A2" s="3458" t="str">
        <f>项目基本情况!K2</f>
        <v>北京市北京市通州区中关村科技园通州园光机电一体化产业基地嘉创五路3号出让国有建设用地使用权</v>
      </c>
      <c r="B2" s="3459"/>
      <c r="C2" s="3460"/>
      <c r="D2" s="3460"/>
      <c r="E2" s="3460"/>
      <c r="F2" s="3460"/>
      <c r="G2" s="3459"/>
      <c r="H2" s="3459"/>
      <c r="I2" s="3461"/>
      <c r="J2" s="1913"/>
      <c r="K2" s="1912"/>
      <c r="L2" s="1912"/>
      <c r="M2" s="1912"/>
      <c r="N2" s="1912"/>
      <c r="O2" s="1912"/>
      <c r="P2" s="1912"/>
      <c r="Q2" s="1912"/>
      <c r="R2" s="1912"/>
      <c r="S2" s="1912"/>
      <c r="T2" s="1912"/>
      <c r="U2" s="1912"/>
      <c r="V2" s="1912"/>
    </row>
    <row r="3" spans="1:22" ht="14.25">
      <c r="A3" s="3451" t="s">
        <v>298</v>
      </c>
      <c r="B3" s="3452"/>
      <c r="C3" s="3452"/>
      <c r="D3" s="3452"/>
      <c r="E3" s="3452"/>
      <c r="F3" s="3452"/>
      <c r="G3" s="3452"/>
      <c r="H3" s="3452"/>
      <c r="I3" s="3452"/>
      <c r="J3" s="1913"/>
      <c r="K3" s="1912"/>
      <c r="L3" s="1912"/>
      <c r="M3" s="1912"/>
      <c r="N3" s="1912"/>
      <c r="O3" s="1912"/>
      <c r="P3" s="1912"/>
      <c r="Q3" s="1912"/>
      <c r="R3" s="1912"/>
      <c r="S3" s="1912"/>
      <c r="T3" s="1912"/>
      <c r="U3" s="1912"/>
      <c r="V3" s="1912"/>
    </row>
    <row r="4" spans="1:22" ht="14.25">
      <c r="A4" s="256" t="s">
        <v>299</v>
      </c>
      <c r="B4" s="257" t="s">
        <v>300</v>
      </c>
      <c r="C4" s="258" t="s">
        <v>3108</v>
      </c>
      <c r="D4" s="258" t="s">
        <v>3101</v>
      </c>
      <c r="E4" s="3417" t="s">
        <v>301</v>
      </c>
      <c r="F4" s="3418"/>
      <c r="G4" s="3418"/>
      <c r="H4" s="3418"/>
      <c r="I4" s="3453"/>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16" t="s">
        <v>302</v>
      </c>
      <c r="B5" s="3445">
        <v>25</v>
      </c>
      <c r="C5" s="3443"/>
      <c r="D5" s="3447"/>
      <c r="E5" s="259" t="s">
        <v>303</v>
      </c>
      <c r="F5" s="260"/>
      <c r="G5" s="260"/>
      <c r="H5" s="260"/>
      <c r="I5" s="261"/>
      <c r="J5" s="1913"/>
      <c r="K5" s="1912"/>
      <c r="L5" s="1912"/>
      <c r="M5" s="1912"/>
      <c r="N5" s="1912"/>
      <c r="O5" s="1912"/>
      <c r="P5" s="1912"/>
      <c r="Q5" s="1912"/>
      <c r="R5" s="1912"/>
      <c r="S5" s="1912"/>
      <c r="T5" s="1912"/>
      <c r="U5" s="1912"/>
      <c r="V5" s="1912"/>
    </row>
    <row r="6" spans="1:22" ht="14.25">
      <c r="A6" s="3416"/>
      <c r="B6" s="3445"/>
      <c r="C6" s="3446"/>
      <c r="D6" s="3447"/>
      <c r="E6" s="259" t="s">
        <v>304</v>
      </c>
      <c r="F6" s="260"/>
      <c r="G6" s="260"/>
      <c r="H6" s="260"/>
      <c r="I6" s="261"/>
      <c r="J6" s="1913"/>
      <c r="K6" s="1912"/>
      <c r="L6" s="1912"/>
      <c r="M6" s="1912"/>
      <c r="N6" s="1912"/>
      <c r="O6" s="1912"/>
      <c r="P6" s="1912"/>
      <c r="Q6" s="1912"/>
      <c r="R6" s="1912"/>
      <c r="S6" s="1912"/>
      <c r="T6" s="1912"/>
      <c r="U6" s="1912"/>
      <c r="V6" s="1912"/>
    </row>
    <row r="7" spans="1:22" ht="14.25">
      <c r="A7" s="3416"/>
      <c r="B7" s="3445"/>
      <c r="C7" s="3444"/>
      <c r="D7" s="3447"/>
      <c r="E7" s="259" t="s">
        <v>305</v>
      </c>
      <c r="F7" s="260"/>
      <c r="G7" s="260"/>
      <c r="H7" s="260"/>
      <c r="I7" s="261"/>
      <c r="J7" s="1913"/>
      <c r="K7" s="1912"/>
      <c r="L7" s="1912"/>
      <c r="M7" s="1912"/>
      <c r="N7" s="1912"/>
      <c r="O7" s="1912"/>
      <c r="P7" s="1912"/>
      <c r="Q7" s="1912"/>
      <c r="R7" s="1912"/>
      <c r="S7" s="1912"/>
      <c r="T7" s="1912"/>
      <c r="U7" s="1912"/>
      <c r="V7" s="1912"/>
    </row>
    <row r="8" spans="1:22" ht="14.25">
      <c r="A8" s="3416" t="s">
        <v>306</v>
      </c>
      <c r="B8" s="3445">
        <v>15</v>
      </c>
      <c r="C8" s="3443"/>
      <c r="D8" s="3447"/>
      <c r="E8" s="259" t="s">
        <v>307</v>
      </c>
      <c r="F8" s="260"/>
      <c r="G8" s="260"/>
      <c r="H8" s="260"/>
      <c r="I8" s="261"/>
      <c r="J8" s="1913"/>
      <c r="K8" s="1912"/>
      <c r="L8" s="1912"/>
      <c r="M8" s="1912"/>
      <c r="N8" s="1912"/>
      <c r="O8" s="1912"/>
      <c r="P8" s="1912"/>
      <c r="Q8" s="1912"/>
      <c r="R8" s="1912"/>
      <c r="S8" s="1912"/>
      <c r="T8" s="1912"/>
      <c r="U8" s="1912"/>
      <c r="V8" s="1912"/>
    </row>
    <row r="9" spans="1:22" ht="14.25">
      <c r="A9" s="3416"/>
      <c r="B9" s="3445"/>
      <c r="C9" s="3444"/>
      <c r="D9" s="3447"/>
      <c r="E9" s="259" t="s">
        <v>308</v>
      </c>
      <c r="F9" s="260"/>
      <c r="G9" s="260"/>
      <c r="H9" s="260"/>
      <c r="I9" s="261"/>
      <c r="J9" s="1913"/>
      <c r="K9" s="1912"/>
      <c r="L9" s="1912"/>
      <c r="M9" s="1912"/>
      <c r="N9" s="1912"/>
      <c r="O9" s="1912"/>
      <c r="P9" s="1912"/>
      <c r="Q9" s="1912"/>
      <c r="R9" s="1912"/>
      <c r="S9" s="1912"/>
      <c r="T9" s="1912"/>
      <c r="U9" s="1912"/>
      <c r="V9" s="1912"/>
    </row>
    <row r="10" spans="1:22" ht="14.25">
      <c r="A10" s="3416" t="s">
        <v>309</v>
      </c>
      <c r="B10" s="3445">
        <v>15</v>
      </c>
      <c r="C10" s="3443"/>
      <c r="D10" s="3447"/>
      <c r="E10" s="259" t="s">
        <v>310</v>
      </c>
      <c r="F10" s="260"/>
      <c r="G10" s="260"/>
      <c r="H10" s="260"/>
      <c r="I10" s="261"/>
      <c r="J10" s="1913"/>
      <c r="K10" s="1912"/>
      <c r="L10" s="1912"/>
      <c r="M10" s="1912"/>
      <c r="N10" s="1912"/>
      <c r="O10" s="1912"/>
      <c r="P10" s="1912"/>
      <c r="Q10" s="1912"/>
      <c r="R10" s="1912"/>
      <c r="S10" s="1912"/>
      <c r="T10" s="1912"/>
      <c r="U10" s="1912"/>
      <c r="V10" s="1912"/>
    </row>
    <row r="11" spans="1:22" ht="14.25">
      <c r="A11" s="3416"/>
      <c r="B11" s="3445"/>
      <c r="C11" s="3444"/>
      <c r="D11" s="3447"/>
      <c r="E11" s="259" t="s">
        <v>311</v>
      </c>
      <c r="F11" s="260"/>
      <c r="G11" s="260"/>
      <c r="H11" s="260"/>
      <c r="I11" s="261"/>
      <c r="J11" s="1913"/>
      <c r="K11" s="1912"/>
      <c r="L11" s="1912"/>
      <c r="M11" s="1912"/>
      <c r="N11" s="1912"/>
      <c r="O11" s="1912"/>
      <c r="P11" s="1912"/>
      <c r="Q11" s="1912"/>
      <c r="R11" s="1912"/>
      <c r="S11" s="1912"/>
      <c r="T11" s="1912"/>
      <c r="U11" s="1912"/>
      <c r="V11" s="1912"/>
    </row>
    <row r="12" spans="1:22" ht="14.25">
      <c r="A12" s="3416" t="s">
        <v>312</v>
      </c>
      <c r="B12" s="3445">
        <v>15</v>
      </c>
      <c r="C12" s="3443"/>
      <c r="D12" s="3447"/>
      <c r="E12" s="259" t="s">
        <v>313</v>
      </c>
      <c r="F12" s="260"/>
      <c r="G12" s="260"/>
      <c r="H12" s="260"/>
      <c r="I12" s="261"/>
      <c r="J12" s="1913"/>
      <c r="K12" s="1912"/>
      <c r="L12" s="1912"/>
      <c r="M12" s="1912"/>
      <c r="N12" s="1912"/>
      <c r="O12" s="1912"/>
      <c r="P12" s="1912"/>
      <c r="Q12" s="1912"/>
      <c r="R12" s="1912"/>
      <c r="S12" s="1912"/>
      <c r="T12" s="1912"/>
      <c r="U12" s="1912"/>
      <c r="V12" s="1912"/>
    </row>
    <row r="13" spans="1:22" ht="14.25">
      <c r="A13" s="3416"/>
      <c r="B13" s="3445"/>
      <c r="C13" s="3444"/>
      <c r="D13" s="3447"/>
      <c r="E13" s="259" t="s">
        <v>314</v>
      </c>
      <c r="F13" s="260"/>
      <c r="G13" s="260"/>
      <c r="H13" s="260"/>
      <c r="I13" s="261"/>
      <c r="J13" s="1913"/>
      <c r="K13" s="1912"/>
      <c r="L13" s="1912"/>
      <c r="M13" s="1912"/>
      <c r="N13" s="1912"/>
      <c r="O13" s="1912"/>
      <c r="P13" s="1912"/>
      <c r="Q13" s="1912"/>
      <c r="R13" s="1912"/>
      <c r="S13" s="1912"/>
      <c r="T13" s="1912"/>
      <c r="U13" s="1912"/>
      <c r="V13" s="1912"/>
    </row>
    <row r="14" spans="1:22" ht="14.25">
      <c r="A14" s="3416" t="s">
        <v>315</v>
      </c>
      <c r="B14" s="3445">
        <v>30</v>
      </c>
      <c r="C14" s="3443">
        <v>5</v>
      </c>
      <c r="D14" s="3447">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16"/>
      <c r="B15" s="3445"/>
      <c r="C15" s="3446"/>
      <c r="D15" s="3447"/>
      <c r="E15" s="259" t="s">
        <v>317</v>
      </c>
      <c r="F15" s="260"/>
      <c r="G15" s="260"/>
      <c r="H15" s="260"/>
      <c r="I15" s="261"/>
      <c r="J15" s="1913"/>
      <c r="K15" s="1912"/>
      <c r="L15" s="1912"/>
      <c r="M15" s="1912"/>
      <c r="N15" s="1912"/>
      <c r="O15" s="1912"/>
      <c r="P15" s="1912"/>
      <c r="Q15" s="1912"/>
      <c r="R15" s="1912"/>
      <c r="S15" s="1912"/>
      <c r="T15" s="1912"/>
      <c r="U15" s="1912"/>
      <c r="V15" s="1912"/>
    </row>
    <row r="16" spans="1:22" ht="14.25">
      <c r="A16" s="3416"/>
      <c r="B16" s="3445"/>
      <c r="C16" s="3444"/>
      <c r="D16" s="3447"/>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48" t="s">
        <v>2965</v>
      </c>
      <c r="F18" s="3449"/>
      <c r="G18" s="3449"/>
      <c r="H18" s="3449"/>
      <c r="I18" s="3449"/>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948</v>
      </c>
      <c r="D19" s="269">
        <f ca="1">SUMIF(INDIRECT("'"&amp;D4&amp;"'"&amp;"!A:A"),结果表!B19,INDIRECT("'"&amp;D4&amp;"'"&amp;"!B:B"))</f>
        <v>996</v>
      </c>
      <c r="E19" s="266" t="s">
        <v>323</v>
      </c>
      <c r="F19" s="267" t="s">
        <v>322</v>
      </c>
      <c r="G19" s="270">
        <f ca="1">ROUND(C19*$C$18+D19*$D$18,0)</f>
        <v>972</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1896</v>
      </c>
      <c r="D20" s="275">
        <f ca="1">SUMIF(INDIRECT("'"&amp;D4&amp;"'"&amp;"!A:A"),结果表!B20,INDIRECT("'"&amp;D4&amp;"'"&amp;"!B:B"))</f>
        <v>1992</v>
      </c>
      <c r="E20" s="272"/>
      <c r="F20" s="273" t="s">
        <v>325</v>
      </c>
      <c r="G20" s="276">
        <f ca="1">ROUND(C20*$C$18+D20*$D$18,0)</f>
        <v>1944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1501</v>
      </c>
      <c r="D21" s="149">
        <f ca="1">SUMIF(INDIRECT("'"&amp;D4&amp;"'"&amp;"!A:A"),结果表!B21,INDIRECT("'"&amp;D4&amp;"'"&amp;"!B:B"))</f>
        <v>1577</v>
      </c>
      <c r="E21" s="272"/>
      <c r="F21" s="278" t="s">
        <v>327</v>
      </c>
      <c r="G21" s="280">
        <f ca="1">ROUND(C21*$C$18+D21*$D$18,0)</f>
        <v>1539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5.0632911392405111E-2</v>
      </c>
      <c r="E22" s="282"/>
      <c r="F22" s="283"/>
      <c r="G22" s="284">
        <f ca="1">ROUND(G19/('数据-汇总表'!D3/666.67),0)</f>
        <v>103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22"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23"/>
      <c r="B25" s="1275" t="s">
        <v>331</v>
      </c>
      <c r="C25" s="288">
        <f>IF(B30=0,0,C30)</f>
        <v>0</v>
      </c>
      <c r="D25" s="289"/>
      <c r="E25" s="309"/>
      <c r="F25" s="309"/>
      <c r="G25" s="309"/>
      <c r="H25" s="309"/>
      <c r="I25" s="309"/>
      <c r="J25" s="1912"/>
      <c r="K25" s="1209" t="str">
        <f ca="1">项目基本情况!B16&amp;"国有建设用地使用权价格："&amp;O38&amp;"万元"</f>
        <v>出让国有建设用地使用权价格：972万元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大写金额：人民币玖佰柒拾贰万元整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单位面积地价：1539元/平方米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楼面地价：1944元/平方米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抵押价格：972万元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大写金额：人民币玖佰柒拾贰万元整</v>
      </c>
      <c r="L30" s="1206"/>
      <c r="M30" s="1206"/>
      <c r="N30" s="1206"/>
      <c r="O30" s="1205"/>
      <c r="P30" s="1912"/>
      <c r="V30" s="1912"/>
    </row>
    <row r="31" spans="1:26" ht="24" customHeight="1" thickBot="1">
      <c r="A31" s="3450" t="s">
        <v>2967</v>
      </c>
      <c r="B31" s="3450"/>
      <c r="C31" s="3450"/>
      <c r="D31" s="3450"/>
      <c r="E31" s="3450"/>
      <c r="F31" s="3450"/>
      <c r="G31" s="3450"/>
      <c r="H31" s="3450"/>
      <c r="I31" s="3450"/>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972</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1944</v>
      </c>
      <c r="D33" s="1334" t="s">
        <v>1682</v>
      </c>
      <c r="E33" s="3422"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1539</v>
      </c>
      <c r="D34" s="1336" t="s">
        <v>1682</v>
      </c>
      <c r="E34" s="3466"/>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103</v>
      </c>
      <c r="D35" s="1339" t="s">
        <v>1684</v>
      </c>
      <c r="E35" s="3467"/>
      <c r="F35" s="299" t="s">
        <v>342</v>
      </c>
      <c r="G35" s="970"/>
      <c r="H35" s="969" t="s">
        <v>343</v>
      </c>
      <c r="I35" s="309"/>
      <c r="J35" s="1912"/>
      <c r="K35" s="3440" t="s">
        <v>350</v>
      </c>
      <c r="L35" s="3440" t="s">
        <v>351</v>
      </c>
      <c r="M35" s="1218" t="s">
        <v>352</v>
      </c>
      <c r="N35" s="3440" t="s">
        <v>353</v>
      </c>
      <c r="O35" s="3440" t="s">
        <v>354</v>
      </c>
      <c r="P35" s="1912"/>
      <c r="V35" s="1912"/>
    </row>
    <row r="36" spans="1:26" ht="16.5" customHeight="1">
      <c r="A36" s="301" t="s">
        <v>344</v>
      </c>
      <c r="B36" s="302" t="s">
        <v>333</v>
      </c>
      <c r="C36" s="303" t="s">
        <v>345</v>
      </c>
      <c r="D36" s="303" t="s">
        <v>346</v>
      </c>
      <c r="E36" s="304" t="s">
        <v>347</v>
      </c>
      <c r="F36" s="309"/>
      <c r="G36" s="309"/>
      <c r="H36" s="309"/>
      <c r="I36" s="309"/>
      <c r="J36" s="1914"/>
      <c r="K36" s="3441"/>
      <c r="L36" s="3441"/>
      <c r="M36" s="1220" t="s">
        <v>355</v>
      </c>
      <c r="N36" s="3441"/>
      <c r="O36" s="3441"/>
      <c r="P36" s="1912"/>
      <c r="V36" s="1912"/>
    </row>
    <row r="37" spans="1:26" ht="16.5" customHeight="1" thickBot="1">
      <c r="A37" s="1214" t="s">
        <v>348</v>
      </c>
      <c r="B37" s="305"/>
      <c r="C37" s="292"/>
      <c r="D37" s="292"/>
      <c r="E37" s="293"/>
      <c r="F37" s="309"/>
      <c r="G37" s="309"/>
      <c r="H37" s="309"/>
      <c r="I37" s="309"/>
      <c r="J37" s="1914"/>
      <c r="K37" s="3442"/>
      <c r="L37" s="3442"/>
      <c r="M37" s="1221"/>
      <c r="N37" s="3442"/>
      <c r="O37" s="3442"/>
      <c r="P37" s="1912"/>
      <c r="V37" s="1912"/>
    </row>
    <row r="38" spans="1:26" ht="16.5" customHeight="1" thickBot="1">
      <c r="A38" s="1214" t="s">
        <v>349</v>
      </c>
      <c r="B38" s="305"/>
      <c r="C38" s="292"/>
      <c r="D38" s="292"/>
      <c r="E38" s="293"/>
      <c r="F38" s="309"/>
      <c r="G38" s="309"/>
      <c r="H38" s="309"/>
      <c r="I38" s="309"/>
      <c r="J38" s="1914"/>
      <c r="K38" s="1222">
        <f>'数据-汇总表'!D3</f>
        <v>6316</v>
      </c>
      <c r="L38" s="1223">
        <f>'数据-汇总表'!E3</f>
        <v>5000</v>
      </c>
      <c r="M38" s="1223">
        <f ca="1">C34</f>
        <v>1539</v>
      </c>
      <c r="N38" s="1223">
        <f ca="1">C33</f>
        <v>1944</v>
      </c>
      <c r="O38" s="1224">
        <f ca="1">C32</f>
        <v>972</v>
      </c>
      <c r="P38" s="1912"/>
      <c r="V38" s="1912"/>
    </row>
    <row r="39" spans="1:26" ht="16.5" customHeight="1" thickBot="1">
      <c r="A39" s="1219"/>
      <c r="B39" s="306"/>
      <c r="C39" s="307"/>
      <c r="D39" s="307"/>
      <c r="E39" s="308"/>
      <c r="F39" s="309"/>
      <c r="G39" s="309"/>
      <c r="H39" s="309"/>
      <c r="I39" s="309"/>
      <c r="J39" s="1914"/>
      <c r="K39" s="3480" t="str">
        <f>MID(A44,3,LEN(A44)-2)</f>
        <v>抵押价格</v>
      </c>
      <c r="L39" s="3481"/>
      <c r="M39" s="3481"/>
      <c r="N39" s="3482"/>
      <c r="O39" s="1341">
        <f ca="1">C44</f>
        <v>972</v>
      </c>
      <c r="P39" s="1912"/>
      <c r="V39" s="1912"/>
    </row>
    <row r="40" spans="1:26" ht="19.5" thickBot="1">
      <c r="A40" s="104" t="s">
        <v>864</v>
      </c>
      <c r="B40" s="309"/>
      <c r="C40" s="309"/>
      <c r="D40" s="309"/>
      <c r="E40" s="309"/>
      <c r="F40" s="309"/>
      <c r="G40" s="309"/>
      <c r="H40" s="309"/>
      <c r="I40" s="309"/>
      <c r="J40" s="1914"/>
      <c r="K40" s="3480" t="str">
        <f t="shared" ref="K40:K41" si="0">MID(A45,3,LEN(A45)-2)</f>
        <v/>
      </c>
      <c r="L40" s="3481"/>
      <c r="M40" s="3481"/>
      <c r="N40" s="3482"/>
      <c r="O40" s="1341" t="str">
        <f>C45</f>
        <v>——</v>
      </c>
      <c r="P40" s="1912"/>
      <c r="V40" s="1912"/>
    </row>
    <row r="41" spans="1:26" ht="16.5" thickBot="1">
      <c r="A41" s="310" t="s">
        <v>356</v>
      </c>
      <c r="B41" s="311"/>
      <c r="C41" s="312" t="s">
        <v>357</v>
      </c>
      <c r="D41" s="313" t="s">
        <v>358</v>
      </c>
      <c r="E41" s="313" t="s">
        <v>359</v>
      </c>
      <c r="F41" s="314" t="s">
        <v>360</v>
      </c>
      <c r="G41" s="309"/>
      <c r="H41" s="309"/>
      <c r="I41" s="309"/>
      <c r="J41" s="1914"/>
      <c r="K41" s="3480" t="str">
        <f t="shared" si="0"/>
        <v/>
      </c>
      <c r="L41" s="3481"/>
      <c r="M41" s="3481"/>
      <c r="N41" s="3482"/>
      <c r="O41" s="1341" t="str">
        <f>C46</f>
        <v>——</v>
      </c>
      <c r="P41" s="1912"/>
      <c r="V41" s="1912"/>
    </row>
    <row r="42" spans="1:26" ht="29.25">
      <c r="A42" s="3424" t="s">
        <v>2055</v>
      </c>
      <c r="B42" s="3425"/>
      <c r="C42" s="262">
        <f ca="1">C32</f>
        <v>972</v>
      </c>
      <c r="D42" s="315">
        <f ca="1">C33</f>
        <v>1944</v>
      </c>
      <c r="E42" s="315">
        <f ca="1">C34</f>
        <v>1539</v>
      </c>
      <c r="F42" s="316">
        <f ca="1">C35</f>
        <v>103</v>
      </c>
      <c r="G42" s="309"/>
      <c r="H42" s="309"/>
      <c r="I42" s="317"/>
      <c r="J42" s="1914"/>
      <c r="K42" s="1225" t="s">
        <v>361</v>
      </c>
      <c r="L42" s="1931" t="s">
        <v>362</v>
      </c>
      <c r="M42" s="1226" t="s">
        <v>363</v>
      </c>
      <c r="N42" s="1932" t="s">
        <v>364</v>
      </c>
      <c r="O42" s="1933" t="s">
        <v>365</v>
      </c>
      <c r="P42" s="1912"/>
      <c r="V42" s="1912"/>
    </row>
    <row r="43" spans="1:26" ht="18">
      <c r="A43" s="3435" t="s">
        <v>2710</v>
      </c>
      <c r="B43" s="3436"/>
      <c r="C43" s="262">
        <f>IF(H33="正常操作",G33+G34+G35,G34+G35)</f>
        <v>0</v>
      </c>
      <c r="D43" s="315" t="s">
        <v>43</v>
      </c>
      <c r="E43" s="315" t="s">
        <v>44</v>
      </c>
      <c r="F43" s="316" t="s">
        <v>44</v>
      </c>
      <c r="G43" s="2584" t="s">
        <v>943</v>
      </c>
      <c r="H43" s="309"/>
      <c r="I43" s="317"/>
      <c r="J43" s="1914"/>
      <c r="K43" s="1227" t="str">
        <f>C4</f>
        <v>基准地价</v>
      </c>
      <c r="L43" s="1228">
        <f ca="1">IF(L42="估价结果/万元",C19,C20)</f>
        <v>948</v>
      </c>
      <c r="M43" s="1229">
        <f>C18</f>
        <v>0.5</v>
      </c>
      <c r="N43" s="1230">
        <f ca="1">IF(N42="测算结果/万元",G19,G20)</f>
        <v>972</v>
      </c>
      <c r="O43" s="1231">
        <f ca="1">IF(O42="最终结果/万元",C32,C33)</f>
        <v>972</v>
      </c>
      <c r="P43" s="1912"/>
      <c r="V43" s="1912"/>
    </row>
    <row r="44" spans="1:26" ht="30.75" thickBot="1">
      <c r="A44" s="3424" t="str">
        <f>IF(OR(项目基本情况!E8="抵押价格",项目基本情况!E8="已注销及未注销"),"3.抵押价格","——")</f>
        <v>3.抵押价格</v>
      </c>
      <c r="B44" s="3425"/>
      <c r="C44" s="262">
        <f ca="1">IF(A44="——","——",C42-C43)</f>
        <v>972</v>
      </c>
      <c r="D44" s="315">
        <f ca="1">ROUND(C44*10000/'数据-汇总表'!E3,0)</f>
        <v>1944</v>
      </c>
      <c r="E44" s="315">
        <f ca="1">ROUND(C44*10000/'数据-汇总表'!D3,0)</f>
        <v>1539</v>
      </c>
      <c r="F44" s="316">
        <f ca="1">ROUND(C44/('数据-汇总表'!D3/666.67),0)</f>
        <v>103</v>
      </c>
      <c r="G44" s="309"/>
      <c r="H44" s="309"/>
      <c r="I44" s="317"/>
      <c r="J44" s="1914"/>
      <c r="K44" s="1232" t="str">
        <f>D4</f>
        <v>剩余法-待开发</v>
      </c>
      <c r="L44" s="1233">
        <f ca="1">IF(L42="估价结果/万元",D19,D20)</f>
        <v>996</v>
      </c>
      <c r="M44" s="1234">
        <f>D18</f>
        <v>0.5</v>
      </c>
      <c r="N44" s="1235"/>
      <c r="O44" s="1236"/>
      <c r="P44" s="1912"/>
      <c r="V44" s="1912"/>
    </row>
    <row r="45" spans="1:26" ht="15">
      <c r="A45" s="3430" t="str">
        <f>IF(项目基本情况!E8="已注销及未注销","4.抵押担保权已注销时的抵押价格",IF(项目基本情况!E8="已注销","3.抵押担保权已注销时的抵押价格","——"))</f>
        <v>——</v>
      </c>
      <c r="B45" s="343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26" t="str">
        <f>IF(项目基本情况!E9="抵押净值",IF(A45="——","4.抵押净值","5.抵押净值"),"——")</f>
        <v>——</v>
      </c>
      <c r="B46" s="342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74" t="s">
        <v>374</v>
      </c>
      <c r="B63" s="3475"/>
      <c r="C63" s="3476"/>
      <c r="D63" s="339">
        <f ca="1">ROUND(C42*F63,0)</f>
        <v>972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32" t="s">
        <v>378</v>
      </c>
      <c r="B64" s="3433"/>
      <c r="C64" s="3433"/>
      <c r="D64" s="3433"/>
      <c r="E64" s="3433"/>
      <c r="F64" s="3433"/>
      <c r="G64" s="343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28" t="s">
        <v>386</v>
      </c>
      <c r="B66" s="3429"/>
      <c r="C66" s="342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89" t="s">
        <v>385</v>
      </c>
      <c r="M66" s="3490"/>
      <c r="N66" s="2313"/>
      <c r="O66" s="2314"/>
      <c r="P66" s="2315"/>
      <c r="Q66" s="1912"/>
      <c r="R66" s="1912"/>
      <c r="S66" s="1912"/>
      <c r="T66" s="1912"/>
      <c r="U66" s="1912"/>
      <c r="V66" s="1912"/>
    </row>
    <row r="67" spans="1:22" ht="25.5" customHeight="1">
      <c r="A67" s="350" t="s">
        <v>389</v>
      </c>
      <c r="B67" s="3419" t="s">
        <v>390</v>
      </c>
      <c r="C67" s="3419"/>
      <c r="D67" s="351">
        <v>0</v>
      </c>
      <c r="E67" s="41" t="s">
        <v>391</v>
      </c>
      <c r="F67" s="62" t="s">
        <v>21</v>
      </c>
      <c r="G67" s="3477"/>
      <c r="H67" s="3007" t="s">
        <v>2968</v>
      </c>
      <c r="I67" s="3009"/>
      <c r="J67" s="1919"/>
      <c r="K67" s="1891">
        <v>2</v>
      </c>
      <c r="L67" s="3483" t="s">
        <v>388</v>
      </c>
      <c r="M67" s="3483"/>
      <c r="N67" s="1279">
        <f>'数据-取费表'!B2</f>
        <v>44098</v>
      </c>
      <c r="O67" s="1279"/>
      <c r="P67" s="1279"/>
      <c r="Q67" s="1912"/>
      <c r="R67" s="1912"/>
      <c r="S67" s="1912"/>
      <c r="T67" s="1912"/>
      <c r="U67" s="1912"/>
      <c r="V67" s="1912"/>
    </row>
    <row r="68" spans="1:22" ht="25.5" customHeight="1">
      <c r="A68" s="352"/>
      <c r="B68" s="3419" t="s">
        <v>393</v>
      </c>
      <c r="C68" s="3419"/>
      <c r="D68" s="353"/>
      <c r="E68" s="77"/>
      <c r="F68" s="354"/>
      <c r="G68" s="3478"/>
      <c r="H68" s="3008" t="s">
        <v>2969</v>
      </c>
      <c r="I68" s="3009"/>
      <c r="J68" s="1919"/>
      <c r="K68" s="1891">
        <v>3</v>
      </c>
      <c r="L68" s="3483" t="s">
        <v>392</v>
      </c>
      <c r="M68" s="3483"/>
      <c r="N68" s="1247">
        <f ca="1">C42</f>
        <v>972</v>
      </c>
      <c r="O68" s="1247"/>
      <c r="P68" s="1247"/>
      <c r="Q68" s="1912"/>
      <c r="R68" s="1912"/>
      <c r="S68" s="1912"/>
      <c r="T68" s="1912"/>
      <c r="U68" s="1912"/>
      <c r="V68" s="1912"/>
    </row>
    <row r="69" spans="1:22" ht="23.45" customHeight="1">
      <c r="A69" s="355"/>
      <c r="B69" s="3419" t="s">
        <v>394</v>
      </c>
      <c r="C69" s="3419"/>
      <c r="D69" s="356"/>
      <c r="E69" s="73"/>
      <c r="F69" s="354"/>
      <c r="G69" s="3479"/>
      <c r="H69" s="3008" t="s">
        <v>2970</v>
      </c>
      <c r="I69" s="3009"/>
      <c r="J69" s="1919"/>
      <c r="K69" s="1248">
        <v>4</v>
      </c>
      <c r="L69" s="3493" t="s">
        <v>2862</v>
      </c>
      <c r="M69" s="3494"/>
      <c r="N69" s="1249">
        <f ca="1">C44</f>
        <v>972</v>
      </c>
      <c r="O69" s="1249"/>
      <c r="P69" s="1249"/>
      <c r="Q69" s="1912"/>
      <c r="R69" s="1912"/>
      <c r="S69" s="1912"/>
      <c r="T69" s="1912"/>
      <c r="U69" s="1912"/>
      <c r="V69" s="1912"/>
    </row>
    <row r="70" spans="1:22" ht="24" customHeight="1">
      <c r="A70" s="357" t="s">
        <v>395</v>
      </c>
      <c r="B70" s="3419" t="s">
        <v>396</v>
      </c>
      <c r="C70" s="3419"/>
      <c r="D70" s="356">
        <f ca="1">ROUND(D63*'数据-取费表'!B41/(1+'数据-取费表'!C42),0)</f>
        <v>51</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20" t="s">
        <v>3000</v>
      </c>
      <c r="C71" s="3421"/>
      <c r="D71" s="356">
        <f ca="1">ROUND(D63*'数据-取费表'!B41/(1+'数据-取费表'!C42),0)</f>
        <v>51</v>
      </c>
      <c r="E71" s="17" t="s">
        <v>397</v>
      </c>
      <c r="F71" s="358">
        <f>'数据-取费表'!B41</f>
        <v>5.5000000000000007E-2</v>
      </c>
      <c r="G71" s="359"/>
      <c r="H71" s="309"/>
      <c r="I71" s="1246"/>
      <c r="J71" s="1919"/>
      <c r="K71" s="2765" t="s">
        <v>398</v>
      </c>
      <c r="L71" s="3495" t="s">
        <v>399</v>
      </c>
      <c r="M71" s="3495"/>
      <c r="N71" s="2765" t="s">
        <v>400</v>
      </c>
      <c r="O71" s="2765" t="s">
        <v>401</v>
      </c>
      <c r="P71" s="2765" t="s">
        <v>402</v>
      </c>
      <c r="Q71" s="1912"/>
      <c r="R71" s="1912"/>
      <c r="S71" s="1912"/>
      <c r="T71" s="1912"/>
      <c r="U71" s="1912"/>
      <c r="V71" s="1912"/>
    </row>
    <row r="72" spans="1:22" ht="12" customHeight="1">
      <c r="A72" s="357" t="s">
        <v>405</v>
      </c>
      <c r="B72" s="3420" t="s">
        <v>3001</v>
      </c>
      <c r="C72" s="3421"/>
      <c r="D72" s="356">
        <f ca="1">C86</f>
        <v>51</v>
      </c>
      <c r="E72" s="73" t="s">
        <v>406</v>
      </c>
      <c r="F72" s="358">
        <f>'数据-取费表'!B41</f>
        <v>5.5000000000000007E-2</v>
      </c>
      <c r="G72" s="359"/>
      <c r="H72" s="1252"/>
      <c r="I72" s="1246"/>
      <c r="J72" s="1919"/>
      <c r="K72" s="1891">
        <v>1</v>
      </c>
      <c r="L72" s="3470" t="s">
        <v>404</v>
      </c>
      <c r="M72" s="3470"/>
      <c r="N72" s="1250" t="b">
        <f>D66</f>
        <v>0</v>
      </c>
      <c r="O72" s="1774" t="str">
        <f>E66</f>
        <v>销售额×税（费）率</v>
      </c>
      <c r="P72" s="1251">
        <f>F66</f>
        <v>5.5000000000000007E-2</v>
      </c>
      <c r="Q72" s="1912"/>
      <c r="R72" s="1912"/>
      <c r="S72" s="1912"/>
      <c r="T72" s="1912"/>
      <c r="U72" s="1912"/>
      <c r="V72" s="1912"/>
    </row>
    <row r="73" spans="1:22" ht="24" customHeight="1">
      <c r="A73" s="3465" t="s">
        <v>408</v>
      </c>
      <c r="B73" s="3429"/>
      <c r="C73" s="3429"/>
      <c r="D73" s="360">
        <f ca="1">IF(H73="个人住宅",0,ROUND(D63*I73,0))</f>
        <v>0</v>
      </c>
      <c r="E73" s="17" t="s">
        <v>409</v>
      </c>
      <c r="F73" s="358" t="str">
        <f>IF(H73="正常",I73,"免征")</f>
        <v>免征</v>
      </c>
      <c r="G73" s="359"/>
      <c r="H73" s="189"/>
      <c r="I73" s="358">
        <f>'数据-取费表'!B49</f>
        <v>5.0000000000000001E-4</v>
      </c>
      <c r="J73" s="1919"/>
      <c r="K73" s="1891">
        <v>2</v>
      </c>
      <c r="L73" s="3470" t="s">
        <v>407</v>
      </c>
      <c r="M73" s="3470"/>
      <c r="N73" s="1250">
        <f t="shared" ref="N73:P74" ca="1" si="1">D73</f>
        <v>0</v>
      </c>
      <c r="O73" s="1774" t="str">
        <f t="shared" si="1"/>
        <v>销售额×税（费）率</v>
      </c>
      <c r="P73" s="1251" t="str">
        <f t="shared" si="1"/>
        <v>免征</v>
      </c>
      <c r="Q73" s="1912"/>
      <c r="R73" s="1912"/>
      <c r="S73" s="1912"/>
      <c r="T73" s="1912"/>
      <c r="U73" s="1912"/>
      <c r="V73" s="1912"/>
    </row>
    <row r="74" spans="1:22" ht="24.75">
      <c r="A74" s="3465" t="s">
        <v>411</v>
      </c>
      <c r="B74" s="3429"/>
      <c r="C74" s="3429"/>
      <c r="D74" s="360">
        <f ca="1">IF(H74="个人住宅",D75,D76)</f>
        <v>551</v>
      </c>
      <c r="E74" s="17" t="s">
        <v>412</v>
      </c>
      <c r="F74" s="358" t="str">
        <f>IF(H74="正常",F76,"免征")</f>
        <v>免征</v>
      </c>
      <c r="G74" s="971" t="s">
        <v>413</v>
      </c>
      <c r="H74" s="361"/>
      <c r="I74" s="42"/>
      <c r="J74" s="1919"/>
      <c r="K74" s="1891">
        <v>3</v>
      </c>
      <c r="L74" s="3470" t="s">
        <v>410</v>
      </c>
      <c r="M74" s="3470"/>
      <c r="N74" s="1250">
        <f t="shared" ca="1" si="1"/>
        <v>551</v>
      </c>
      <c r="O74" s="1774" t="str">
        <f t="shared" si="1"/>
        <v>增值额×税（费）率</v>
      </c>
      <c r="P74" s="1253" t="str">
        <f t="shared" si="1"/>
        <v>免征</v>
      </c>
      <c r="Q74" s="1912"/>
      <c r="R74" s="1912"/>
      <c r="S74" s="1912"/>
      <c r="T74" s="1912"/>
      <c r="U74" s="1912"/>
      <c r="V74" s="1912"/>
    </row>
    <row r="75" spans="1:22" ht="12.75">
      <c r="A75" s="357" t="s">
        <v>414</v>
      </c>
      <c r="B75" s="3417" t="s">
        <v>415</v>
      </c>
      <c r="C75" s="3453"/>
      <c r="D75" s="362">
        <v>0</v>
      </c>
      <c r="E75" s="41" t="s">
        <v>416</v>
      </c>
      <c r="F75" s="363"/>
      <c r="G75" s="359"/>
      <c r="H75" s="42"/>
      <c r="I75" s="42"/>
      <c r="J75" s="1919"/>
      <c r="K75" s="2759">
        <f>IF(H77="非个人房产","",4)</f>
        <v>4</v>
      </c>
      <c r="L75" s="3470" t="str">
        <f>IF(H77="非个人房产","——","个人所得税")</f>
        <v>个人所得税</v>
      </c>
      <c r="M75" s="3470"/>
      <c r="N75" s="1254">
        <f>D77</f>
        <v>0</v>
      </c>
      <c r="O75" s="1787" t="str">
        <f>E77</f>
        <v>差额计税</v>
      </c>
      <c r="P75" s="1255">
        <f>F77</f>
        <v>0.01</v>
      </c>
      <c r="Q75" s="1912"/>
      <c r="R75" s="1912"/>
      <c r="S75" s="1912"/>
      <c r="T75" s="1912"/>
      <c r="U75" s="1912"/>
      <c r="V75" s="1912"/>
    </row>
    <row r="76" spans="1:22" ht="24.75">
      <c r="A76" s="357" t="s">
        <v>395</v>
      </c>
      <c r="B76" s="3417" t="s">
        <v>418</v>
      </c>
      <c r="C76" s="3418"/>
      <c r="D76" s="360">
        <f ca="1">IF(H76="转让取得",C99,C115)</f>
        <v>551</v>
      </c>
      <c r="E76" s="17" t="s">
        <v>419</v>
      </c>
      <c r="F76" s="53" t="s">
        <v>21</v>
      </c>
      <c r="G76" s="359"/>
      <c r="H76" s="361"/>
      <c r="I76" s="42"/>
      <c r="J76" s="1919"/>
      <c r="K76" s="2759" t="str">
        <f>IF(项目基本情况!K6="上海银行",IF(K75="",4,K75+1),"")</f>
        <v/>
      </c>
      <c r="L76" s="3485" t="str">
        <f>IF(项目基本情况!K6="上海银行","其他处置费用","")</f>
        <v/>
      </c>
      <c r="M76" s="3486"/>
      <c r="N76" s="1250" t="str">
        <f>IF(项目基本情况!K6="上海银行",N89,"")</f>
        <v/>
      </c>
      <c r="O76" s="3487" t="str">
        <f>IF(项目基本情况!K6="上海银行","包含处置中涉及的律师、诉讼、拍卖、评估等费用","")</f>
        <v/>
      </c>
      <c r="P76" s="3488"/>
      <c r="Q76" s="1912"/>
      <c r="R76" s="1912"/>
      <c r="S76" s="1912"/>
      <c r="T76" s="1912"/>
      <c r="U76" s="1912"/>
      <c r="V76" s="1912"/>
    </row>
    <row r="77" spans="1:22" ht="24.75" thickBot="1">
      <c r="A77" s="3472" t="s">
        <v>421</v>
      </c>
      <c r="B77" s="3473"/>
      <c r="C77" s="3473"/>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71">
        <f>IF(AND(K75="",K76=""),4,IF(项目基本情况!K6="上海银行",K76+1,K75+1))</f>
        <v>5</v>
      </c>
      <c r="L77" s="3470" t="s">
        <v>2863</v>
      </c>
      <c r="M77" s="2764" t="s">
        <v>417</v>
      </c>
      <c r="N77" s="1256"/>
      <c r="O77" s="1257">
        <f ca="1">SUMIF(N72:N76,"&lt;9e307")</f>
        <v>551</v>
      </c>
      <c r="P77" s="1258"/>
      <c r="Q77" s="2762">
        <f ca="1">O77/N69</f>
        <v>0.5668724279835391</v>
      </c>
      <c r="R77" s="1912"/>
      <c r="S77" s="1912"/>
      <c r="T77" s="1912"/>
      <c r="U77" s="1912"/>
      <c r="V77" s="1912"/>
    </row>
    <row r="78" spans="1:22" ht="12" customHeight="1">
      <c r="A78" s="1259"/>
      <c r="B78" s="309"/>
      <c r="C78" s="309"/>
      <c r="D78" s="309"/>
      <c r="E78" s="42"/>
      <c r="F78" s="42"/>
      <c r="G78" s="42"/>
      <c r="H78" s="991"/>
      <c r="I78" s="309"/>
      <c r="J78" s="1919"/>
      <c r="K78" s="3471"/>
      <c r="L78" s="3470"/>
      <c r="M78" s="2764" t="s">
        <v>420</v>
      </c>
      <c r="N78" s="1256"/>
      <c r="O78" s="1257" t="str">
        <f ca="1">NUMBERSTRING(INT(O77*10000),2)&amp;"元整"</f>
        <v>伍佰伍拾壹万元整</v>
      </c>
      <c r="P78" s="1258"/>
      <c r="Q78" s="1912"/>
      <c r="R78" s="1912"/>
      <c r="S78" s="1912"/>
      <c r="T78" s="1912"/>
      <c r="U78" s="1912"/>
      <c r="V78" s="1912"/>
    </row>
    <row r="79" spans="1:22" ht="13.5" thickBot="1">
      <c r="A79" s="3437" t="s">
        <v>422</v>
      </c>
      <c r="B79" s="3437"/>
      <c r="C79" s="3437"/>
      <c r="D79" s="3437"/>
      <c r="E79" s="3437"/>
      <c r="F79" s="42"/>
      <c r="G79" s="42"/>
      <c r="H79" s="991"/>
      <c r="I79" s="309"/>
      <c r="J79" s="1919"/>
      <c r="K79" s="3491">
        <f>K77+1</f>
        <v>6</v>
      </c>
      <c r="L79" s="3470" t="s">
        <v>2864</v>
      </c>
      <c r="M79" s="2764" t="s">
        <v>417</v>
      </c>
      <c r="N79" s="1256"/>
      <c r="O79" s="1257">
        <f ca="1">N69-O77</f>
        <v>421</v>
      </c>
      <c r="P79" s="1258"/>
      <c r="Q79" s="1912"/>
      <c r="R79" s="1912"/>
      <c r="S79" s="1912"/>
      <c r="T79" s="1912"/>
      <c r="U79" s="1912"/>
      <c r="V79" s="1912"/>
    </row>
    <row r="80" spans="1:22" ht="25.5">
      <c r="A80" s="3438" t="s">
        <v>423</v>
      </c>
      <c r="B80" s="3439"/>
      <c r="C80" s="982"/>
      <c r="D80" s="982" t="s">
        <v>424</v>
      </c>
      <c r="E80" s="364" t="s">
        <v>425</v>
      </c>
      <c r="F80" s="42"/>
      <c r="G80" s="42"/>
      <c r="H80" s="991"/>
      <c r="I80" s="309"/>
      <c r="J80" s="1912"/>
      <c r="K80" s="3492"/>
      <c r="L80" s="3470"/>
      <c r="M80" s="2764" t="s">
        <v>420</v>
      </c>
      <c r="N80" s="1256"/>
      <c r="O80" s="1257" t="str">
        <f ca="1">NUMBERSTRING(INT(O79*10000),2)&amp;"元整"</f>
        <v>肆佰贰拾壹万元整</v>
      </c>
      <c r="P80" s="1258"/>
      <c r="Q80" s="1912"/>
      <c r="R80" s="1912"/>
      <c r="S80" s="1912"/>
      <c r="T80" s="1912"/>
      <c r="U80" s="1912"/>
      <c r="V80" s="1912"/>
    </row>
    <row r="81" spans="1:26" ht="13.5" thickBot="1">
      <c r="A81" s="375" t="s">
        <v>1814</v>
      </c>
      <c r="B81" s="365" t="s">
        <v>426</v>
      </c>
      <c r="C81" s="366">
        <f ca="1">ROUND((C82+C83)/(1+'数据-取费表'!C42),0)</f>
        <v>926</v>
      </c>
      <c r="D81" s="367"/>
      <c r="E81" s="368"/>
      <c r="F81" s="42"/>
      <c r="G81" s="42"/>
      <c r="H81" s="991"/>
      <c r="I81" s="309"/>
      <c r="J81" s="1912"/>
      <c r="K81" s="2759">
        <f>K79+1</f>
        <v>7</v>
      </c>
      <c r="L81" s="3468" t="s">
        <v>2865</v>
      </c>
      <c r="M81" s="3469"/>
      <c r="N81" s="1260"/>
      <c r="O81" s="1261">
        <f ca="1">ROUND(O79*10000/'数据-汇总表'!E3,0)</f>
        <v>842</v>
      </c>
      <c r="P81" s="1262"/>
      <c r="Q81" s="1912"/>
      <c r="R81" s="1912"/>
      <c r="S81" s="1912"/>
      <c r="T81" s="1912"/>
      <c r="U81" s="1912"/>
      <c r="V81" s="1912"/>
    </row>
    <row r="82" spans="1:26" ht="13.5" thickTop="1">
      <c r="A82" s="369" t="s">
        <v>1815</v>
      </c>
      <c r="B82" s="370" t="s">
        <v>427</v>
      </c>
      <c r="C82" s="371">
        <f ca="1">D63</f>
        <v>972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84" t="s">
        <v>2853</v>
      </c>
      <c r="L83" s="2770" t="s">
        <v>2854</v>
      </c>
      <c r="M83" s="2760">
        <f ca="1">IF(N69&gt;10000,N69*0.5%,IF(AND(N69&gt;1000,N69&lt;=10000),N69*1%,IF(AND(N69&gt;100,N69&lt;=1000),N69*3%,IF(AND(N69&gt;10,N69&lt;=100),N69*5%,N69*8%))))</f>
        <v>29.16</v>
      </c>
      <c r="N83" s="53">
        <f ca="1">ROUND(M83,1)</f>
        <v>29.2</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84"/>
      <c r="L84" s="2770" t="s">
        <v>2855</v>
      </c>
      <c r="M84" s="2760">
        <f ca="1">IF(N69&gt;2000,N69*0.5%,IF(AND(N69&gt;1000,N69&lt;=2000),N69*0.6%,IF(AND(N69&gt;500,N69&lt;=1000),N69*0.7%,IF(AND(N69&gt;200,N69&lt;=500),N69*0.8%,IF(AND(N69&gt;100,N69&lt;=200),N69*0.9%,IF(AND(N69&gt;50,N69&lt;=100),N69*1%,IF(AND(N69&gt;20,N69&lt;=50),N69*1.5%,IF(AND(N69&gt;10,N69&lt;=20),N69*2%,IF(AND(N69&gt;1,N69&lt;=10),N69*2.5%)))))))))</f>
        <v>6.8039999999999994</v>
      </c>
      <c r="N84" s="53">
        <f t="shared" ref="N84:N85" ca="1" si="2">ROUND(M84,1)</f>
        <v>6.8</v>
      </c>
      <c r="O84" s="1912" t="s">
        <v>2856</v>
      </c>
      <c r="P84" s="1912"/>
      <c r="Q84" s="1912"/>
      <c r="R84" s="1912"/>
      <c r="S84" s="1912"/>
      <c r="T84" s="1912"/>
      <c r="U84" s="1912"/>
      <c r="V84" s="1912"/>
    </row>
    <row r="85" spans="1:26" ht="12.75">
      <c r="A85" s="375" t="s">
        <v>1818</v>
      </c>
      <c r="B85" s="376" t="s">
        <v>430</v>
      </c>
      <c r="C85" s="379">
        <f ca="1">C81-C84</f>
        <v>926</v>
      </c>
      <c r="D85" s="372" t="s">
        <v>19</v>
      </c>
      <c r="E85" s="373"/>
      <c r="F85" s="42"/>
      <c r="G85" s="42"/>
      <c r="H85" s="991"/>
      <c r="I85" s="309"/>
      <c r="J85" s="1912"/>
      <c r="K85" s="3484"/>
      <c r="L85" s="2770" t="s">
        <v>2857</v>
      </c>
      <c r="M85" s="2760">
        <f ca="1">IF(N69&gt;1000,N69*0.1%,IF(AND(N69&gt;500,N69&lt;=1000),N69*0.5%,IF(AND(N69&gt;50,N69&lt;=500),N69*1%,IF(AND(N69&gt;1,N69&lt;=50),N69*1.5%))))</f>
        <v>4.8600000000000003</v>
      </c>
      <c r="N85" s="53">
        <f t="shared" ca="1" si="2"/>
        <v>4.9000000000000004</v>
      </c>
      <c r="O85" s="1912" t="s">
        <v>2856</v>
      </c>
      <c r="P85" s="1912"/>
      <c r="Q85" s="1912"/>
      <c r="R85" s="1912"/>
      <c r="S85" s="1912"/>
      <c r="T85" s="1912"/>
      <c r="U85" s="1912"/>
      <c r="V85" s="1912"/>
    </row>
    <row r="86" spans="1:26" ht="13.5" thickBot="1">
      <c r="A86" s="380" t="s">
        <v>1819</v>
      </c>
      <c r="B86" s="381" t="s">
        <v>431</v>
      </c>
      <c r="C86" s="382">
        <f ca="1">IF(C85&lt;=0,0,ROUND(C85*D86,0))</f>
        <v>51</v>
      </c>
      <c r="D86" s="383">
        <f>'数据-取费表'!B41</f>
        <v>5.5000000000000007E-2</v>
      </c>
      <c r="E86" s="384"/>
      <c r="F86" s="42"/>
      <c r="G86" s="42"/>
      <c r="H86" s="991"/>
      <c r="I86" s="309"/>
      <c r="J86" s="1912"/>
      <c r="K86" s="3484"/>
      <c r="L86" s="2770" t="s">
        <v>2858</v>
      </c>
      <c r="M86" s="2760">
        <f ca="1">N69*0.5%</f>
        <v>4.8600000000000003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84"/>
      <c r="L87" s="2770" t="s">
        <v>2860</v>
      </c>
      <c r="M87" s="2760">
        <f ca="1">IF(N69&gt;=10000,(8.25+(N69-10000)*0.01%),IF(AND(N69&gt;=8000,N69&lt;10000),(7.85+(N69-8000)*0.02%),IF(AND(N69&gt;=5000,N69&lt;8000),(6.65+(N69-5000)*0.04%),IF(AND(N69&gt;=2000,N69&lt;5000),(4.25+(PN69-2000)*0.08%),IF(AND(N69&gt;=1000,N69&lt;2000),(2.75+(N69-1000)*0.15%),IF(AND(N69&gt;=100,N69&lt;1000),(0.5+(N69-100)*0.25%),IF(AND(N69&gt;0,N69&lt;100),N69*0.5%)))))))</f>
        <v>2.68</v>
      </c>
      <c r="N87" s="53">
        <f ca="1">ROUND(M87*0.9,1)</f>
        <v>2.4</v>
      </c>
      <c r="O87" s="2763"/>
      <c r="P87" s="1912"/>
      <c r="Q87" s="1912"/>
      <c r="R87" s="1912"/>
      <c r="S87" s="1912"/>
      <c r="T87" s="1912"/>
      <c r="U87" s="1912"/>
      <c r="V87" s="1912"/>
      <c r="W87" s="290"/>
      <c r="X87" s="290"/>
      <c r="Y87" s="290"/>
      <c r="Z87" s="290"/>
    </row>
    <row r="88" spans="1:26" s="1268" customFormat="1" ht="15" thickBot="1">
      <c r="A88" s="3463" t="s">
        <v>432</v>
      </c>
      <c r="B88" s="3464"/>
      <c r="C88" s="3464"/>
      <c r="D88" s="3464"/>
      <c r="E88" s="3464"/>
      <c r="F88" s="3464"/>
      <c r="G88" s="3464"/>
      <c r="H88" s="3464"/>
      <c r="I88" s="1269"/>
      <c r="J88" s="1920"/>
      <c r="K88" s="3484"/>
      <c r="L88" s="2770" t="s">
        <v>2861</v>
      </c>
      <c r="M88" s="2760">
        <f ca="1">IF(N69&gt;10000,N69*0.5%,IF(AND(N69&gt;5000,N69&lt;=10000),N69*1%,IF(AND(N69&gt;1000,N69&lt;=5000),N69*2%,IF(AND(N69&gt;200,N69&lt;=1000),N69*3%,N69*5%))))</f>
        <v>29.16</v>
      </c>
      <c r="N88" s="53">
        <f ca="1">ROUND(M88,1)</f>
        <v>29.2</v>
      </c>
      <c r="O88" s="2763"/>
      <c r="P88" s="1917"/>
      <c r="Q88" s="1917"/>
      <c r="R88" s="1917"/>
      <c r="S88" s="1917"/>
      <c r="T88" s="1917"/>
      <c r="U88" s="1917"/>
      <c r="V88" s="1917"/>
      <c r="W88" s="1921"/>
      <c r="X88" s="1921"/>
      <c r="Y88" s="1921"/>
      <c r="Z88" s="1921"/>
    </row>
    <row r="89" spans="1:26" s="1268" customFormat="1" ht="14.25">
      <c r="A89" s="3438" t="s">
        <v>423</v>
      </c>
      <c r="B89" s="3439"/>
      <c r="C89" s="982"/>
      <c r="D89" s="982" t="s">
        <v>424</v>
      </c>
      <c r="E89" s="385" t="s">
        <v>433</v>
      </c>
      <c r="F89" s="386"/>
      <c r="G89" s="386"/>
      <c r="H89" s="387"/>
      <c r="I89" s="1270"/>
      <c r="J89" s="1922"/>
      <c r="K89" s="3484"/>
      <c r="L89" s="2770" t="s">
        <v>27</v>
      </c>
      <c r="M89" s="2761"/>
      <c r="N89" s="53">
        <f ca="1">ROUND(SUM(N83:N88),0)</f>
        <v>73</v>
      </c>
      <c r="O89" s="2771">
        <f ca="1">N89/N69</f>
        <v>7.5102880658436219E-2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926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0" t="s">
        <v>441</v>
      </c>
      <c r="F94" s="3419"/>
      <c r="G94" s="3419"/>
      <c r="H94" s="346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v>
      </c>
      <c r="D96" s="400">
        <f>'数据-取费表'!B43</f>
        <v>5.000000000000001E-3</v>
      </c>
      <c r="E96" s="3454" t="s">
        <v>2412</v>
      </c>
      <c r="F96" s="3455"/>
      <c r="G96" s="3455"/>
      <c r="H96" s="345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921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551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63" t="s">
        <v>448</v>
      </c>
      <c r="B101" s="3464"/>
      <c r="C101" s="3464"/>
      <c r="D101" s="3464"/>
      <c r="E101" s="3464"/>
      <c r="F101" s="3464"/>
      <c r="G101" s="3464"/>
      <c r="H101" s="346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38" t="s">
        <v>423</v>
      </c>
      <c r="B102" s="343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926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14" t="s">
        <v>2962</v>
      </c>
      <c r="H108" s="3415"/>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57" t="s">
        <v>456</v>
      </c>
      <c r="F109" s="3455"/>
      <c r="G109" s="345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57" t="s">
        <v>458</v>
      </c>
      <c r="F110" s="3455"/>
      <c r="G110" s="3455"/>
      <c r="H110" s="3456"/>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v>
      </c>
      <c r="D111" s="400">
        <f>'数据-取费表'!B43</f>
        <v>5.000000000000001E-3</v>
      </c>
      <c r="E111" s="3454" t="s">
        <v>2412</v>
      </c>
      <c r="F111" s="3455"/>
      <c r="G111" s="3455"/>
      <c r="H111" s="345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57" t="s">
        <v>2435</v>
      </c>
      <c r="F112" s="3455"/>
      <c r="G112" s="3455"/>
      <c r="H112" s="345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921</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551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H17" sqref="H1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5000</v>
      </c>
      <c r="E1" s="1355" t="s">
        <v>2411</v>
      </c>
      <c r="F1" s="2308">
        <f>'数据-基础表'!A3</f>
        <v>6316</v>
      </c>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 ca="1">C26</f>
        <v>948</v>
      </c>
      <c r="C2" s="1356" t="s">
        <v>912</v>
      </c>
      <c r="D2" s="1357" t="s">
        <v>913</v>
      </c>
      <c r="E2" s="1358" t="s">
        <v>972</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Ⅶ-光机电</v>
      </c>
      <c r="J2" s="1359"/>
      <c r="K2" s="3233"/>
      <c r="L2" s="1800" t="s">
        <v>2227</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2.3580999999999999</v>
      </c>
      <c r="T2" s="2655">
        <f ca="1">ROUND($C$5*$C$18*$C$19*$C$20*S2*$C$24,0)</f>
        <v>3171</v>
      </c>
      <c r="U2" s="2644"/>
      <c r="V2" s="2655">
        <f ca="1">ROUND(T2*U2/10000,0)</f>
        <v>0</v>
      </c>
      <c r="W2" s="2071"/>
      <c r="X2" s="2071"/>
      <c r="Y2" s="2071"/>
      <c r="Z2" s="2071"/>
      <c r="AA2" s="2071"/>
      <c r="AB2" s="2071"/>
      <c r="AC2" s="2072"/>
    </row>
    <row r="3" spans="1:39" ht="15.75">
      <c r="A3" s="1360" t="s">
        <v>1678</v>
      </c>
      <c r="B3" s="1025">
        <f ca="1">ROUND(B2*10000/D1,0)</f>
        <v>1896</v>
      </c>
      <c r="C3" s="1356" t="s">
        <v>918</v>
      </c>
      <c r="D3" s="1357" t="s">
        <v>919</v>
      </c>
      <c r="E3" s="1361" t="s">
        <v>3032</v>
      </c>
      <c r="F3" s="1362" t="s">
        <v>3102</v>
      </c>
      <c r="G3" s="1026">
        <f>IF(F3="宗地容积率",'数据-汇总表'!I4,IF(F3="估价对象容积率",'数据-汇总表'!I6,'数据-汇总表'!I7))</f>
        <v>0.79</v>
      </c>
      <c r="H3" s="1363" t="s">
        <v>920</v>
      </c>
      <c r="I3" s="1027"/>
      <c r="J3" s="1359" t="s">
        <v>921</v>
      </c>
      <c r="K3" s="3233"/>
      <c r="L3" s="1800" t="s">
        <v>2228</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1.6927000000000001</v>
      </c>
      <c r="T3" s="2655">
        <f t="shared" ref="T3:T16" ca="1" si="0">ROUND($C$5*$C$18*$C$19*$C$20*S3*$C$24,0)</f>
        <v>2276</v>
      </c>
      <c r="U3" s="2644"/>
      <c r="V3" s="2655">
        <f t="shared" ref="V3:V16" ca="1" si="1">ROUND(T3*U3/10000,0)</f>
        <v>0</v>
      </c>
      <c r="W3" s="2071"/>
      <c r="X3" s="2071"/>
      <c r="Y3" s="2071"/>
      <c r="Z3" s="2071"/>
      <c r="AA3" s="2071"/>
      <c r="AB3" s="2071"/>
      <c r="AC3" s="2072"/>
    </row>
    <row r="4" spans="1:39" ht="28.5">
      <c r="A4" s="1806" t="s">
        <v>2267</v>
      </c>
      <c r="B4" s="2309">
        <f ca="1">ROUND(B2*10000/F1,0)</f>
        <v>1501</v>
      </c>
      <c r="C4" s="1809" t="s">
        <v>2242</v>
      </c>
      <c r="D4" s="1809">
        <f ca="1">ROUND(B2/(F1/666.67),0)</f>
        <v>100</v>
      </c>
      <c r="E4" s="1809" t="s">
        <v>2243</v>
      </c>
      <c r="F4" s="1807"/>
      <c r="G4" s="1807"/>
      <c r="H4" s="1807"/>
      <c r="I4" s="1807"/>
      <c r="J4" s="1808"/>
      <c r="K4" s="3234"/>
      <c r="L4" s="1800" t="s">
        <v>2229</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1.3655999999999999</v>
      </c>
      <c r="T4" s="2655">
        <f t="shared" ca="1" si="0"/>
        <v>1836</v>
      </c>
      <c r="U4" s="2644"/>
      <c r="V4" s="2655">
        <f t="shared" ca="1" si="1"/>
        <v>0</v>
      </c>
      <c r="W4" s="2071"/>
      <c r="X4" s="2071"/>
      <c r="Y4" s="2071"/>
      <c r="Z4" s="2071"/>
      <c r="AA4" s="2071"/>
      <c r="AB4" s="2071"/>
      <c r="AC4" s="2072"/>
    </row>
    <row r="5" spans="1:39" s="1370" customFormat="1" ht="15.75" thickBot="1">
      <c r="A5" s="1567" t="s">
        <v>1814</v>
      </c>
      <c r="B5" s="1364" t="s">
        <v>922</v>
      </c>
      <c r="C5" s="1028">
        <f>ROUND(IF(E2="商业",C6*C7+C16,(IF(E2="住宅",C6*C12+C16,C6+C16))),0)</f>
        <v>1195</v>
      </c>
      <c r="D5" s="2794">
        <f>ROUND(C6+C16,0)</f>
        <v>1195</v>
      </c>
      <c r="E5" s="2794"/>
      <c r="F5" s="1365"/>
      <c r="G5" s="1366"/>
      <c r="H5" s="1366"/>
      <c r="I5" s="1366"/>
      <c r="J5" s="1367"/>
      <c r="K5" s="3235"/>
      <c r="L5" s="1800" t="s">
        <v>2230</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1.0956999999999999</v>
      </c>
      <c r="T5" s="2655">
        <f t="shared" ca="1" si="0"/>
        <v>1473</v>
      </c>
      <c r="U5" s="2644"/>
      <c r="V5" s="2655">
        <f t="shared" ca="1"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1270</v>
      </c>
      <c r="D6" s="1372" t="s">
        <v>1686</v>
      </c>
      <c r="E6" s="1373"/>
      <c r="F6" s="1373"/>
      <c r="G6" s="1374"/>
      <c r="H6" s="1374"/>
      <c r="I6" s="1374"/>
      <c r="J6" s="1375"/>
      <c r="K6" s="3236"/>
      <c r="L6" s="1800" t="s">
        <v>2231</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0.93300000000000005</v>
      </c>
      <c r="T6" s="2655">
        <f t="shared" ca="1" si="0"/>
        <v>1255</v>
      </c>
      <c r="U6" s="2644"/>
      <c r="V6" s="2655">
        <f t="shared" ca="1" si="1"/>
        <v>0</v>
      </c>
      <c r="W6" s="2071"/>
      <c r="X6" s="2071"/>
      <c r="Y6" s="2071"/>
      <c r="Z6" s="2071"/>
      <c r="AA6" s="2071"/>
      <c r="AB6" s="2071"/>
      <c r="AC6" s="2073"/>
      <c r="AD6" s="1368"/>
      <c r="AE6" s="1368"/>
      <c r="AF6" s="1368"/>
      <c r="AG6" s="1368"/>
      <c r="AH6" s="1368"/>
      <c r="AI6" s="1368"/>
      <c r="AJ6" s="1369"/>
    </row>
    <row r="7" spans="1:39" ht="24">
      <c r="A7" s="3510" t="str">
        <f>IF(E2="商业",IF(C8="不临58条商业街","",2),"")</f>
        <v/>
      </c>
      <c r="B7" s="1376" t="s">
        <v>923</v>
      </c>
      <c r="C7" s="1030">
        <f>IF(C8="不临58条商业街",1,ROUND(1+(1.6*E8+1.2*E9+0.8*E10+0.4*E11)*C9,4))</f>
        <v>1</v>
      </c>
      <c r="D7" s="1377" t="s">
        <v>924</v>
      </c>
      <c r="E7" s="1031"/>
      <c r="F7" s="1378"/>
      <c r="G7" s="1379"/>
      <c r="H7" s="1379"/>
      <c r="I7" s="1379"/>
      <c r="J7" s="1380"/>
      <c r="K7" s="3236"/>
      <c r="L7" s="1800" t="s">
        <v>2232</v>
      </c>
      <c r="M7" s="1801">
        <f>SUMPRODUCT((区片价!B158:B205=I2)*(区片价!C3:F3=E2)*(区片价!C158:F205))</f>
        <v>1270</v>
      </c>
      <c r="N7" s="1802">
        <f>SUMPRODUCT((因素修正幅度!B158:B205=I2)*(因素修正幅度!C3:F3=E2)*(因素修正幅度!C158:F205))</f>
        <v>0.05</v>
      </c>
      <c r="O7" s="3236"/>
      <c r="P7" s="3239"/>
      <c r="Q7" s="2071"/>
      <c r="R7" s="2655">
        <v>6</v>
      </c>
      <c r="S7" s="2655">
        <f>ROUND(IF(G3&gt;1,IF(R7&lt;7,SUMPRODUCT((B93:B98=R7)*(C92:N92=G2)*(C93:N98)),SUMIF(C92:N92,G2,C100:N100)),IF(R7&lt;7,SUMPRODUCT((B102:B107=R7)*(C92:N92=G2)*(C102:N107)),SUMIF(C92:N92,G2,C109:N109))),4)</f>
        <v>0.82050000000000001</v>
      </c>
      <c r="T7" s="2655">
        <f t="shared" ca="1" si="0"/>
        <v>1103</v>
      </c>
      <c r="U7" s="2644"/>
      <c r="V7" s="2655">
        <f t="shared" ca="1" si="1"/>
        <v>0</v>
      </c>
      <c r="W7" s="2653" t="s">
        <v>2744</v>
      </c>
      <c r="X7" s="2645" t="str">
        <f>G2</f>
        <v>七级</v>
      </c>
      <c r="Y7" s="2645" t="s">
        <v>2745</v>
      </c>
      <c r="Z7" s="2646">
        <f>G3</f>
        <v>0.79</v>
      </c>
      <c r="AA7" s="2074"/>
      <c r="AB7" s="2074"/>
      <c r="AC7" s="2075"/>
      <c r="AD7" s="2647"/>
      <c r="AE7" s="2647"/>
      <c r="AF7" s="2647"/>
      <c r="AG7" s="2647"/>
      <c r="AH7" s="2647"/>
      <c r="AI7" s="2647"/>
      <c r="AJ7" s="2648"/>
    </row>
    <row r="8" spans="1:39" ht="25.5">
      <c r="A8" s="3511"/>
      <c r="B8" s="1363" t="s">
        <v>925</v>
      </c>
      <c r="C8" s="1469" t="s">
        <v>3103</v>
      </c>
      <c r="D8" s="1032" t="s">
        <v>926</v>
      </c>
      <c r="E8" s="1033" t="e">
        <f>ROUND(C11/E7,4)</f>
        <v>#DIV/0!</v>
      </c>
      <c r="F8" s="1381" t="s">
        <v>927</v>
      </c>
      <c r="G8" s="1382"/>
      <c r="H8" s="1382"/>
      <c r="I8" s="1382"/>
      <c r="J8" s="1383"/>
      <c r="K8" s="3236"/>
      <c r="L8" s="1800" t="s">
        <v>2233</v>
      </c>
      <c r="M8" s="1801">
        <f>SUMPRODUCT((区片价!B206:B244=I2)*(区片价!C3:F3=E2)*(区片价!C206:F244))</f>
        <v>0</v>
      </c>
      <c r="N8" s="1802">
        <f>SUMPRODUCT((因素修正幅度!B206:B244=I2)*(因素修正幅度!C3:F3=E2)*(因素修正幅度!C206:F244))</f>
        <v>0</v>
      </c>
      <c r="O8" s="3236"/>
      <c r="P8" s="2071"/>
      <c r="Q8" s="2071"/>
      <c r="R8" s="2655">
        <v>7</v>
      </c>
      <c r="S8" s="2644"/>
      <c r="T8" s="2655">
        <f t="shared" ca="1" si="0"/>
        <v>0</v>
      </c>
      <c r="U8" s="2644"/>
      <c r="V8" s="2655">
        <f t="shared" ca="1" si="1"/>
        <v>0</v>
      </c>
      <c r="W8" s="3497" t="s">
        <v>2762</v>
      </c>
      <c r="X8" s="3498"/>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1"/>
      <c r="B9" s="1363" t="s">
        <v>928</v>
      </c>
      <c r="C9" s="1034">
        <f>SUMIF(修正!C59:C119,C8,修正!E59:E119)</f>
        <v>0</v>
      </c>
      <c r="D9" s="1035" t="s">
        <v>929</v>
      </c>
      <c r="E9" s="1035" t="e">
        <f>ROUND(C11/E7,4)</f>
        <v>#DIV/0!</v>
      </c>
      <c r="F9" s="1381" t="s">
        <v>930</v>
      </c>
      <c r="G9" s="1382"/>
      <c r="H9" s="1382"/>
      <c r="I9" s="1382"/>
      <c r="J9" s="1383"/>
      <c r="K9" s="3236"/>
      <c r="L9" s="1800" t="s">
        <v>2234</v>
      </c>
      <c r="M9" s="1801">
        <f>SUMPRODUCT((区片价!B245:B289=I2)*(区片价!C3:F3=E2)*(区片价!C245:F289))</f>
        <v>0</v>
      </c>
      <c r="N9" s="1802">
        <f>SUMPRODUCT((因素修正幅度!B245:B289=I2)*(因素修正幅度!C3:F3=E2)*(因素修正幅度!C245:F289))</f>
        <v>0</v>
      </c>
      <c r="O9" s="3236"/>
      <c r="P9" s="2071"/>
      <c r="Q9" s="2071"/>
      <c r="R9" s="2655">
        <v>8</v>
      </c>
      <c r="S9" s="2644"/>
      <c r="T9" s="2655">
        <f t="shared" ca="1" si="0"/>
        <v>0</v>
      </c>
      <c r="U9" s="2644"/>
      <c r="V9" s="2655">
        <f t="shared" ca="1" si="1"/>
        <v>0</v>
      </c>
      <c r="W9" s="3496"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1"/>
      <c r="B10" s="1363" t="s">
        <v>931</v>
      </c>
      <c r="C10" s="1035">
        <f>SUMIF(修正!C59:C119,C8,修正!F59:F119)</f>
        <v>0</v>
      </c>
      <c r="D10" s="1035" t="s">
        <v>932</v>
      </c>
      <c r="E10" s="1035" t="e">
        <f>ROUND(C11/E7,4)</f>
        <v>#DIV/0!</v>
      </c>
      <c r="F10" s="1381" t="s">
        <v>933</v>
      </c>
      <c r="G10" s="1382"/>
      <c r="H10" s="1382"/>
      <c r="I10" s="1382"/>
      <c r="J10" s="1383"/>
      <c r="K10" s="3236"/>
      <c r="L10" s="1800" t="s">
        <v>2235</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f t="shared" ca="1" si="0"/>
        <v>0</v>
      </c>
      <c r="U10" s="2644"/>
      <c r="V10" s="2655">
        <f t="shared" ca="1" si="1"/>
        <v>0</v>
      </c>
      <c r="W10" s="3496"/>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1"/>
      <c r="B11" s="1384" t="s">
        <v>934</v>
      </c>
      <c r="C11" s="1036">
        <f>C10/4</f>
        <v>0</v>
      </c>
      <c r="D11" s="1036" t="s">
        <v>935</v>
      </c>
      <c r="E11" s="1036" t="e">
        <f>ROUND(C11/E7,4)</f>
        <v>#DIV/0!</v>
      </c>
      <c r="F11" s="1385" t="s">
        <v>936</v>
      </c>
      <c r="G11" s="1386"/>
      <c r="H11" s="1386"/>
      <c r="I11" s="1386"/>
      <c r="J11" s="1387"/>
      <c r="K11" s="3236"/>
      <c r="L11" s="1800" t="s">
        <v>2236</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f t="shared" ca="1" si="0"/>
        <v>0</v>
      </c>
      <c r="U11" s="2644"/>
      <c r="V11" s="2655">
        <f t="shared" ca="1" si="1"/>
        <v>0</v>
      </c>
      <c r="W11" s="3496" t="s">
        <v>2760</v>
      </c>
      <c r="X11" s="1035" t="s">
        <v>2745</v>
      </c>
      <c r="Y11" s="1582">
        <f>$G$3</f>
        <v>0.79</v>
      </c>
      <c r="Z11" s="1582">
        <f t="shared" ref="Z11:AJ11" si="3">$G$3</f>
        <v>0.79</v>
      </c>
      <c r="AA11" s="1582">
        <f t="shared" si="3"/>
        <v>0.79</v>
      </c>
      <c r="AB11" s="1582">
        <f t="shared" si="3"/>
        <v>0.79</v>
      </c>
      <c r="AC11" s="1582">
        <f t="shared" si="3"/>
        <v>0.79</v>
      </c>
      <c r="AD11" s="1582">
        <f t="shared" si="3"/>
        <v>0.79</v>
      </c>
      <c r="AE11" s="1582">
        <f t="shared" si="3"/>
        <v>0.79</v>
      </c>
      <c r="AF11" s="1582">
        <f t="shared" si="3"/>
        <v>0.79</v>
      </c>
      <c r="AG11" s="1582">
        <f t="shared" si="3"/>
        <v>0.79</v>
      </c>
      <c r="AH11" s="1582">
        <f t="shared" si="3"/>
        <v>0.79</v>
      </c>
      <c r="AI11" s="1582">
        <f t="shared" si="3"/>
        <v>0.79</v>
      </c>
      <c r="AJ11" s="1582">
        <f t="shared" si="3"/>
        <v>0.79</v>
      </c>
    </row>
    <row r="12" spans="1:39" ht="25.5" thickBot="1">
      <c r="A12" s="3510" t="s">
        <v>1862</v>
      </c>
      <c r="B12" s="1388" t="s">
        <v>937</v>
      </c>
      <c r="C12" s="1030">
        <f>ROUND(C15*D15*E15*F15*G15*H15*I15*J15,4)</f>
        <v>1</v>
      </c>
      <c r="D12" s="1389" t="s">
        <v>938</v>
      </c>
      <c r="E12" s="1390"/>
      <c r="F12" s="1390"/>
      <c r="G12" s="1391"/>
      <c r="H12" s="1391"/>
      <c r="I12" s="1391"/>
      <c r="J12" s="1392"/>
      <c r="K12" s="3236"/>
      <c r="L12" s="1803" t="s">
        <v>2237</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f t="shared" ca="1" si="0"/>
        <v>0</v>
      </c>
      <c r="U12" s="2644"/>
      <c r="V12" s="2655">
        <f t="shared" ca="1" si="1"/>
        <v>0</v>
      </c>
      <c r="W12" s="3496"/>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2"/>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f t="shared" ca="1" si="0"/>
        <v>0</v>
      </c>
      <c r="U13" s="2644"/>
      <c r="V13" s="2655">
        <f t="shared" ca="1" si="1"/>
        <v>0</v>
      </c>
      <c r="W13" s="3496"/>
      <c r="X13" s="2652"/>
      <c r="Y13" s="2651">
        <f>(-0.163*(Y12^2)-0.59*Y12+7617)*(10^(-4))/Y11</f>
        <v>0.96417721518987343</v>
      </c>
      <c r="Z13" s="2651">
        <f t="shared" ref="Z13:AJ13" si="5">(-0.163*(Z12^2)-0.59*Z12+7617)*(10^(-4))/Z11</f>
        <v>0.96417721518987343</v>
      </c>
      <c r="AA13" s="2651">
        <f t="shared" si="5"/>
        <v>0.96417721518987343</v>
      </c>
      <c r="AB13" s="2651">
        <f t="shared" si="5"/>
        <v>0.96417721518987343</v>
      </c>
      <c r="AC13" s="2651">
        <f t="shared" si="5"/>
        <v>0.96417721518987343</v>
      </c>
      <c r="AD13" s="2651">
        <f t="shared" si="5"/>
        <v>0.96417721518987343</v>
      </c>
      <c r="AE13" s="2651">
        <f t="shared" si="5"/>
        <v>0.96417721518987343</v>
      </c>
      <c r="AF13" s="2651">
        <f t="shared" si="5"/>
        <v>0.96417721518987343</v>
      </c>
      <c r="AG13" s="2651">
        <f t="shared" si="5"/>
        <v>0.96417721518987343</v>
      </c>
      <c r="AH13" s="2651">
        <f t="shared" si="5"/>
        <v>0.96417721518987343</v>
      </c>
      <c r="AI13" s="2651">
        <f t="shared" si="5"/>
        <v>0.96417721518987343</v>
      </c>
      <c r="AJ13" s="2651">
        <f t="shared" si="5"/>
        <v>0.96417721518987343</v>
      </c>
    </row>
    <row r="14" spans="1:39" ht="12.75" customHeight="1">
      <c r="A14" s="3512"/>
      <c r="B14" s="1400"/>
      <c r="C14" s="1401"/>
      <c r="D14" s="1402"/>
      <c r="E14" s="1402"/>
      <c r="F14" s="1403"/>
      <c r="G14" s="1404" t="s">
        <v>940</v>
      </c>
      <c r="H14" s="1405"/>
      <c r="I14" s="1406"/>
      <c r="J14" s="1407"/>
      <c r="K14" s="3237"/>
      <c r="L14" s="3237"/>
      <c r="M14" s="3237"/>
      <c r="N14" s="3237"/>
      <c r="O14" s="3237"/>
      <c r="P14" s="2071"/>
      <c r="Q14" s="2071"/>
      <c r="R14" s="2655">
        <v>13</v>
      </c>
      <c r="S14" s="2644"/>
      <c r="T14" s="2655">
        <f t="shared" ca="1" si="0"/>
        <v>0</v>
      </c>
      <c r="U14" s="2644"/>
      <c r="V14" s="2655">
        <f t="shared" ca="1" si="1"/>
        <v>0</v>
      </c>
      <c r="W14" s="2071"/>
      <c r="X14" s="2071"/>
      <c r="Y14" s="2071"/>
      <c r="Z14" s="2071"/>
      <c r="AA14" s="2071"/>
      <c r="AB14" s="2071"/>
      <c r="AC14" s="2072"/>
    </row>
    <row r="15" spans="1:39" ht="13.5" customHeight="1" thickBot="1">
      <c r="A15" s="3513"/>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f t="shared" ca="1" si="0"/>
        <v>0</v>
      </c>
      <c r="U15" s="2644"/>
      <c r="V15" s="2655">
        <f t="shared" ca="1" si="1"/>
        <v>0</v>
      </c>
      <c r="W15" s="2071"/>
      <c r="X15" s="2071"/>
      <c r="Y15" s="2071"/>
      <c r="Z15" s="2071"/>
      <c r="AA15" s="2071"/>
      <c r="AB15" s="2071"/>
      <c r="AC15" s="2072"/>
    </row>
    <row r="16" spans="1:39" ht="24.6" customHeight="1">
      <c r="A16" s="3510" t="s">
        <v>1829</v>
      </c>
      <c r="B16" s="1376" t="s">
        <v>941</v>
      </c>
      <c r="C16" s="1039">
        <f>ROUND(IF(F17="与级别开发程度一致",0,(G17-E17)/C17),0)</f>
        <v>-75</v>
      </c>
      <c r="D16" s="3504" t="s">
        <v>945</v>
      </c>
      <c r="E16" s="3505"/>
      <c r="F16" s="3504" t="s">
        <v>942</v>
      </c>
      <c r="G16" s="3505"/>
      <c r="H16" s="1408" t="s">
        <v>3004</v>
      </c>
      <c r="I16" s="1408" t="s">
        <v>3005</v>
      </c>
      <c r="J16" s="1408" t="s">
        <v>3006</v>
      </c>
      <c r="K16" s="1408" t="s">
        <v>3007</v>
      </c>
      <c r="L16" s="1408" t="s">
        <v>3008</v>
      </c>
      <c r="M16" s="1408" t="s">
        <v>943</v>
      </c>
      <c r="N16" s="1408" t="s">
        <v>943</v>
      </c>
      <c r="O16" s="2854" t="s">
        <v>3105</v>
      </c>
      <c r="P16" s="2071"/>
      <c r="Q16" s="2074"/>
      <c r="R16" s="2655">
        <v>15</v>
      </c>
      <c r="S16" s="2644"/>
      <c r="T16" s="2655">
        <f t="shared" ca="1" si="0"/>
        <v>0</v>
      </c>
      <c r="U16" s="2644"/>
      <c r="V16" s="2655">
        <f t="shared" ca="1" si="1"/>
        <v>0</v>
      </c>
      <c r="W16" s="2074"/>
      <c r="X16" s="2074"/>
      <c r="Y16" s="2074"/>
      <c r="Z16" s="2074"/>
      <c r="AA16" s="2074"/>
      <c r="AB16" s="2074"/>
      <c r="AC16" s="2075"/>
    </row>
    <row r="17" spans="1:40" ht="24.75" thickBot="1">
      <c r="A17" s="3514"/>
      <c r="B17" s="2855" t="s">
        <v>944</v>
      </c>
      <c r="C17" s="2856">
        <f>SUMPRODUCT((修正!A2:A5=E2)*(修正!B1:M1=G2)*(修正!B2:M5))</f>
        <v>1.2</v>
      </c>
      <c r="D17" s="2857" t="str">
        <f>IF(OR(G2="八级",G2="九级",G2="十级",G2="十一级",G2="十二级"),"五通一平","七通一平")</f>
        <v>七通一平</v>
      </c>
      <c r="E17" s="2847">
        <f>SUMPRODUCT((修正!B1:M1=G2)*(修正!B15:M15))</f>
        <v>300</v>
      </c>
      <c r="F17" s="2848" t="s">
        <v>3116</v>
      </c>
      <c r="G17" s="2847">
        <f>SUM(H17:O17)</f>
        <v>210</v>
      </c>
      <c r="H17" s="1038">
        <f>SUMPRODUCT((七通一平=H16)*(修正!B1:M1=G2)*(修正!B6:M14))</f>
        <v>65</v>
      </c>
      <c r="I17" s="1038">
        <f>SUMPRODUCT((七通一平=I16)*(修正!B1:M1=G2)*(修正!B6:M14))</f>
        <v>55</v>
      </c>
      <c r="J17" s="1038">
        <f>SUMPRODUCT((七通一平=J16)*(修正!B1:M1=G2)*(修正!B6:M14))</f>
        <v>15</v>
      </c>
      <c r="K17" s="1038">
        <f>SUMPRODUCT((七通一平=K16)*(修正!B1:M1=G2)*(修正!B6:M14))</f>
        <v>25</v>
      </c>
      <c r="L17" s="1038">
        <f>SUMPRODUCT((七通一平=L16)*(修正!B1:M1=G2)*(修正!B6:M14))</f>
        <v>35</v>
      </c>
      <c r="M17" s="1038">
        <f>SUMPRODUCT((七通一平=M16)*(修正!B1:M1=G2)*(修正!B6:M14))</f>
        <v>0</v>
      </c>
      <c r="N17" s="1038">
        <f>SUMPRODUCT((七通一平=N16)*(修正!B1:M1=G2)*(修正!B6:M14))</f>
        <v>0</v>
      </c>
      <c r="O17" s="2858">
        <f>SUMPRODUCT((七通一平=O16)*(修正!B1:M1=G2)*(修正!B6:M14))</f>
        <v>15</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1</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1.3880999999999999</v>
      </c>
      <c r="D19" s="1415" t="s">
        <v>948</v>
      </c>
      <c r="E19" s="1041">
        <v>41640</v>
      </c>
      <c r="F19" s="1415" t="s">
        <v>949</v>
      </c>
      <c r="G19" s="1042">
        <f>'数据-取费表'!B2</f>
        <v>44098</v>
      </c>
      <c r="H19" s="1416" t="s">
        <v>2955</v>
      </c>
      <c r="I19" s="2504" t="str">
        <f>IF(H19="季度增幅（自定义）",SUMIF(N21:N24,E2,O21:O24),"")</f>
        <v/>
      </c>
      <c r="J19" s="1412"/>
      <c r="K19" s="3235"/>
      <c r="L19" s="2754" t="s">
        <v>2820</v>
      </c>
      <c r="M19" s="2755">
        <f>ROUND(SUMIF(地价!B2:F2,E2,地价!B31:F31),0)</f>
        <v>230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 ca="1">ROUND(POWER(1+G20,J20-I20)*(POWER(1+G20,I20)-1)/(POWER(1+G20,J20)-1),4)</f>
        <v>0.79300000000000004</v>
      </c>
      <c r="D20" s="2501" t="s">
        <v>963</v>
      </c>
      <c r="E20" s="2784">
        <f ca="1">存贷款利率!I4/100</f>
        <v>4.3499999999999997E-2</v>
      </c>
      <c r="F20" s="2501" t="s">
        <v>964</v>
      </c>
      <c r="G20" s="2502">
        <f ca="1">SUMIF(M26:P26,E2,M28:P28)</f>
        <v>4.8000000000000001E-2</v>
      </c>
      <c r="H20" s="2501" t="s">
        <v>965</v>
      </c>
      <c r="I20" s="2497">
        <f>SUMIF('数据-取费表'!C6:C15,E2,'数据-取费表'!F6:F15)/COUNTIF('数据-取费表'!C6:C15,E2)</f>
        <v>26.92</v>
      </c>
      <c r="J20" s="2503">
        <f>IF(E2="住宅",70,IF(E2="商业",40,50))</f>
        <v>50</v>
      </c>
      <c r="K20" s="2845"/>
      <c r="L20" s="2756" t="s">
        <v>2821</v>
      </c>
      <c r="M20" s="2838">
        <f>ROUND(SUMPRODUCT((地价!A4:A31=YEAR(G19)&amp;"-"&amp;ROUNDUP(MONTH(G19)/3,0))*(地价!B2:F2=E2)*(地价!B4:F31)),0)</f>
        <v>319</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f>IF(B21="容积率修正",IF(G3&lt;=10,D22,J22),C23)</f>
        <v>1.4097</v>
      </c>
      <c r="D21" s="1422"/>
      <c r="E21" s="1422"/>
      <c r="F21" s="1422"/>
      <c r="G21" s="1422"/>
      <c r="H21" s="1422"/>
      <c r="I21" s="1422"/>
      <c r="J21" s="1423"/>
      <c r="K21" s="3235"/>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1.4097</v>
      </c>
      <c r="E22" s="1026">
        <f>ROUNDDOWN(G3,1)</f>
        <v>0.7</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26">
        <f>ROUNDUP(G3,1)</f>
        <v>0.79999999999999993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43" t="s">
        <v>968</v>
      </c>
      <c r="J22" s="1043" t="str">
        <f>IF(G3&gt;10,D113,"——")</f>
        <v>——</v>
      </c>
      <c r="K22" s="3241"/>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1.0223</v>
      </c>
      <c r="D24" s="1475"/>
      <c r="E24" s="1476"/>
      <c r="F24" s="1476"/>
      <c r="G24" s="1476"/>
      <c r="H24" s="1476"/>
      <c r="I24" s="1476"/>
      <c r="J24" s="1476"/>
      <c r="K24" s="3242"/>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f ca="1">IF(B21="容积率修正",E29+SUM(E33:E39),SUM(V2:V16)+SUM(E33:E39))</f>
        <v>948</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 ca="1">ROUND(C5*C18*C19*C20*C21*C24,0)</f>
        <v>1896</v>
      </c>
      <c r="D29" s="1444">
        <f>'数据-汇总表'!E3</f>
        <v>5000</v>
      </c>
      <c r="E29" s="1764">
        <f ca="1">ROUND(C29*D29/10000,0)</f>
        <v>948</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 ca="1">ROUND(IF(E2="工业",C29*M39,C29*M38),0)</f>
        <v>284</v>
      </c>
      <c r="D30" s="1450"/>
      <c r="E30" s="1764">
        <f ca="1">ROUND(C30*D30/10000,0)</f>
        <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06"/>
      <c r="B33" s="1464" t="s">
        <v>990</v>
      </c>
      <c r="C33" s="1046">
        <f ca="1">ROUND(D5*C19*C20*C24*F33,0)</f>
        <v>941</v>
      </c>
      <c r="D33" s="1477"/>
      <c r="E33" s="1035">
        <f ca="1">ROUND(C33*D33/10000,0)</f>
        <v>0</v>
      </c>
      <c r="F33" s="1035">
        <f>SUMIF(修正!A45:A56,G2,修正!B45:B56)</f>
        <v>0.7</v>
      </c>
      <c r="G33" s="1035">
        <f t="shared" ref="G33" ca="1" si="6">ROUND(IF(E2="工业",C33*$M$39,C33*$M$38),0)</f>
        <v>141</v>
      </c>
      <c r="H33" s="1035">
        <f>D33</f>
        <v>0</v>
      </c>
      <c r="I33" s="1035">
        <f ca="1">ROUND(G33*H33/10000,0)</f>
        <v>0</v>
      </c>
      <c r="J33" s="3506"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07"/>
      <c r="B34" s="1394" t="s">
        <v>991</v>
      </c>
      <c r="C34" s="1046">
        <f ca="1">ROUND(D5*C19*C20*C24*F34,0)</f>
        <v>538</v>
      </c>
      <c r="D34" s="1477"/>
      <c r="E34" s="1035">
        <f t="shared" ref="E34:E39" ca="1" si="7">ROUND(C34*D34/10000,0)</f>
        <v>0</v>
      </c>
      <c r="F34" s="1035">
        <f>SUMIF(修正!A45:A56,G2,修正!C45:C56)</f>
        <v>0.4</v>
      </c>
      <c r="G34" s="1035">
        <f ca="1">ROUND(IF(E2="工业",C34*$M$39,C34*$M$38),0)</f>
        <v>81</v>
      </c>
      <c r="H34" s="1035">
        <f t="shared" ref="H34:H39" si="8">D34</f>
        <v>0</v>
      </c>
      <c r="I34" s="1035">
        <f t="shared" ref="I34:I39" ca="1" si="9">ROUND(G34*H34/10000,0)</f>
        <v>0</v>
      </c>
      <c r="J34" s="3507"/>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07"/>
      <c r="B35" s="1394" t="s">
        <v>992</v>
      </c>
      <c r="C35" s="1046">
        <f ca="1">ROUND(D5*C19*C20*C24*F35,0)</f>
        <v>377</v>
      </c>
      <c r="D35" s="1477"/>
      <c r="E35" s="1035">
        <f t="shared" ca="1" si="7"/>
        <v>0</v>
      </c>
      <c r="F35" s="1035">
        <f>SUMIF(修正!A45:A56,G2,修正!D45:D56)</f>
        <v>0.28000000000000003</v>
      </c>
      <c r="G35" s="1035">
        <f ca="1">ROUND(IF(E2="工业",C35*$M$39,C35*$M$38),0)</f>
        <v>57</v>
      </c>
      <c r="H35" s="1035">
        <f t="shared" si="8"/>
        <v>0</v>
      </c>
      <c r="I35" s="1035">
        <f t="shared" ca="1" si="9"/>
        <v>0</v>
      </c>
      <c r="J35" s="3507"/>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08"/>
      <c r="B36" s="1394" t="s">
        <v>993</v>
      </c>
      <c r="C36" s="1046">
        <f ca="1">ROUND(D5*C19*C20*C24*F36,0)</f>
        <v>336</v>
      </c>
      <c r="D36" s="1477"/>
      <c r="E36" s="1035">
        <f t="shared" ca="1" si="7"/>
        <v>0</v>
      </c>
      <c r="F36" s="1035">
        <f>SUMIF(修正!A45:A56,G2,修正!E45:E56)</f>
        <v>0.25</v>
      </c>
      <c r="G36" s="1035">
        <f ca="1">ROUND(IF(E2="工业",C36*$M$39,C36*$M$38),0)</f>
        <v>50</v>
      </c>
      <c r="H36" s="1035">
        <f t="shared" si="8"/>
        <v>0</v>
      </c>
      <c r="I36" s="1035">
        <f t="shared" ca="1" si="9"/>
        <v>0</v>
      </c>
      <c r="J36" s="3508"/>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 ca="1">ROUND(D5*C19*C20*C24*F37,0)</f>
        <v>336</v>
      </c>
      <c r="D37" s="1477"/>
      <c r="E37" s="1035">
        <f t="shared" ca="1" si="7"/>
        <v>0</v>
      </c>
      <c r="F37" s="1046">
        <f>SUMIF(修正!A45:A56,G2,修正!F45:F56)</f>
        <v>0.25</v>
      </c>
      <c r="G37" s="1035">
        <f ca="1">ROUND(IF(E2="工业",C37*$M$39,C37*$M$38),0)</f>
        <v>50</v>
      </c>
      <c r="H37" s="1035">
        <f t="shared" si="8"/>
        <v>0</v>
      </c>
      <c r="I37" s="1035">
        <f t="shared" ca="1"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f ca="1">ROUND(POWER(1+E41,H41-G41)*(POWER(1+E41,G41)-1)/(POWER(1+E41,H41)-1),4)</f>
        <v>0</v>
      </c>
      <c r="D41" s="372" t="s">
        <v>2947</v>
      </c>
      <c r="E41" s="2833">
        <f ca="1">G20</f>
        <v>4.8000000000000001E-2</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hidden="1">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hidden="1">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hidden="1">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hidden="1">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hidden="1">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hidden="1">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hidden="1">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hidden="1">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hidden="1">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hidden="1">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hidden="1"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hidden="1">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hidden="1">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hidden="1">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hidden="1">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hidden="1">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hidden="1">
      <c r="A61" s="1050" t="s">
        <v>1014</v>
      </c>
      <c r="B61" s="2786"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hidden="1">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hidden="1">
      <c r="A63" s="1050" t="s">
        <v>1016</v>
      </c>
      <c r="B63" s="2785"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hidden="1">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hidden="1">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hidden="1"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hidden="1">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hidden="1">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hidden="1">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hidden="1">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hidden="1">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hidden="1">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hidden="1">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hidden="1">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hidden="1">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hidden="1">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hidden="1"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1.0223</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t="s">
        <v>3106</v>
      </c>
      <c r="D80" s="2273">
        <f t="shared" ref="D80:D87" si="25">SUMIF($J$79:$N$79,C80,J80:N80)</f>
        <v>6.4999999999999997E-3</v>
      </c>
      <c r="E80" s="2292">
        <f>ROUND(SUM(D80:D87),4)</f>
        <v>2.23E-2</v>
      </c>
      <c r="F80" s="2293">
        <f>IF(E2="工业",SUMIF(L1:L12,G2,N1:N12),"——")</f>
        <v>0.05</v>
      </c>
      <c r="G80" s="2271">
        <f>H80</f>
        <v>6.4999999999999997E-3</v>
      </c>
      <c r="H80" s="2316">
        <f t="shared" ref="H80:H87" si="26">IFERROR(ROUNDDOWN($F$80*I80/2,4),"——")</f>
        <v>6.4999999999999997E-3</v>
      </c>
      <c r="I80" s="2291">
        <v>0.26</v>
      </c>
      <c r="J80" s="2294">
        <f t="shared" ref="J80:J87" si="27">K80+$G80</f>
        <v>1.2999999999999999E-2</v>
      </c>
      <c r="K80" s="2294">
        <f t="shared" ref="K80:K87" si="28">$L80+$G80</f>
        <v>6.4999999999999997E-3</v>
      </c>
      <c r="L80" s="2294">
        <v>0</v>
      </c>
      <c r="M80" s="2294">
        <f t="shared" ref="M80:N87" si="29">L80-$G80</f>
        <v>-6.4999999999999997E-3</v>
      </c>
      <c r="N80" s="2294">
        <f t="shared" si="29"/>
        <v>-1.2999999999999999E-2</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t="s">
        <v>3106</v>
      </c>
      <c r="D81" s="2273">
        <f t="shared" si="25"/>
        <v>8.2000000000000007E-3</v>
      </c>
      <c r="E81" s="2301"/>
      <c r="F81" s="2302"/>
      <c r="G81" s="2271">
        <f t="shared" ref="G81:G87" si="30">H81</f>
        <v>8.2000000000000007E-3</v>
      </c>
      <c r="H81" s="2316">
        <f t="shared" si="26"/>
        <v>8.2000000000000007E-3</v>
      </c>
      <c r="I81" s="2291">
        <v>0.33</v>
      </c>
      <c r="J81" s="2294">
        <f t="shared" si="27"/>
        <v>1.6400000000000001E-2</v>
      </c>
      <c r="K81" s="2294">
        <f t="shared" si="28"/>
        <v>8.2000000000000007E-3</v>
      </c>
      <c r="L81" s="2294">
        <v>0</v>
      </c>
      <c r="M81" s="2294">
        <f t="shared" si="29"/>
        <v>-8.2000000000000007E-3</v>
      </c>
      <c r="N81" s="2294">
        <f t="shared" si="29"/>
        <v>-1.6400000000000001E-2</v>
      </c>
      <c r="AC81" s="1354"/>
      <c r="AD81" s="1353"/>
      <c r="AJ81" s="1352"/>
      <c r="AN81" s="1353"/>
    </row>
    <row r="82" spans="1:40" ht="24">
      <c r="A82" s="1050" t="s">
        <v>1013</v>
      </c>
      <c r="B82" s="2264">
        <f>估价对象房地状况!G17</f>
        <v>0</v>
      </c>
      <c r="C82" s="1037" t="s">
        <v>3106</v>
      </c>
      <c r="D82" s="2273">
        <f t="shared" si="25"/>
        <v>1.1999999999999999E-3</v>
      </c>
      <c r="E82" s="2301"/>
      <c r="F82" s="2302"/>
      <c r="G82" s="2271">
        <f t="shared" si="30"/>
        <v>1.1999999999999999E-3</v>
      </c>
      <c r="H82" s="2316">
        <f t="shared" si="26"/>
        <v>1.1999999999999999E-3</v>
      </c>
      <c r="I82" s="2291">
        <v>0.05</v>
      </c>
      <c r="J82" s="2294">
        <f t="shared" si="27"/>
        <v>2.3999999999999998E-3</v>
      </c>
      <c r="K82" s="2294">
        <f t="shared" si="28"/>
        <v>1.1999999999999999E-3</v>
      </c>
      <c r="L82" s="2294">
        <v>0</v>
      </c>
      <c r="M82" s="2294">
        <f t="shared" si="29"/>
        <v>-1.1999999999999999E-3</v>
      </c>
      <c r="N82" s="2294">
        <f t="shared" si="29"/>
        <v>-2.3999999999999998E-3</v>
      </c>
      <c r="AC82" s="1354"/>
      <c r="AD82" s="1353"/>
      <c r="AJ82" s="1352"/>
      <c r="AN82" s="1353"/>
    </row>
    <row r="83" spans="1:40" ht="14.25">
      <c r="A83" s="1050" t="s">
        <v>1025</v>
      </c>
      <c r="B83" s="2264">
        <f>估价对象房地状况!G22</f>
        <v>0</v>
      </c>
      <c r="C83" s="1037" t="s">
        <v>3107</v>
      </c>
      <c r="D83" s="2273">
        <f t="shared" si="25"/>
        <v>0</v>
      </c>
      <c r="E83" s="2301"/>
      <c r="F83" s="2302"/>
      <c r="G83" s="2271">
        <f t="shared" si="30"/>
        <v>1E-3</v>
      </c>
      <c r="H83" s="2316">
        <f t="shared" si="26"/>
        <v>1E-3</v>
      </c>
      <c r="I83" s="2291">
        <v>0.04</v>
      </c>
      <c r="J83" s="2294">
        <f t="shared" si="27"/>
        <v>2E-3</v>
      </c>
      <c r="K83" s="2294">
        <f t="shared" si="28"/>
        <v>1E-3</v>
      </c>
      <c r="L83" s="2294">
        <v>0</v>
      </c>
      <c r="M83" s="2294">
        <f t="shared" si="29"/>
        <v>-1E-3</v>
      </c>
      <c r="N83" s="2294">
        <f t="shared" si="29"/>
        <v>-2E-3</v>
      </c>
      <c r="AC83" s="1354"/>
      <c r="AD83" s="1353"/>
      <c r="AJ83" s="1352"/>
      <c r="AN83" s="1353"/>
    </row>
    <row r="84" spans="1:40" ht="24">
      <c r="A84" s="1050" t="s">
        <v>1017</v>
      </c>
      <c r="B84" s="2265" t="str">
        <f>估价对象房地状况!G19</f>
        <v>估价对象所在区域公共配套设施齐备情况</v>
      </c>
      <c r="C84" s="1037" t="s">
        <v>3107</v>
      </c>
      <c r="D84" s="2273">
        <f t="shared" si="25"/>
        <v>0</v>
      </c>
      <c r="E84" s="2301"/>
      <c r="F84" s="2302"/>
      <c r="G84" s="2271">
        <f t="shared" si="30"/>
        <v>1.5E-3</v>
      </c>
      <c r="H84" s="2316">
        <f t="shared" si="26"/>
        <v>1.5E-3</v>
      </c>
      <c r="I84" s="2291">
        <v>0.06</v>
      </c>
      <c r="J84" s="2294">
        <f t="shared" si="27"/>
        <v>3.0000000000000001E-3</v>
      </c>
      <c r="K84" s="2294">
        <f t="shared" si="28"/>
        <v>1.5E-3</v>
      </c>
      <c r="L84" s="2294">
        <v>0</v>
      </c>
      <c r="M84" s="2294">
        <f t="shared" si="29"/>
        <v>-1.5E-3</v>
      </c>
      <c r="N84" s="2294">
        <f t="shared" si="29"/>
        <v>-3.0000000000000001E-3</v>
      </c>
      <c r="AC84" s="1354"/>
      <c r="AD84" s="1353"/>
      <c r="AJ84" s="1352"/>
      <c r="AN84" s="1353"/>
    </row>
    <row r="85" spans="1:40" ht="24">
      <c r="A85" s="1050" t="s">
        <v>1018</v>
      </c>
      <c r="B85" s="2265" t="str">
        <f>估价对象房地状况!G20</f>
        <v>估价对象所在区域基础设施水平</v>
      </c>
      <c r="C85" s="1037" t="s">
        <v>3106</v>
      </c>
      <c r="D85" s="2273">
        <f t="shared" si="25"/>
        <v>3.7000000000000002E-3</v>
      </c>
      <c r="E85" s="2301"/>
      <c r="F85" s="2302"/>
      <c r="G85" s="2271">
        <f t="shared" si="30"/>
        <v>3.7000000000000002E-3</v>
      </c>
      <c r="H85" s="2316">
        <f t="shared" si="26"/>
        <v>3.7000000000000002E-3</v>
      </c>
      <c r="I85" s="2291">
        <v>0.15</v>
      </c>
      <c r="J85" s="2294">
        <f t="shared" si="27"/>
        <v>7.4000000000000003E-3</v>
      </c>
      <c r="K85" s="2294">
        <f t="shared" si="28"/>
        <v>3.7000000000000002E-3</v>
      </c>
      <c r="L85" s="2294">
        <v>0</v>
      </c>
      <c r="M85" s="2294">
        <f t="shared" si="29"/>
        <v>-3.7000000000000002E-3</v>
      </c>
      <c r="N85" s="2294">
        <f t="shared" si="29"/>
        <v>-7.4000000000000003E-3</v>
      </c>
      <c r="AC85" s="1354"/>
      <c r="AD85" s="1353"/>
      <c r="AJ85" s="1352"/>
      <c r="AN85" s="1353"/>
    </row>
    <row r="86" spans="1:40" ht="24">
      <c r="A86" s="1050" t="s">
        <v>1016</v>
      </c>
      <c r="B86" s="2785" t="s">
        <v>2904</v>
      </c>
      <c r="C86" s="1037" t="s">
        <v>3106</v>
      </c>
      <c r="D86" s="2273">
        <f t="shared" si="25"/>
        <v>1.1999999999999999E-3</v>
      </c>
      <c r="E86" s="2301"/>
      <c r="F86" s="2302"/>
      <c r="G86" s="2271">
        <f t="shared" si="30"/>
        <v>1.1999999999999999E-3</v>
      </c>
      <c r="H86" s="2316">
        <f t="shared" si="26"/>
        <v>1.1999999999999999E-3</v>
      </c>
      <c r="I86" s="2291">
        <v>0.05</v>
      </c>
      <c r="J86" s="2294">
        <f t="shared" si="27"/>
        <v>2.3999999999999998E-3</v>
      </c>
      <c r="K86" s="2294">
        <f t="shared" si="28"/>
        <v>1.1999999999999999E-3</v>
      </c>
      <c r="L86" s="2294">
        <v>0</v>
      </c>
      <c r="M86" s="2294">
        <f t="shared" si="29"/>
        <v>-1.1999999999999999E-3</v>
      </c>
      <c r="N86" s="2294">
        <f t="shared" si="29"/>
        <v>-2.3999999999999998E-3</v>
      </c>
      <c r="AC86" s="1354"/>
      <c r="AD86" s="1353"/>
      <c r="AJ86" s="1352"/>
      <c r="AN86" s="1353"/>
    </row>
    <row r="87" spans="1:40" ht="36.75" thickBot="1">
      <c r="A87" s="2297" t="s">
        <v>1029</v>
      </c>
      <c r="B87" s="2266" t="str">
        <f>估价对象房地状况!G18</f>
        <v>该园区内是否有污染型企业，绿化情况，卫生条件，整体环境状况判断</v>
      </c>
      <c r="C87" s="1037" t="s">
        <v>3106</v>
      </c>
      <c r="D87" s="2273">
        <f t="shared" si="25"/>
        <v>1.5E-3</v>
      </c>
      <c r="E87" s="2303"/>
      <c r="F87" s="2302"/>
      <c r="G87" s="2271">
        <f t="shared" si="30"/>
        <v>1.5E-3</v>
      </c>
      <c r="H87" s="2316">
        <f t="shared" si="26"/>
        <v>1.5E-3</v>
      </c>
      <c r="I87" s="2298">
        <v>0.06</v>
      </c>
      <c r="J87" s="2294">
        <f t="shared" si="27"/>
        <v>3.0000000000000001E-3</v>
      </c>
      <c r="K87" s="2294">
        <f t="shared" si="28"/>
        <v>1.5E-3</v>
      </c>
      <c r="L87" s="2294">
        <v>0</v>
      </c>
      <c r="M87" s="2294">
        <f t="shared" si="29"/>
        <v>-1.5E-3</v>
      </c>
      <c r="N87" s="2294">
        <f t="shared" si="29"/>
        <v>-3.0000000000000001E-3</v>
      </c>
      <c r="AC87" s="1354"/>
      <c r="AD87" s="1353"/>
      <c r="AJ87" s="1352"/>
      <c r="AN87" s="1353"/>
    </row>
    <row r="90" spans="1:40">
      <c r="A90" s="3515" t="s">
        <v>1624</v>
      </c>
      <c r="B90" s="3515"/>
      <c r="C90" s="3515"/>
      <c r="D90" s="3515"/>
      <c r="E90" s="3515"/>
      <c r="F90" s="3515"/>
      <c r="G90" s="3515"/>
      <c r="H90" s="3515"/>
      <c r="I90" s="3515"/>
      <c r="J90" s="3515"/>
      <c r="K90" s="2306"/>
      <c r="L90" s="2306"/>
      <c r="M90" s="2306"/>
      <c r="N90" s="2306"/>
    </row>
    <row r="91" spans="1:40">
      <c r="A91" s="3516" t="s">
        <v>1434</v>
      </c>
      <c r="B91" s="3516" t="s">
        <v>1625</v>
      </c>
      <c r="C91" s="1123" t="s">
        <v>1626</v>
      </c>
      <c r="D91" s="1124"/>
      <c r="E91" s="1124"/>
      <c r="F91" s="1124"/>
      <c r="G91" s="1124"/>
      <c r="H91" s="1124"/>
      <c r="I91" s="1124"/>
      <c r="J91" s="1125"/>
      <c r="K91" s="1117"/>
      <c r="L91" s="1117"/>
      <c r="M91" s="1117"/>
      <c r="N91" s="1117"/>
    </row>
    <row r="92" spans="1:40">
      <c r="A92" s="3516"/>
      <c r="B92" s="3516"/>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499"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0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0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0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0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0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00"/>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350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499" t="s">
        <v>1628</v>
      </c>
      <c r="B101" s="1130" t="s">
        <v>897</v>
      </c>
      <c r="C101" s="1131">
        <f>$G$3</f>
        <v>0.79</v>
      </c>
      <c r="D101" s="1131">
        <f t="shared" ref="D101:N101" si="32">$G$3</f>
        <v>0.79</v>
      </c>
      <c r="E101" s="1131">
        <f t="shared" si="32"/>
        <v>0.79</v>
      </c>
      <c r="F101" s="1131">
        <f t="shared" si="32"/>
        <v>0.79</v>
      </c>
      <c r="G101" s="1131">
        <f t="shared" si="32"/>
        <v>0.79</v>
      </c>
      <c r="H101" s="1131">
        <f t="shared" si="32"/>
        <v>0.79</v>
      </c>
      <c r="I101" s="1131">
        <f t="shared" si="32"/>
        <v>0.79</v>
      </c>
      <c r="J101" s="1131">
        <f t="shared" si="32"/>
        <v>0.79</v>
      </c>
      <c r="K101" s="1131">
        <f t="shared" si="32"/>
        <v>0.79</v>
      </c>
      <c r="L101" s="1131">
        <f t="shared" si="32"/>
        <v>0.79</v>
      </c>
      <c r="M101" s="1131">
        <f t="shared" si="32"/>
        <v>0.79</v>
      </c>
      <c r="N101" s="1131">
        <f t="shared" si="32"/>
        <v>0.79</v>
      </c>
    </row>
    <row r="102" spans="1:14">
      <c r="A102" s="3500"/>
      <c r="B102" s="1126">
        <v>1</v>
      </c>
      <c r="C102" s="1127">
        <f>1.9362/C101</f>
        <v>2.4508860759493669</v>
      </c>
      <c r="D102" s="1127">
        <f>1.9362/D101</f>
        <v>2.4508860759493669</v>
      </c>
      <c r="E102" s="1127">
        <f>1.8629/E101</f>
        <v>2.3581012658227847</v>
      </c>
      <c r="F102" s="1127">
        <f>1.8629/F101</f>
        <v>2.3581012658227847</v>
      </c>
      <c r="G102" s="1127">
        <f>1.8629/G101</f>
        <v>2.3581012658227847</v>
      </c>
      <c r="H102" s="1127">
        <f>1.8629/H101</f>
        <v>2.3581012658227847</v>
      </c>
      <c r="I102" s="1127">
        <f>1.8629/I101</f>
        <v>2.3581012658227847</v>
      </c>
      <c r="J102" s="1127">
        <f>1.942/J101</f>
        <v>2.4582278481012656</v>
      </c>
      <c r="K102" s="1127">
        <f>1.942/K101</f>
        <v>2.4582278481012656</v>
      </c>
      <c r="L102" s="1127">
        <f>1.942/L101</f>
        <v>2.4582278481012656</v>
      </c>
      <c r="M102" s="1127">
        <f>1.942/M101</f>
        <v>2.4582278481012656</v>
      </c>
      <c r="N102" s="1127">
        <f>1.942/N101</f>
        <v>2.4582278481012656</v>
      </c>
    </row>
    <row r="103" spans="1:14">
      <c r="A103" s="3500"/>
      <c r="B103" s="1126">
        <v>2</v>
      </c>
      <c r="C103" s="1127">
        <f>1.4198/C101</f>
        <v>1.7972151898734177</v>
      </c>
      <c r="D103" s="1127">
        <f>1.4198/D101</f>
        <v>1.7972151898734177</v>
      </c>
      <c r="E103" s="1127">
        <f>1.3372/E101</f>
        <v>1.692658227848101</v>
      </c>
      <c r="F103" s="1127">
        <f>1.3372/F101</f>
        <v>1.692658227848101</v>
      </c>
      <c r="G103" s="1127">
        <f>1.3372/G101</f>
        <v>1.692658227848101</v>
      </c>
      <c r="H103" s="1127">
        <f>1.3372/H101</f>
        <v>1.692658227848101</v>
      </c>
      <c r="I103" s="1127">
        <f>1.3372/I101</f>
        <v>1.692658227848101</v>
      </c>
      <c r="J103" s="1127">
        <f>1.2799/J101</f>
        <v>1.6201265822784809</v>
      </c>
      <c r="K103" s="1127">
        <f>1.2799/K101</f>
        <v>1.6201265822784809</v>
      </c>
      <c r="L103" s="1127">
        <f>1.2799/L101</f>
        <v>1.6201265822784809</v>
      </c>
      <c r="M103" s="1127">
        <f>1.2799/M101</f>
        <v>1.6201265822784809</v>
      </c>
      <c r="N103" s="1127">
        <f>1.2799/N101</f>
        <v>1.6201265822784809</v>
      </c>
    </row>
    <row r="104" spans="1:14">
      <c r="A104" s="3500"/>
      <c r="B104" s="1126">
        <v>3</v>
      </c>
      <c r="C104" s="1127">
        <f>1.1594/C101</f>
        <v>1.4675949367088608</v>
      </c>
      <c r="D104" s="1127">
        <f>1.1594/D101</f>
        <v>1.4675949367088608</v>
      </c>
      <c r="E104" s="1127">
        <f>1.0788/E101</f>
        <v>1.3655696202531644</v>
      </c>
      <c r="F104" s="1127">
        <f>1.0788/F101</f>
        <v>1.3655696202531644</v>
      </c>
      <c r="G104" s="1127">
        <f>1.0788/G101</f>
        <v>1.3655696202531644</v>
      </c>
      <c r="H104" s="1127">
        <f>1.0788/H101</f>
        <v>1.3655696202531644</v>
      </c>
      <c r="I104" s="1127">
        <f>1.0788/I101</f>
        <v>1.3655696202531644</v>
      </c>
      <c r="J104" s="1127">
        <f>1.0072/J101</f>
        <v>1.2749367088607595</v>
      </c>
      <c r="K104" s="1127">
        <f>1.0072/K101</f>
        <v>1.2749367088607595</v>
      </c>
      <c r="L104" s="1127">
        <f>1.0072/L101</f>
        <v>1.2749367088607595</v>
      </c>
      <c r="M104" s="1127">
        <f>1.0072/M101</f>
        <v>1.2749367088607595</v>
      </c>
      <c r="N104" s="1127">
        <f>1.0072/N101</f>
        <v>1.2749367088607595</v>
      </c>
    </row>
    <row r="105" spans="1:14">
      <c r="A105" s="3500"/>
      <c r="B105" s="1126">
        <v>4</v>
      </c>
      <c r="C105" s="1127">
        <f>0.9622/C101</f>
        <v>1.2179746835443037</v>
      </c>
      <c r="D105" s="1127">
        <f>0.9622/D101</f>
        <v>1.2179746835443037</v>
      </c>
      <c r="E105" s="1127">
        <f>0.8656/E101</f>
        <v>1.0956962025316455</v>
      </c>
      <c r="F105" s="1127">
        <f>0.8656/F101</f>
        <v>1.0956962025316455</v>
      </c>
      <c r="G105" s="1127">
        <f>0.8656/G101</f>
        <v>1.0956962025316455</v>
      </c>
      <c r="H105" s="1127">
        <f>0.8656/H101</f>
        <v>1.0956962025316455</v>
      </c>
      <c r="I105" s="1127">
        <f>0.8656/I101</f>
        <v>1.0956962025316455</v>
      </c>
      <c r="J105" s="1127">
        <f>0.7525/J101</f>
        <v>0.95253164556962011</v>
      </c>
      <c r="K105" s="1127">
        <f>0.7525/K101</f>
        <v>0.95253164556962011</v>
      </c>
      <c r="L105" s="1127">
        <f>0.7525/L101</f>
        <v>0.95253164556962011</v>
      </c>
      <c r="M105" s="1127">
        <f>0.7525/M101</f>
        <v>0.95253164556962011</v>
      </c>
      <c r="N105" s="1127">
        <f>0.7525/N101</f>
        <v>0.95253164556962011</v>
      </c>
    </row>
    <row r="106" spans="1:14">
      <c r="A106" s="3500"/>
      <c r="B106" s="1126">
        <v>5</v>
      </c>
      <c r="C106" s="1127">
        <f>0.8417/C101</f>
        <v>1.0654430379746835</v>
      </c>
      <c r="D106" s="1127">
        <f>0.8417/D101</f>
        <v>1.0654430379746835</v>
      </c>
      <c r="E106" s="1127">
        <f>0.7371/E101</f>
        <v>0.93303797468354421</v>
      </c>
      <c r="F106" s="1127">
        <f>0.7371/F101</f>
        <v>0.93303797468354421</v>
      </c>
      <c r="G106" s="1127">
        <f>0.7371/G101</f>
        <v>0.93303797468354421</v>
      </c>
      <c r="H106" s="1127">
        <f>0.7371/H101</f>
        <v>0.93303797468354421</v>
      </c>
      <c r="I106" s="1127">
        <f>0.7371/I101</f>
        <v>0.93303797468354421</v>
      </c>
      <c r="J106" s="1127">
        <f>0.5659/J101</f>
        <v>0.71632911392405052</v>
      </c>
      <c r="K106" s="1127">
        <f>0.5659/K101</f>
        <v>0.71632911392405052</v>
      </c>
      <c r="L106" s="1127">
        <f>0.5659/L101</f>
        <v>0.71632911392405052</v>
      </c>
      <c r="M106" s="1127">
        <f>0.5659/M101</f>
        <v>0.71632911392405052</v>
      </c>
      <c r="N106" s="1127">
        <f>0.5659/N101</f>
        <v>0.71632911392405052</v>
      </c>
    </row>
    <row r="107" spans="1:14">
      <c r="A107" s="3500"/>
      <c r="B107" s="1126">
        <v>6</v>
      </c>
      <c r="C107" s="1127">
        <f>0.7608/C101</f>
        <v>0.96303797468354435</v>
      </c>
      <c r="D107" s="1127">
        <f>0.7608/D101</f>
        <v>0.96303797468354435</v>
      </c>
      <c r="E107" s="1127">
        <f>0.6482/E101</f>
        <v>0.82050632911392396</v>
      </c>
      <c r="F107" s="1127">
        <f>0.6482/F101</f>
        <v>0.82050632911392396</v>
      </c>
      <c r="G107" s="1127">
        <f>0.6482/G101</f>
        <v>0.82050632911392396</v>
      </c>
      <c r="H107" s="1127">
        <f>0.6482/H101</f>
        <v>0.82050632911392396</v>
      </c>
      <c r="I107" s="1127">
        <f>0.6482/I101</f>
        <v>0.82050632911392396</v>
      </c>
      <c r="J107" s="1127">
        <f>0.4525/J101</f>
        <v>0.57278481012658222</v>
      </c>
      <c r="K107" s="1127">
        <f>0.4525/K101</f>
        <v>0.57278481012658222</v>
      </c>
      <c r="L107" s="1127">
        <f>0.4525/L101</f>
        <v>0.57278481012658222</v>
      </c>
      <c r="M107" s="1127">
        <f>0.4525/M101</f>
        <v>0.57278481012658222</v>
      </c>
      <c r="N107" s="1127">
        <f>0.4525/N101</f>
        <v>0.57278481012658222</v>
      </c>
    </row>
    <row r="108" spans="1:14">
      <c r="A108" s="3500"/>
      <c r="B108" s="3502"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3501"/>
      <c r="B109" s="3503"/>
      <c r="C109" s="1129">
        <f>(-0.163*(C108^2)-0.59*C108+7617)*(10^(-4))/C101</f>
        <v>0.96417721518987343</v>
      </c>
      <c r="D109" s="1129">
        <f>(-0.163*(D108^2)-0.59*D108+7617)*(10^(-4))/D101</f>
        <v>0.96417721518987343</v>
      </c>
      <c r="E109" s="1129">
        <f>(-0.161*(E108^2)-7.509*E108+6533)*(10^(-4))/E101</f>
        <v>0.82696202531645568</v>
      </c>
      <c r="F109" s="1129">
        <f>(-0.161*(F108^2)-7.509*F108+6533)*(10^(-4))/F101</f>
        <v>0.82696202531645568</v>
      </c>
      <c r="G109" s="1129">
        <f>(-0.161*(G108^2)-7.509*G108+6533)*(10^(-4))/G101</f>
        <v>0.82696202531645568</v>
      </c>
      <c r="H109" s="1129">
        <f>(-0.161*(H108^2)-7.509*H108+6533)*(10^(-4))/H101</f>
        <v>0.82696202531645568</v>
      </c>
      <c r="I109" s="1129">
        <f>(-0.161*(I108^2)-7.509*I108+6533)*(10^(-4))/I101</f>
        <v>0.82696202531645568</v>
      </c>
      <c r="J109" s="1129">
        <f>(-0.214*(J108^2)-21.991*J108+4665)*(10^(-4))/J101</f>
        <v>0.59050632911392409</v>
      </c>
      <c r="K109" s="1129">
        <f>(-0.214*(K108^2)-21.991*K108+4665)*(10^(-4))/K101</f>
        <v>0.59050632911392409</v>
      </c>
      <c r="L109" s="1129">
        <f>(-0.214*(L108^2)-21.991*L108+4665)*(10^(-4))/L101</f>
        <v>0.59050632911392409</v>
      </c>
      <c r="M109" s="1129">
        <f>(-0.214*(M108^2)-21.991*M108+4665)*(10^(-4))/M101</f>
        <v>0.59050632911392409</v>
      </c>
      <c r="N109" s="1129">
        <f>(-0.214*(N108^2)-21.991*N108+4665)*(10^(-4))/N101</f>
        <v>0.59050632911392409</v>
      </c>
    </row>
    <row r="110" spans="1:14">
      <c r="A110" s="3509" t="s">
        <v>1630</v>
      </c>
      <c r="B110" s="3509"/>
      <c r="C110" s="3509"/>
      <c r="D110" s="3509"/>
      <c r="E110" s="3509"/>
      <c r="F110" s="3509"/>
      <c r="G110" s="3509"/>
      <c r="H110" s="3509"/>
      <c r="I110" s="3509"/>
      <c r="J110" s="3509"/>
      <c r="K110" s="2304"/>
      <c r="L110" s="2304"/>
      <c r="M110" s="2304"/>
      <c r="N110" s="2304"/>
    </row>
    <row r="112" spans="1:14" ht="12.75" thickBot="1"/>
    <row r="113" spans="1:13" ht="25.5" thickBot="1">
      <c r="A113" s="1003" t="s">
        <v>887</v>
      </c>
      <c r="B113" s="2307">
        <f>G3</f>
        <v>0.79</v>
      </c>
      <c r="C113" s="1004" t="s">
        <v>888</v>
      </c>
      <c r="D113" s="1005">
        <f>SUMPRODUCT((A115:A118=F113)*(B114:M114=H113)*B115:M118)</f>
        <v>0.62029999999999996</v>
      </c>
      <c r="E113" s="1006" t="s">
        <v>889</v>
      </c>
      <c r="F113" s="1007" t="str">
        <f>E2</f>
        <v>工业</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0.92610000000000003</v>
      </c>
      <c r="C115" s="1017">
        <f>B115</f>
        <v>0.92610000000000003</v>
      </c>
      <c r="D115" s="1017">
        <f>ROUND(0.8331-0.0109*B113,4)</f>
        <v>0.82450000000000001</v>
      </c>
      <c r="E115" s="1017">
        <f>D115</f>
        <v>0.82450000000000001</v>
      </c>
      <c r="F115" s="1017">
        <f>E115</f>
        <v>0.82450000000000001</v>
      </c>
      <c r="G115" s="1017">
        <f>F115</f>
        <v>0.82450000000000001</v>
      </c>
      <c r="H115" s="1017">
        <f>G115</f>
        <v>0.82450000000000001</v>
      </c>
      <c r="I115" s="1017">
        <f>ROUND(0.689-0.0155*B113,4)</f>
        <v>0.67679999999999996</v>
      </c>
      <c r="J115" s="1017">
        <f t="shared" ref="J115:M118" si="34">I115</f>
        <v>0.67679999999999996</v>
      </c>
      <c r="K115" s="1017">
        <f t="shared" si="34"/>
        <v>0.67679999999999996</v>
      </c>
      <c r="L115" s="1017">
        <f t="shared" si="34"/>
        <v>0.67679999999999996</v>
      </c>
      <c r="M115" s="1018">
        <f t="shared" si="34"/>
        <v>0.67679999999999996</v>
      </c>
    </row>
    <row r="116" spans="1:13" ht="12.75">
      <c r="A116" s="1016" t="s">
        <v>892</v>
      </c>
      <c r="B116" s="1017">
        <f>ROUND(0.949-0.012*B113,4)</f>
        <v>0.9395</v>
      </c>
      <c r="C116" s="1017">
        <f>B116</f>
        <v>0.9395</v>
      </c>
      <c r="D116" s="1017">
        <f>ROUND(0.8567-0.013*B113,4)</f>
        <v>0.84640000000000004</v>
      </c>
      <c r="E116" s="1017">
        <f t="shared" ref="E116:H117" si="35">D116</f>
        <v>0.84640000000000004</v>
      </c>
      <c r="F116" s="1017">
        <f t="shared" si="35"/>
        <v>0.84640000000000004</v>
      </c>
      <c r="G116" s="1017">
        <f t="shared" si="35"/>
        <v>0.84640000000000004</v>
      </c>
      <c r="H116" s="1017">
        <f t="shared" si="35"/>
        <v>0.84640000000000004</v>
      </c>
      <c r="I116" s="1017">
        <f>ROUND(0.7694-0.014*B113,4)</f>
        <v>0.75829999999999997</v>
      </c>
      <c r="J116" s="1017">
        <f t="shared" si="34"/>
        <v>0.75829999999999997</v>
      </c>
      <c r="K116" s="1017">
        <f t="shared" si="34"/>
        <v>0.75829999999999997</v>
      </c>
      <c r="L116" s="1017">
        <f t="shared" si="34"/>
        <v>0.75829999999999997</v>
      </c>
      <c r="M116" s="1018">
        <f t="shared" si="34"/>
        <v>0.75829999999999997</v>
      </c>
    </row>
    <row r="117" spans="1:13" ht="12.75">
      <c r="A117" s="1019" t="s">
        <v>893</v>
      </c>
      <c r="B117" s="1017">
        <f>ROUND(0.8808-0.006*B113,4)</f>
        <v>0.87609999999999999</v>
      </c>
      <c r="C117" s="1017">
        <f>B117</f>
        <v>0.87609999999999999</v>
      </c>
      <c r="D117" s="1017">
        <f>ROUND(0.8748-0.008*B113,4)</f>
        <v>0.86850000000000005</v>
      </c>
      <c r="E117" s="1017">
        <f t="shared" si="35"/>
        <v>0.86850000000000005</v>
      </c>
      <c r="F117" s="1017">
        <f t="shared" si="35"/>
        <v>0.86850000000000005</v>
      </c>
      <c r="G117" s="1017">
        <f t="shared" si="35"/>
        <v>0.86850000000000005</v>
      </c>
      <c r="H117" s="1017">
        <f t="shared" si="35"/>
        <v>0.86850000000000005</v>
      </c>
      <c r="I117" s="1017">
        <f>ROUND(0.7412-0.0095*B113,4)</f>
        <v>0.73370000000000002</v>
      </c>
      <c r="J117" s="1017">
        <f t="shared" si="34"/>
        <v>0.73370000000000002</v>
      </c>
      <c r="K117" s="1017">
        <f t="shared" si="34"/>
        <v>0.73370000000000002</v>
      </c>
      <c r="L117" s="1017">
        <f t="shared" si="34"/>
        <v>0.73370000000000002</v>
      </c>
      <c r="M117" s="1018">
        <f t="shared" si="34"/>
        <v>0.73370000000000002</v>
      </c>
    </row>
    <row r="118" spans="1:13" ht="13.5" thickBot="1">
      <c r="A118" s="1020" t="s">
        <v>894</v>
      </c>
      <c r="B118" s="1021">
        <f>ROUND(0.7275-0.01*B113,4)</f>
        <v>0.71960000000000002</v>
      </c>
      <c r="C118" s="1021">
        <f>B118</f>
        <v>0.71960000000000002</v>
      </c>
      <c r="D118" s="1021">
        <f>ROUND(0.7043-0.012*B113,4)</f>
        <v>0.69479999999999997</v>
      </c>
      <c r="E118" s="1021">
        <f>D118</f>
        <v>0.69479999999999997</v>
      </c>
      <c r="F118" s="1021">
        <f>E118</f>
        <v>0.69479999999999997</v>
      </c>
      <c r="G118" s="1021">
        <f>ROUND(0.6299-0.0122*B113,4)</f>
        <v>0.62029999999999996</v>
      </c>
      <c r="H118" s="1021">
        <f>G118</f>
        <v>0.62029999999999996</v>
      </c>
      <c r="I118" s="1021">
        <f>ROUND(0.5667-0.0136*B113,4)</f>
        <v>0.55600000000000005</v>
      </c>
      <c r="J118" s="1021">
        <f t="shared" si="34"/>
        <v>0.55600000000000005</v>
      </c>
      <c r="K118" s="1021">
        <f t="shared" si="34"/>
        <v>0.55600000000000005</v>
      </c>
      <c r="L118" s="1021">
        <f t="shared" si="34"/>
        <v>0.55600000000000005</v>
      </c>
      <c r="M118" s="1022">
        <f t="shared" si="34"/>
        <v>0.55600000000000005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L16" sqref="L1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996</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1992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2395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972</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4790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2395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800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24</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100</v>
      </c>
      <c r="D16" s="2562">
        <f ca="1">IF(B1="",'数据-汇总表'!E3,INDIRECT("'数据-取费表'!K"&amp;$K$1)+INDIRECT("'数据-取费表'!S"&amp;$K$1))</f>
        <v>5000</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936</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5000</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85</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140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85</v>
      </c>
      <c r="D22" s="2562">
        <f ca="1">IF(B1="",'数据-汇总表'!E6,IF(INDIRECT("'数据-取费表'!c"&amp;$K$1)="住宅",INDIRECT("'数据-取费表'!s"&amp;$K$1),INDIRECT("'数据-取费表'!k"&amp;$K$1)+INDIRECT("'数据-取费表'!s"&amp;$K$1)))</f>
        <v>5000</v>
      </c>
      <c r="E22" s="53">
        <f>'数据-取费表'!B28</f>
        <v>170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15</v>
      </c>
      <c r="D23" s="462"/>
      <c r="E23" s="462"/>
      <c r="F23" s="2574">
        <f>'数据-取费表'!B37</f>
        <v>1.4999999999999999E-2</v>
      </c>
      <c r="G23" s="2530" t="s">
        <v>2414</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36</v>
      </c>
      <c r="D24" s="469"/>
      <c r="E24" s="467"/>
      <c r="F24" s="2574">
        <f>'数据-取费表'!B38</f>
        <v>1.4999999999999999E-2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2276</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23</v>
      </c>
      <c r="D26" s="461">
        <f ca="1">C27</f>
        <v>4.48E-2</v>
      </c>
      <c r="E26" s="463" t="s">
        <v>489</v>
      </c>
      <c r="F26" s="465">
        <f ca="1">'数据-取费表'!B40</f>
        <v>4.3499999999999997E-2</v>
      </c>
      <c r="G26" s="2425" t="str">
        <f>IF('数据-取费表'!B22&lt;=1,"单利计息。","复利计息。")&amp;"后续开发成本、管理费用及销售费用产生的利息。"</f>
        <v>单利计息。后续开发成本、管理费用及销售费用产生的利息。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4.48E-2</v>
      </c>
      <c r="D27" s="466"/>
      <c r="E27" s="467"/>
      <c r="F27" s="468"/>
      <c r="G27" s="2425" t="str">
        <f>IF('数据-取费表'!B22&lt;=1,"（1+取得税费率/(1+5%)）×年利率×建设期","（1+取得税费率）/(1+5%)×((1+年利率)^建设期-1)")</f>
        <v>（1+取得税费率/(1+5%)）×年利率×建设期</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23</v>
      </c>
      <c r="D28" s="466"/>
      <c r="E28" s="467"/>
      <c r="F28" s="468"/>
      <c r="G28" s="2425" t="str">
        <f>IF('数据-取费表'!B22&lt;=1,"（1）-（4）项×年利率×建设期÷2","（1）-（4）项×((1+年利率)^(建设期÷2)-1)")</f>
        <v>（1）-（4）项×年利率×建设期÷2</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125</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1220</v>
      </c>
      <c r="D30" s="471">
        <f ca="1">C32</f>
        <v>7.3800000000000004E-2</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1220</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7.3800000000000004E-2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54</v>
      </c>
      <c r="D33" s="461">
        <f ca="1">C34</f>
        <v>5.1499999999999997E-2</v>
      </c>
      <c r="E33" s="463" t="s">
        <v>489</v>
      </c>
      <c r="F33" s="473">
        <f ca="1">IF(B1="",'数据-取费表'!Q16,INDIRECT("'数据-取费表'!q"&amp;$K$1))</f>
        <v>0.05</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5.1499999999999997E-2</v>
      </c>
      <c r="D34" s="466"/>
      <c r="E34" s="467"/>
      <c r="F34" s="474"/>
      <c r="G34" s="259" t="s">
        <v>2277</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54</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996</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3" t="str">
        <f>项目基本情况!B1</f>
        <v>北京市北京市通州区中关村科技园通州园光机电一体化产业基地嘉创五路3号出让国有建设用地使用权抵押价格预评估</v>
      </c>
      <c r="C37" s="3323"/>
      <c r="D37" s="3323"/>
      <c r="E37" s="3323"/>
      <c r="F37" s="3323"/>
      <c r="G37" s="3323"/>
      <c r="H37" s="3323"/>
      <c r="I37" s="3323"/>
    </row>
    <row r="38" spans="1:9">
      <c r="A38" s="1585"/>
      <c r="B38" s="1585"/>
    </row>
    <row r="39" spans="1:9">
      <c r="A39" s="1583" t="s">
        <v>1892</v>
      </c>
      <c r="B39" s="1583" t="s">
        <v>2034</v>
      </c>
    </row>
    <row r="40" spans="1:9">
      <c r="A40" s="1583"/>
      <c r="B40" s="1583" t="str">
        <f>项目基本情况!B5</f>
        <v>盛嘉优时影院管理（北京）有限公司</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土地估价师、土地估价师</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56" sqref="J5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972</v>
      </c>
      <c r="D1" s="2799" t="s">
        <v>3012</v>
      </c>
      <c r="E1" s="2243" t="s">
        <v>2358</v>
      </c>
      <c r="F1" s="2244">
        <f ca="1">J53</f>
        <v>25.92</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2395</v>
      </c>
      <c r="C2" s="3265"/>
      <c r="D2" s="3266"/>
      <c r="E2" s="3267"/>
      <c r="F2" s="3267"/>
      <c r="G2" s="3261"/>
      <c r="H2" s="1941"/>
      <c r="I2" s="1941"/>
      <c r="J2" s="1941"/>
      <c r="K2" s="1942"/>
      <c r="L2" s="1941"/>
      <c r="M2" s="1941"/>
    </row>
    <row r="3" spans="1:33" ht="18" customHeight="1" thickBot="1">
      <c r="A3" s="822" t="s">
        <v>1718</v>
      </c>
      <c r="B3" s="823">
        <f ca="1">IF(ISERROR(B2*10000/F43),0,ROUND(B2*10000/F43,0))</f>
        <v>4790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181</v>
      </c>
      <c r="D5" s="2350" t="s">
        <v>2442</v>
      </c>
      <c r="E5" s="2344"/>
      <c r="F5" s="2345"/>
      <c r="G5" s="1946"/>
      <c r="H5" s="771">
        <v>1</v>
      </c>
      <c r="I5" s="772" t="s">
        <v>2439</v>
      </c>
      <c r="J5" s="55">
        <f ca="1">J6+J10+J12</f>
        <v>0</v>
      </c>
      <c r="K5" s="2350" t="s">
        <v>2442</v>
      </c>
      <c r="L5" s="2344"/>
      <c r="M5" s="2345"/>
    </row>
    <row r="6" spans="1:33" ht="18" customHeight="1">
      <c r="A6" s="1746" t="s">
        <v>1815</v>
      </c>
      <c r="B6" s="3519" t="s">
        <v>2444</v>
      </c>
      <c r="C6" s="773">
        <f ca="1">ROUND(F6*F8*F7*(1-F9)/10000,0)</f>
        <v>181</v>
      </c>
      <c r="D6" s="2351" t="s">
        <v>2443</v>
      </c>
      <c r="E6" s="774" t="s">
        <v>1729</v>
      </c>
      <c r="F6" s="775">
        <f ca="1">INDIRECT("'数据-取费表'!u"&amp;$G$1)</f>
        <v>1.1000000000000001</v>
      </c>
      <c r="G6" s="1946"/>
      <c r="H6" s="2358" t="s">
        <v>2449</v>
      </c>
      <c r="I6" s="3519" t="s">
        <v>2444</v>
      </c>
      <c r="J6" s="773">
        <f ca="1">ROUND(M6*M8*M7*(1-M9)/10000,0)</f>
        <v>0</v>
      </c>
      <c r="K6" s="339" t="s">
        <v>1728</v>
      </c>
      <c r="L6" s="774" t="s">
        <v>1729</v>
      </c>
      <c r="M6" s="775">
        <f ca="1">INDIRECT("'数据-取费表'!z"&amp;$G$1)</f>
        <v>0</v>
      </c>
    </row>
    <row r="7" spans="1:33" ht="18" customHeight="1">
      <c r="A7" s="2354"/>
      <c r="B7" s="3520"/>
      <c r="C7" s="778"/>
      <c r="D7" s="779"/>
      <c r="E7" s="774" t="s">
        <v>1730</v>
      </c>
      <c r="F7" s="775">
        <f ca="1">IF(INDIRECT("'数据-取费表'!ah"&amp;$G$1)="",INDIRECT("'数据-取费表'!k"&amp;$G$1),INDIRECT("'数据-取费表'!ah"&amp;$G$1))</f>
        <v>5000</v>
      </c>
      <c r="G7" s="1946"/>
      <c r="H7" s="2343"/>
      <c r="I7" s="3520"/>
      <c r="J7" s="778"/>
      <c r="K7" s="779"/>
      <c r="L7" s="774" t="s">
        <v>1730</v>
      </c>
      <c r="M7" s="775">
        <f ca="1">F7</f>
        <v>5000</v>
      </c>
    </row>
    <row r="8" spans="1:33" ht="18" customHeight="1">
      <c r="A8" s="2347"/>
      <c r="B8" s="3521"/>
      <c r="C8" s="778"/>
      <c r="D8" s="779"/>
      <c r="E8" s="774" t="s">
        <v>1731</v>
      </c>
      <c r="F8" s="775">
        <f ca="1">INDIRECT("'数据-取费表'!ai"&amp;$G$1)</f>
        <v>365</v>
      </c>
      <c r="G8" s="1946"/>
      <c r="H8" s="2343"/>
      <c r="I8" s="3521"/>
      <c r="J8" s="778"/>
      <c r="K8" s="779"/>
      <c r="L8" s="774" t="s">
        <v>1731</v>
      </c>
      <c r="M8" s="775">
        <f ca="1">INDIRECT("'数据-取费表'!ai"&amp;$G$1)</f>
        <v>365</v>
      </c>
    </row>
    <row r="9" spans="1:33" ht="18" customHeight="1">
      <c r="A9" s="776"/>
      <c r="B9" s="3522"/>
      <c r="C9" s="778"/>
      <c r="D9" s="779"/>
      <c r="E9" s="774" t="s">
        <v>1732</v>
      </c>
      <c r="F9" s="784">
        <f ca="1">INDIRECT("'数据-取费表'!w"&amp;$G$1)</f>
        <v>0.1</v>
      </c>
      <c r="G9" s="1946"/>
      <c r="H9" s="2359"/>
      <c r="I9" s="352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3013</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1094</v>
      </c>
      <c r="D13" s="1750" t="s">
        <v>2284</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800</v>
      </c>
      <c r="D14" s="1894" t="s">
        <v>1736</v>
      </c>
      <c r="E14" s="1895"/>
      <c r="F14" s="795"/>
      <c r="G14" s="1946"/>
      <c r="H14" s="1578" t="s">
        <v>1821</v>
      </c>
      <c r="I14" s="2112" t="s">
        <v>2805</v>
      </c>
      <c r="J14" s="53">
        <f ca="1">C29</f>
        <v>1094</v>
      </c>
      <c r="K14" s="26"/>
      <c r="L14" s="791"/>
      <c r="M14" s="792"/>
    </row>
    <row r="15" spans="1:33" s="1948" customFormat="1" ht="18" customHeight="1" thickBot="1">
      <c r="A15" s="1577" t="s">
        <v>1876</v>
      </c>
      <c r="B15" s="774" t="s">
        <v>641</v>
      </c>
      <c r="C15" s="53">
        <f ca="1">ROUND(C14*F15,0)</f>
        <v>24</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104</v>
      </c>
      <c r="K16" s="1737" t="s">
        <v>1741</v>
      </c>
      <c r="L16" s="2340"/>
      <c r="M16" s="2345"/>
    </row>
    <row r="17" spans="1:33" s="1948" customFormat="1" ht="18" customHeight="1">
      <c r="A17" s="1577" t="s">
        <v>1878</v>
      </c>
      <c r="B17" s="774" t="s">
        <v>647</v>
      </c>
      <c r="C17" s="53">
        <f ca="1">ROUND(F17*(F43+INDIRECT("'数据-取费表'!S"&amp;$G$1))/10000,0)</f>
        <v>100</v>
      </c>
      <c r="D17" s="774" t="s">
        <v>1742</v>
      </c>
      <c r="E17" s="774" t="s">
        <v>1743</v>
      </c>
      <c r="F17" s="56">
        <f>'数据-取费表'!B35</f>
        <v>200</v>
      </c>
      <c r="G17" s="3262"/>
      <c r="H17" s="1578" t="s">
        <v>1821</v>
      </c>
      <c r="I17" s="774" t="s">
        <v>650</v>
      </c>
      <c r="J17" s="3020">
        <f ca="1">ROUND(IF(AND(项目基本情况!B11="自然人",项目基本情况!B10="北京市"),J6*M17/(1+'数据-取费表'!C42),J18+J19+J20),0)</f>
        <v>93</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12</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936</v>
      </c>
      <c r="D19" s="259" t="s">
        <v>1748</v>
      </c>
      <c r="E19" s="1897"/>
      <c r="F19" s="56"/>
      <c r="G19" s="1946"/>
      <c r="H19" s="1577" t="s">
        <v>1876</v>
      </c>
      <c r="I19" s="774" t="s">
        <v>1749</v>
      </c>
      <c r="J19" s="53">
        <f ca="1">IF(K19="按租金收入计税",ROUND(J6*M19/(1+'数据-取费表'!C42),1),ROUND(C29*F33*0.7,1))</f>
        <v>91.9</v>
      </c>
      <c r="K19" s="800" t="s">
        <v>659</v>
      </c>
      <c r="L19" s="774" t="s">
        <v>1738</v>
      </c>
      <c r="M19" s="799">
        <f>IF(K19="按租金收入计税",'数据-取费表'!B51,'数据-取费表'!B50)</f>
        <v>1.2E-2</v>
      </c>
    </row>
    <row r="20" spans="1:33" s="1948" customFormat="1" ht="18" customHeight="1">
      <c r="A20" s="1578" t="s">
        <v>1880</v>
      </c>
      <c r="B20" s="774" t="s">
        <v>660</v>
      </c>
      <c r="C20" s="53">
        <f ca="1">ROUND(C19*F20,0)</f>
        <v>14</v>
      </c>
      <c r="D20" s="801" t="s">
        <v>1750</v>
      </c>
      <c r="E20" s="774" t="s">
        <v>1738</v>
      </c>
      <c r="F20" s="799">
        <f>'数据-取费表'!B37</f>
        <v>1.4999999999999999E-2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1.4999999999999999E-2</v>
      </c>
      <c r="G21" s="3262"/>
      <c r="H21" s="2360"/>
      <c r="I21" s="783"/>
      <c r="J21" s="69"/>
      <c r="K21" s="805"/>
      <c r="L21" s="774" t="s">
        <v>1757</v>
      </c>
      <c r="M21" s="775">
        <f ca="1">INDIRECT("'数据-取费表'!r"&amp;$G$1)</f>
        <v>6316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11</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21</v>
      </c>
      <c r="D23" s="2424" t="str">
        <f>IF(F23&lt;=1,"(建造成本+管理费用)×利率×(建设周期÷2)","(建造成本+管理费用)×((1+利率)^(建设周期÷2)-1)")</f>
        <v>(建造成本+管理费用)×利率×(建设周期÷2)</v>
      </c>
      <c r="E23" s="774" t="s">
        <v>1761</v>
      </c>
      <c r="F23" s="632">
        <f>'数据-取费表'!B20</f>
        <v>1</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2.9999999999999997E-4</v>
      </c>
      <c r="D24" s="2424" t="str">
        <f>IF(F23&lt;=1,"销售费用×利率×(建设周期÷2)","销售费用×((1+利率)^(建设周期÷2)-1)")</f>
        <v>销售费用×利率×(建设周期÷2)</v>
      </c>
      <c r="E24" s="774" t="s">
        <v>1764</v>
      </c>
      <c r="F24" s="808">
        <f ca="1">'数据-取费表'!B40</f>
        <v>4.3499999999999997E-2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-104</v>
      </c>
      <c r="K25" s="2402" t="s">
        <v>1768</v>
      </c>
      <c r="L25" s="2403"/>
      <c r="M25" s="2404"/>
    </row>
    <row r="26" spans="1:33" ht="18" customHeight="1">
      <c r="A26" s="1577" t="s">
        <v>1822</v>
      </c>
      <c r="B26" s="774" t="s">
        <v>2421</v>
      </c>
      <c r="C26" s="53">
        <f ca="1">ROUND((C19+C20)*F26,0)</f>
        <v>48</v>
      </c>
      <c r="D26" s="801" t="s">
        <v>1769</v>
      </c>
      <c r="E26" s="785" t="s">
        <v>1770</v>
      </c>
      <c r="F26" s="784">
        <f ca="1">INDIRECT("'数据-取费表'!q"&amp;$G$1)</f>
        <v>0.05</v>
      </c>
      <c r="G26" s="1946"/>
      <c r="H26" s="2356" t="s">
        <v>1771</v>
      </c>
      <c r="I26" s="2113" t="s">
        <v>2806</v>
      </c>
      <c r="J26" s="773">
        <f ca="1">IF(J5&lt;&gt;0,ROUND(J25*(1-((1+M28)/(1+M26))^M27)/(M26-M28),0),0)</f>
        <v>0</v>
      </c>
      <c r="K26" s="803" t="s">
        <v>1772</v>
      </c>
      <c r="L26" s="774" t="s">
        <v>2403</v>
      </c>
      <c r="M26" s="784">
        <f ca="1">INDIRECT("'数据-取费表'!I"&amp;$G$1)</f>
        <v>0.05</v>
      </c>
    </row>
    <row r="27" spans="1:33" ht="18" customHeight="1">
      <c r="A27" s="1577" t="s">
        <v>1823</v>
      </c>
      <c r="B27" s="774" t="s">
        <v>680</v>
      </c>
      <c r="C27" s="53">
        <f ca="1">ROUND(F21*F26,4)</f>
        <v>8.0000000000000004E-4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2286</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1094</v>
      </c>
      <c r="D29" s="2399"/>
      <c r="E29" s="2400"/>
      <c r="F29" s="2401"/>
      <c r="G29" s="3262"/>
      <c r="H29" s="812" t="s">
        <v>1778</v>
      </c>
      <c r="I29" s="813" t="s">
        <v>1779</v>
      </c>
      <c r="J29" s="814">
        <f ca="1">ROUND(J26/(1+F40)^F41,0)</f>
        <v>0</v>
      </c>
      <c r="K29" s="815" t="s">
        <v>1780</v>
      </c>
      <c r="L29" s="816"/>
      <c r="M29" s="817">
        <f ca="1">INDIRECT("'数据-取费表'!k"&amp;$G$1)</f>
        <v>5000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45</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31</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9.5</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20.7</v>
      </c>
      <c r="D33" s="800" t="s">
        <v>3014</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0.9</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6316</v>
      </c>
      <c r="G35" s="1946"/>
      <c r="H35" s="1949"/>
      <c r="I35" s="826" t="s">
        <v>1805</v>
      </c>
      <c r="J35" s="827">
        <f ca="1">ROUND(C13*J36,0)</f>
        <v>93</v>
      </c>
      <c r="K35" s="1962"/>
      <c r="L35" s="1961"/>
      <c r="M35" s="1961"/>
    </row>
    <row r="36" spans="1:18" ht="18" customHeight="1">
      <c r="A36" s="1578" t="s">
        <v>1880</v>
      </c>
      <c r="B36" s="774" t="s">
        <v>1793</v>
      </c>
      <c r="C36" s="53">
        <f ca="1">ROUND(C29*F36,1)</f>
        <v>10.9</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1.8</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136</v>
      </c>
      <c r="D39" s="2402" t="s">
        <v>1797</v>
      </c>
      <c r="E39" s="2403"/>
      <c r="F39" s="2404"/>
      <c r="G39" s="1946"/>
      <c r="H39" s="1961"/>
      <c r="I39" s="826" t="s">
        <v>1809</v>
      </c>
      <c r="J39" s="834">
        <f ca="1">ROUND(J35/C39,3)</f>
        <v>0.68400000000000005</v>
      </c>
      <c r="K39" s="1966"/>
      <c r="L39" s="1961"/>
      <c r="M39" s="1961"/>
    </row>
    <row r="40" spans="1:18" ht="18" customHeight="1">
      <c r="A40" s="771" t="s">
        <v>1886</v>
      </c>
      <c r="B40" s="2113" t="s">
        <v>2288</v>
      </c>
      <c r="C40" s="773">
        <f ca="1">ROUND(C39*(1-((1+F42)/(1+F40))^F41)/(F40-F42),0)</f>
        <v>2395</v>
      </c>
      <c r="D40" s="803" t="s">
        <v>1798</v>
      </c>
      <c r="E40" s="774" t="s">
        <v>2403</v>
      </c>
      <c r="F40" s="784">
        <f ca="1">INDIRECT("'数据-取费表'!I"&amp;$G$1)</f>
        <v>0.05</v>
      </c>
      <c r="G40" s="1946"/>
      <c r="H40" s="1946"/>
      <c r="I40" s="826" t="s">
        <v>1810</v>
      </c>
      <c r="J40" s="834">
        <f ca="1">1-J39</f>
        <v>0.31599999999999995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25.92</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0.45700000000000002</v>
      </c>
      <c r="K42" s="1965"/>
      <c r="L42" s="1901"/>
      <c r="M42" s="1901"/>
    </row>
    <row r="43" spans="1:18" ht="18" customHeight="1" thickBot="1">
      <c r="A43" s="812" t="s">
        <v>1778</v>
      </c>
      <c r="B43" s="813" t="s">
        <v>1801</v>
      </c>
      <c r="C43" s="814">
        <f ca="1">ROUND(C40*10000/F43,0)</f>
        <v>4790</v>
      </c>
      <c r="D43" s="815" t="s">
        <v>1802</v>
      </c>
      <c r="E43" s="816" t="s">
        <v>1803</v>
      </c>
      <c r="F43" s="817">
        <f ca="1">INDIRECT("'数据-取费表'!k"&amp;$G$1)</f>
        <v>5000</v>
      </c>
      <c r="G43" s="1946"/>
      <c r="H43" s="1901"/>
      <c r="I43" s="836" t="s">
        <v>1813</v>
      </c>
      <c r="J43" s="837">
        <f ca="1">1-J42</f>
        <v>0.54299999999999993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f ca="1">C67-C40</f>
        <v>-2596</v>
      </c>
      <c r="D46" s="3263"/>
      <c r="E46" s="3263"/>
      <c r="F46" s="3263"/>
      <c r="I46" s="2234" t="s">
        <v>2327</v>
      </c>
      <c r="J46" s="2235"/>
      <c r="K46" s="2236"/>
      <c r="L46" s="2812">
        <f>IF(OR(M47="住宅",D1="土地（套用方法）"),0,IF(L48&gt;J51,L60,J60))</f>
        <v>0</v>
      </c>
      <c r="M46" s="3264"/>
      <c r="O46" s="2250" t="s">
        <v>2394</v>
      </c>
      <c r="P46" s="1527"/>
      <c r="Q46" s="1535"/>
      <c r="R46" s="1527"/>
    </row>
    <row r="47" spans="1:18" s="1943" customFormat="1" ht="18" customHeight="1" thickBot="1">
      <c r="A47" s="2228">
        <v>1</v>
      </c>
      <c r="B47" s="2229" t="s">
        <v>629</v>
      </c>
      <c r="C47" s="2427">
        <f ca="1">C48+C52+C54</f>
        <v>0</v>
      </c>
      <c r="D47" s="3263"/>
      <c r="E47" s="3263"/>
      <c r="F47" s="3263"/>
      <c r="I47" s="2803" t="s">
        <v>2328</v>
      </c>
      <c r="J47" s="2237" t="s">
        <v>3015</v>
      </c>
      <c r="K47" s="2809" t="s">
        <v>2333</v>
      </c>
      <c r="L47" s="2813">
        <f ca="1">INDIRECT("'数据-取费表'!d"&amp;$G$1)</f>
        <v>50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t="s">
        <v>2334</v>
      </c>
      <c r="K48" s="2810" t="s">
        <v>2335</v>
      </c>
      <c r="L48" s="1823">
        <f ca="1">INDIRECT("'数据-取费表'!f"&amp;$G$1)</f>
        <v>26.92</v>
      </c>
      <c r="M48" s="3264"/>
      <c r="O48" s="2254" t="s">
        <v>2363</v>
      </c>
      <c r="P48" s="2255" t="s">
        <v>2389</v>
      </c>
      <c r="Q48" s="2256">
        <f ca="1">C40+J29</f>
        <v>2395</v>
      </c>
      <c r="R48" s="2255" t="s">
        <v>2364</v>
      </c>
    </row>
    <row r="49" spans="1:18" s="1943" customFormat="1" ht="18" customHeight="1" thickBot="1">
      <c r="A49" s="776"/>
      <c r="B49" s="777"/>
      <c r="C49" s="778"/>
      <c r="D49" s="779"/>
      <c r="E49" s="774" t="s">
        <v>1730</v>
      </c>
      <c r="F49" s="775">
        <f ca="1">F7</f>
        <v>5000</v>
      </c>
      <c r="G49" s="1973"/>
      <c r="H49" s="1976"/>
      <c r="I49" s="2800" t="s">
        <v>2330</v>
      </c>
      <c r="J49" s="2239"/>
      <c r="K49" s="2811" t="s">
        <v>2336</v>
      </c>
      <c r="L49" s="2240"/>
      <c r="M49" s="3264"/>
      <c r="O49" s="2254" t="s">
        <v>2365</v>
      </c>
      <c r="P49" s="2255" t="s">
        <v>2390</v>
      </c>
      <c r="Q49" s="2256" t="str">
        <f ca="1">J60</f>
        <v>0</v>
      </c>
      <c r="R49" s="2255" t="s">
        <v>2366</v>
      </c>
    </row>
    <row r="50" spans="1:18" s="1943" customFormat="1" ht="18" customHeight="1" thickBot="1">
      <c r="A50" s="776"/>
      <c r="B50" s="777"/>
      <c r="C50" s="778"/>
      <c r="D50" s="779"/>
      <c r="E50" s="774" t="s">
        <v>1731</v>
      </c>
      <c r="F50" s="775">
        <f ca="1">F8</f>
        <v>365</v>
      </c>
      <c r="G50" s="1978"/>
      <c r="H50" s="1976"/>
      <c r="I50" s="2800" t="s">
        <v>2331</v>
      </c>
      <c r="J50" s="2807">
        <f>SUMPRODUCT((I63:I65=J47)*(J62:L62=J48)*(J63:L65))</f>
        <v>60</v>
      </c>
      <c r="K50" s="2811" t="s">
        <v>2337</v>
      </c>
      <c r="L50" s="2240"/>
      <c r="M50" s="3264"/>
      <c r="O50" s="2257" t="s">
        <v>2367</v>
      </c>
      <c r="P50" s="2255" t="s">
        <v>2391</v>
      </c>
      <c r="Q50" s="2256">
        <f ca="1">C29</f>
        <v>1094</v>
      </c>
      <c r="R50" s="2255" t="s">
        <v>2364</v>
      </c>
    </row>
    <row r="51" spans="1:18" s="1943" customFormat="1" ht="18" customHeight="1" thickBot="1">
      <c r="A51" s="776"/>
      <c r="B51" s="777"/>
      <c r="C51" s="778"/>
      <c r="D51" s="779"/>
      <c r="E51" s="774" t="s">
        <v>634</v>
      </c>
      <c r="F51" s="2227"/>
      <c r="H51" s="1976"/>
      <c r="I51" s="2804" t="s">
        <v>2332</v>
      </c>
      <c r="J51" s="2808">
        <f>IF(J49="",J50,J49+J50-YEAR('数据-取费表'!B2))</f>
        <v>60</v>
      </c>
      <c r="K51" s="2800" t="s">
        <v>2338</v>
      </c>
      <c r="L51" s="2814">
        <f ca="1">ROUND(-PV(INDIRECT("'数据-取费表'!h"&amp;$G$1),J51,(C39-C13*J36),0),0)</f>
        <v>888</v>
      </c>
      <c r="M51" s="3264"/>
      <c r="O51" s="2257" t="s">
        <v>2368</v>
      </c>
      <c r="P51" s="2255" t="s">
        <v>2369</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2405</v>
      </c>
      <c r="J52" s="2241">
        <v>0.09</v>
      </c>
      <c r="K52" s="2805" t="s">
        <v>2404</v>
      </c>
      <c r="L52" s="2241"/>
      <c r="M52" s="3264"/>
      <c r="O52" s="2257" t="s">
        <v>2370</v>
      </c>
      <c r="P52" s="2255" t="s">
        <v>2371</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25.92</v>
      </c>
      <c r="K53" s="3517" t="s">
        <v>2931</v>
      </c>
      <c r="L53" s="3518"/>
      <c r="M53" s="3264"/>
      <c r="O53" s="2257" t="s">
        <v>2372</v>
      </c>
      <c r="P53" s="2255" t="s">
        <v>2373</v>
      </c>
      <c r="Q53" s="2256">
        <f ca="1">J53</f>
        <v>25.92</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2375</v>
      </c>
      <c r="P54" s="2255" t="s">
        <v>2392</v>
      </c>
      <c r="Q54" s="2256">
        <f ca="1">Q48+Q49</f>
        <v>2395</v>
      </c>
      <c r="R54" s="2259" t="s">
        <v>2376</v>
      </c>
    </row>
    <row r="55" spans="1:18" s="1943" customFormat="1" ht="18" customHeight="1" thickTop="1" thickBot="1">
      <c r="A55" s="787">
        <v>2</v>
      </c>
      <c r="B55" s="788" t="s">
        <v>638</v>
      </c>
      <c r="C55" s="789">
        <f ca="1">C13</f>
        <v>1094</v>
      </c>
      <c r="D55" s="785"/>
      <c r="E55" s="785"/>
      <c r="F55" s="790"/>
      <c r="I55" s="2817" t="s">
        <v>2339</v>
      </c>
      <c r="J55" s="2789" t="e">
        <f ca="1">ROUND(IF(J47="钢混",J57/J50,1-(1-2%)*(J50-J57)/J50),3)</f>
        <v>#VALUE!</v>
      </c>
      <c r="K55" s="2818" t="s">
        <v>2340</v>
      </c>
      <c r="L55" s="2242"/>
      <c r="M55" s="3264"/>
      <c r="O55" s="2260" t="s">
        <v>2395</v>
      </c>
      <c r="P55" s="1527"/>
      <c r="Q55" s="1535"/>
      <c r="R55" s="1527"/>
    </row>
    <row r="56" spans="1:18" s="1943" customFormat="1" ht="42.75" customHeight="1" thickBot="1">
      <c r="A56" s="1579"/>
      <c r="B56" s="2112" t="s">
        <v>2289</v>
      </c>
      <c r="C56" s="53">
        <f ca="1">C29</f>
        <v>1094</v>
      </c>
      <c r="D56" s="2482"/>
      <c r="E56" s="774"/>
      <c r="F56" s="799"/>
      <c r="I56" s="2819" t="s">
        <v>2341</v>
      </c>
      <c r="J56" s="2829" t="s">
        <v>1669</v>
      </c>
      <c r="K56" s="2800" t="s">
        <v>2346</v>
      </c>
      <c r="L56" s="1823" t="str">
        <f ca="1">IF(L48&lt;J51,"——",L48-J51)</f>
        <v>——</v>
      </c>
      <c r="M56" s="3264"/>
      <c r="O56" s="2251" t="s">
        <v>2359</v>
      </c>
      <c r="P56" s="2252" t="s">
        <v>2360</v>
      </c>
      <c r="Q56" s="2253" t="s">
        <v>2361</v>
      </c>
      <c r="R56" s="2252" t="s">
        <v>2362</v>
      </c>
    </row>
    <row r="57" spans="1:18" s="1943" customFormat="1" ht="28.5" customHeight="1" thickBot="1">
      <c r="A57" s="787" t="s">
        <v>1739</v>
      </c>
      <c r="B57" s="788" t="s">
        <v>645</v>
      </c>
      <c r="C57" s="789">
        <f ca="1">ROUND(C58+C63+C64+C65,0)</f>
        <v>14</v>
      </c>
      <c r="D57" s="26" t="s">
        <v>1741</v>
      </c>
      <c r="E57" s="2483"/>
      <c r="F57" s="56"/>
      <c r="I57" s="2820" t="s">
        <v>2342</v>
      </c>
      <c r="J57" s="2821" t="str">
        <f ca="1">IF(OR(M47="住宅",J51&lt;L48,J56="是"),"——",J51-L48)</f>
        <v>——</v>
      </c>
      <c r="K57" s="2800" t="s">
        <v>2347</v>
      </c>
      <c r="L57" s="1823" t="str">
        <f ca="1">IF(L48&lt;J51,"——",IF(L55="比较法",L49,IF(L55="基准地价",L50,L51)))</f>
        <v>——</v>
      </c>
      <c r="M57" s="3264"/>
      <c r="O57" s="2254" t="s">
        <v>2363</v>
      </c>
      <c r="P57" s="2255" t="s">
        <v>2393</v>
      </c>
      <c r="Q57" s="2256">
        <f ca="1">C40+J29</f>
        <v>2395</v>
      </c>
      <c r="R57" s="2255" t="s">
        <v>2364</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#VALUE!</v>
      </c>
      <c r="K58" s="2800" t="s">
        <v>2348</v>
      </c>
      <c r="L58" s="1823" t="e">
        <f ca="1">ROUND(POWER(1+L52,L47-L48)*(POWER(1+L52,L48)-1)/(POWER(1+L52,L47)-1),4)</f>
        <v>#DIV/0!</v>
      </c>
      <c r="M58" s="3264"/>
      <c r="O58" s="2254" t="s">
        <v>2365</v>
      </c>
      <c r="P58" s="2255" t="s">
        <v>2396</v>
      </c>
      <c r="Q58" s="2256">
        <f ca="1">L60</f>
        <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2344</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2345</v>
      </c>
      <c r="J60" s="2823" t="str">
        <f ca="1">IF(OR(M47="住宅",J51&lt;L48,J56="是"),"0",ROUND(J59/(1+J52)^J53,0))</f>
        <v>0</v>
      </c>
      <c r="K60" s="2824" t="s">
        <v>2350</v>
      </c>
      <c r="L60" s="2823">
        <f ca="1">IF(OR(M47="住宅",L48&lt;J51),0,ROUND(L57*(L58/L59-1),0))</f>
        <v>0</v>
      </c>
      <c r="M60" s="3264"/>
      <c r="O60" s="2257" t="s">
        <v>2368</v>
      </c>
      <c r="P60" s="2255" t="s">
        <v>2377</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6316</v>
      </c>
      <c r="I62" s="2825" t="s">
        <v>2351</v>
      </c>
      <c r="J62" s="2826" t="s">
        <v>2352</v>
      </c>
      <c r="K62" s="2826" t="s">
        <v>2353</v>
      </c>
      <c r="L62" s="2826" t="s">
        <v>2334</v>
      </c>
      <c r="M62" s="2827" t="s">
        <v>2910</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10.9</v>
      </c>
      <c r="D63" s="2482" t="s">
        <v>1794</v>
      </c>
      <c r="E63" s="774" t="s">
        <v>1738</v>
      </c>
      <c r="F63" s="806">
        <f t="shared" ca="1" si="0"/>
        <v>0.01</v>
      </c>
      <c r="I63" s="2825" t="s">
        <v>2354</v>
      </c>
      <c r="J63" s="2826">
        <v>70</v>
      </c>
      <c r="K63" s="2826">
        <v>50</v>
      </c>
      <c r="L63" s="2826">
        <v>80</v>
      </c>
      <c r="M63" s="2828">
        <v>0.02</v>
      </c>
      <c r="O63" s="2254" t="s">
        <v>2375</v>
      </c>
      <c r="P63" s="2255" t="s">
        <v>2392</v>
      </c>
      <c r="Q63" s="2256">
        <f ca="1">Q57+Q58</f>
        <v>2395</v>
      </c>
      <c r="R63" s="2259" t="s">
        <v>2376</v>
      </c>
    </row>
    <row r="64" spans="1:18" s="1943" customFormat="1" ht="16.5" thickBot="1">
      <c r="A64" s="1578" t="s">
        <v>1881</v>
      </c>
      <c r="B64" s="774" t="s">
        <v>673</v>
      </c>
      <c r="C64" s="53">
        <f ca="1">ROUND(C55*F64,1)</f>
        <v>1.6</v>
      </c>
      <c r="D64" s="2482" t="s">
        <v>674</v>
      </c>
      <c r="E64" s="774" t="s">
        <v>1738</v>
      </c>
      <c r="F64" s="807">
        <f t="shared" ca="1" si="0"/>
        <v>1.5E-3</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-14</v>
      </c>
      <c r="D66" s="2481" t="s">
        <v>694</v>
      </c>
      <c r="E66" s="2480"/>
      <c r="F66" s="809"/>
      <c r="K66" s="1969"/>
      <c r="O66" s="2254" t="s">
        <v>2363</v>
      </c>
      <c r="P66" s="2255" t="s">
        <v>2393</v>
      </c>
      <c r="Q66" s="2256">
        <f ca="1">C40+J29</f>
        <v>2395</v>
      </c>
      <c r="R66" s="2255" t="s">
        <v>2364</v>
      </c>
    </row>
    <row r="67" spans="1:18" s="1943" customFormat="1" ht="20.25" thickBot="1">
      <c r="A67" s="771" t="s">
        <v>1771</v>
      </c>
      <c r="B67" s="2113" t="s">
        <v>2288</v>
      </c>
      <c r="C67" s="773">
        <f ca="1">ROUND(C66*(1-((1+F69)/(1+F67))^F68)/(F67-F69),0)</f>
        <v>-201</v>
      </c>
      <c r="D67" s="803" t="s">
        <v>698</v>
      </c>
      <c r="E67" s="774" t="s">
        <v>699</v>
      </c>
      <c r="F67" s="784">
        <f ca="1">F40</f>
        <v>0.05</v>
      </c>
      <c r="K67" s="1969"/>
      <c r="O67" s="2254" t="s">
        <v>2365</v>
      </c>
      <c r="P67" s="2255" t="s">
        <v>2396</v>
      </c>
      <c r="Q67" s="2256">
        <f ca="1">L60</f>
        <v>0</v>
      </c>
      <c r="R67" s="2259" t="s">
        <v>2398</v>
      </c>
    </row>
    <row r="68" spans="1:18" ht="21.75" thickBot="1">
      <c r="A68" s="776"/>
      <c r="B68" s="777"/>
      <c r="C68" s="778"/>
      <c r="D68" s="810" t="s">
        <v>1799</v>
      </c>
      <c r="E68" s="774" t="s">
        <v>1775</v>
      </c>
      <c r="F68" s="811">
        <f ca="1">F41</f>
        <v>25.92</v>
      </c>
      <c r="O68" s="2257" t="s">
        <v>2367</v>
      </c>
      <c r="P68" s="2255" t="s">
        <v>2397</v>
      </c>
      <c r="Q68" s="2261">
        <f ca="1">L51</f>
        <v>888</v>
      </c>
      <c r="R68" s="2262" t="s">
        <v>2400</v>
      </c>
    </row>
    <row r="69" spans="1:18" ht="20.25" thickBot="1">
      <c r="A69" s="780"/>
      <c r="B69" s="781"/>
      <c r="C69" s="782"/>
      <c r="D69" s="805"/>
      <c r="E69" s="774" t="s">
        <v>704</v>
      </c>
      <c r="F69" s="2227"/>
      <c r="O69" s="2257" t="s">
        <v>2368</v>
      </c>
      <c r="P69" s="2263" t="s">
        <v>2382</v>
      </c>
      <c r="Q69" s="2256">
        <f ca="1">ROUND(Q70-Q71*Q72,0)</f>
        <v>43</v>
      </c>
      <c r="R69" s="2259"/>
    </row>
    <row r="70" spans="1:18" ht="15.75" thickBot="1">
      <c r="A70" s="812" t="s">
        <v>1778</v>
      </c>
      <c r="B70" s="813" t="s">
        <v>1801</v>
      </c>
      <c r="C70" s="814">
        <f ca="1">ROUND(C67*10000/F70,0)</f>
        <v>-402</v>
      </c>
      <c r="D70" s="815" t="s">
        <v>1802</v>
      </c>
      <c r="E70" s="816" t="s">
        <v>1803</v>
      </c>
      <c r="F70" s="817">
        <f ca="1">F43</f>
        <v>5000</v>
      </c>
      <c r="O70" s="2257" t="s">
        <v>2383</v>
      </c>
      <c r="P70" s="2263" t="s">
        <v>2384</v>
      </c>
      <c r="Q70" s="2256">
        <f ca="1">C39</f>
        <v>136</v>
      </c>
      <c r="R70" s="2255" t="s">
        <v>2364</v>
      </c>
    </row>
    <row r="71" spans="1:18" ht="15.75" thickBot="1">
      <c r="O71" s="2257" t="s">
        <v>2385</v>
      </c>
      <c r="P71" s="2263" t="s">
        <v>2386</v>
      </c>
      <c r="Q71" s="2256">
        <f ca="1">C13</f>
        <v>1094</v>
      </c>
      <c r="R71" s="2255" t="s">
        <v>2364</v>
      </c>
    </row>
    <row r="72" spans="1:18" ht="15.75" thickBot="1">
      <c r="O72" s="2257" t="s">
        <v>2387</v>
      </c>
      <c r="P72" s="2263" t="s">
        <v>2388</v>
      </c>
      <c r="Q72" s="2258">
        <f ca="1">J36</f>
        <v>8.5000000000000006E-2</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f ca="1">Q66+Q67</f>
        <v>2395</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3" priority="7">
      <formula>$L$48&gt;$J$51</formula>
    </cfRule>
  </conditionalFormatting>
  <conditionalFormatting sqref="I55">
    <cfRule type="expression" dxfId="162" priority="8">
      <formula>$J$51&gt;$L$48</formula>
    </cfRule>
  </conditionalFormatting>
  <conditionalFormatting sqref="I60">
    <cfRule type="expression" dxfId="161" priority="6">
      <formula>$J$51&gt;$L$48</formula>
    </cfRule>
  </conditionalFormatting>
  <conditionalFormatting sqref="K60">
    <cfRule type="expression" dxfId="160" priority="5">
      <formula>$L$48&gt;$J$51</formula>
    </cfRule>
  </conditionalFormatting>
  <conditionalFormatting sqref="C11">
    <cfRule type="expression" dxfId="159" priority="4">
      <formula>$F$10="自定义"</formula>
    </cfRule>
  </conditionalFormatting>
  <conditionalFormatting sqref="J11">
    <cfRule type="expression" dxfId="158" priority="2">
      <formula>$M$10="自定义"</formula>
    </cfRule>
  </conditionalFormatting>
  <conditionalFormatting sqref="C53">
    <cfRule type="expression" dxfId="15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C44" sqref="C4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f>F63</f>
        <v>836</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f>ROUND(B2*10000/'数据-汇总表'!E3,0)</f>
        <v>1672</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f>IF(B43="单位面积地价",C45,ROUND(B2*10000/'数据-汇总表'!D3,0))</f>
        <v>1324</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f>ROUND(B2/('数据-汇总表'!D3/666.67),0)</f>
        <v>88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539" t="s">
        <v>516</v>
      </c>
      <c r="D6" s="3540"/>
      <c r="E6" s="3541" t="s">
        <v>517</v>
      </c>
      <c r="F6" s="3542"/>
      <c r="G6" s="3539" t="s">
        <v>518</v>
      </c>
      <c r="H6" s="3540"/>
      <c r="I6" s="3539" t="s">
        <v>519</v>
      </c>
      <c r="J6" s="3540"/>
      <c r="K6" s="508" t="s">
        <v>520</v>
      </c>
      <c r="L6" s="2016"/>
      <c r="M6" s="2017"/>
      <c r="N6" s="2017"/>
      <c r="O6" s="2017"/>
      <c r="P6" s="3543" t="s">
        <v>521</v>
      </c>
      <c r="Q6" s="3544"/>
      <c r="R6" s="3525" t="s">
        <v>517</v>
      </c>
      <c r="S6" s="3526"/>
      <c r="T6" s="3525" t="s">
        <v>518</v>
      </c>
      <c r="U6" s="3526"/>
      <c r="V6" s="3551" t="s">
        <v>519</v>
      </c>
      <c r="W6" s="3551"/>
      <c r="X6" s="1502"/>
      <c r="Y6" s="3525" t="s">
        <v>521</v>
      </c>
      <c r="Z6" s="3526"/>
      <c r="AA6" s="3536" t="s">
        <v>517</v>
      </c>
      <c r="AB6" s="3537" t="s">
        <v>518</v>
      </c>
      <c r="AC6" s="3536" t="s">
        <v>519</v>
      </c>
    </row>
    <row r="7" spans="1:29" ht="15">
      <c r="A7" s="509"/>
      <c r="B7" s="510"/>
      <c r="C7" s="3529" t="s">
        <v>2897</v>
      </c>
      <c r="D7" s="3530"/>
      <c r="E7" s="3552" t="str">
        <f>Sheet1!A2</f>
        <v>北京经济技术开发区路东区A12-1地块工业项目国有建设用地使用权挂牌出让公告</v>
      </c>
      <c r="F7" s="3553"/>
      <c r="G7" s="3529" t="str">
        <f>Sheet1!A7</f>
        <v>北京经济技术开发区路南区N5M4地块工业项目</v>
      </c>
      <c r="H7" s="3530"/>
      <c r="I7" s="3529" t="str">
        <f>Sheet1!A8</f>
        <v>北京经济技术开发区路东区E7M1地块工业项目</v>
      </c>
      <c r="J7" s="3530"/>
      <c r="K7" s="508"/>
      <c r="L7" s="2016"/>
      <c r="M7" s="2017"/>
      <c r="N7" s="2017"/>
      <c r="O7" s="2017"/>
      <c r="P7" s="3545"/>
      <c r="Q7" s="3546"/>
      <c r="R7" s="3527"/>
      <c r="S7" s="3528"/>
      <c r="T7" s="3527"/>
      <c r="U7" s="3528"/>
      <c r="V7" s="3551"/>
      <c r="W7" s="3551"/>
      <c r="X7" s="1502"/>
      <c r="Y7" s="3527"/>
      <c r="Z7" s="3528"/>
      <c r="AA7" s="3537"/>
      <c r="AB7" s="3537"/>
      <c r="AC7" s="3537"/>
    </row>
    <row r="8" spans="1:29" ht="15.75" thickBot="1">
      <c r="A8" s="511"/>
      <c r="B8" s="512"/>
      <c r="C8" s="3531" t="s">
        <v>2901</v>
      </c>
      <c r="D8" s="3532"/>
      <c r="E8" s="3534" t="s">
        <v>2901</v>
      </c>
      <c r="F8" s="3535"/>
      <c r="G8" s="3531" t="s">
        <v>2901</v>
      </c>
      <c r="H8" s="3532"/>
      <c r="I8" s="3531" t="s">
        <v>2901</v>
      </c>
      <c r="J8" s="3532"/>
      <c r="K8" s="508" t="s">
        <v>522</v>
      </c>
      <c r="L8" s="2016"/>
      <c r="M8" s="2017"/>
      <c r="N8" s="2017"/>
      <c r="O8" s="2017"/>
      <c r="P8" s="3547"/>
      <c r="Q8" s="3548"/>
      <c r="R8" s="3527"/>
      <c r="S8" s="3528"/>
      <c r="T8" s="3549"/>
      <c r="U8" s="3550"/>
      <c r="V8" s="3551"/>
      <c r="W8" s="3551"/>
      <c r="X8" s="1502"/>
      <c r="Y8" s="3549"/>
      <c r="Z8" s="3550"/>
      <c r="AA8" s="3538"/>
      <c r="AB8" s="3538"/>
      <c r="AC8" s="3538"/>
    </row>
    <row r="9" spans="1:29" s="1203" customFormat="1" ht="15.75" thickBot="1">
      <c r="A9" s="2630"/>
      <c r="B9" s="2637" t="s">
        <v>523</v>
      </c>
      <c r="C9" s="513">
        <f>'数据-取费表'!B2</f>
        <v>44098</v>
      </c>
      <c r="D9" s="514">
        <v>100</v>
      </c>
      <c r="E9" s="515" t="str">
        <f>Sheet1!J2</f>
        <v>2020-09-10</v>
      </c>
      <c r="F9" s="516">
        <f>SUMIF(67:67,YEAR(E9)&amp;"-"&amp;INT((MONTH(E9)+2)/3),68:68)</f>
        <v>100</v>
      </c>
      <c r="G9" s="517" t="str">
        <f>Sheet1!J7</f>
        <v>2020-04-06</v>
      </c>
      <c r="H9" s="514">
        <f>SUMIF(67:67,YEAR(G9)&amp;"-"&amp;INT((MONTH(G9)+2)/3),68:68)</f>
        <v>99.5</v>
      </c>
      <c r="I9" s="517" t="str">
        <f>Sheet1!J8</f>
        <v>2020-03-26</v>
      </c>
      <c r="J9" s="514">
        <f>SUMIF(67:67,YEAR(I9)&amp;"-"&amp;INT((MONTH(I9)+2)/3),68:68)</f>
        <v>99</v>
      </c>
      <c r="K9" s="518"/>
      <c r="L9" s="2018"/>
      <c r="M9" s="2019"/>
      <c r="N9" s="2019"/>
      <c r="O9" s="2019"/>
      <c r="P9" s="3523" t="s">
        <v>524</v>
      </c>
      <c r="Q9" s="3533"/>
      <c r="R9" s="1503" t="s">
        <v>8</v>
      </c>
      <c r="S9" s="1504">
        <f t="shared" ref="S9:S17" si="0">F9</f>
        <v>100</v>
      </c>
      <c r="T9" s="1503" t="s">
        <v>8</v>
      </c>
      <c r="U9" s="1504">
        <f t="shared" ref="U9:U17" si="1">H9</f>
        <v>99.5</v>
      </c>
      <c r="V9" s="1503" t="s">
        <v>8</v>
      </c>
      <c r="W9" s="1504">
        <f t="shared" ref="W9:W17" si="2">J9</f>
        <v>99</v>
      </c>
      <c r="X9" s="1505"/>
      <c r="Y9" s="3523" t="s">
        <v>524</v>
      </c>
      <c r="Z9" s="3524"/>
      <c r="AA9" s="1506">
        <f>D9/F9</f>
        <v>1</v>
      </c>
      <c r="AB9" s="1506">
        <f>D9/H9</f>
        <v>1.0050251256281406</v>
      </c>
      <c r="AC9" s="1506">
        <f>D9/J9</f>
        <v>1.0101010101010102</v>
      </c>
    </row>
    <row r="10" spans="1:29" s="1203" customFormat="1" ht="15.75" thickBot="1">
      <c r="A10" s="2631"/>
      <c r="B10" s="2638" t="s">
        <v>525</v>
      </c>
      <c r="C10" s="519" t="s">
        <v>526</v>
      </c>
      <c r="D10" s="514">
        <v>100</v>
      </c>
      <c r="E10" s="519" t="s">
        <v>3080</v>
      </c>
      <c r="F10" s="516">
        <f>SUMIF(70:70,E10,71:71)-SUMIF(70:70,C10,71:71)+100</f>
        <v>100</v>
      </c>
      <c r="G10" s="519" t="s">
        <v>3080</v>
      </c>
      <c r="H10" s="514">
        <f>SUMIF(70:70,G10,71:71)-SUMIF(70:70,C10,71:71)+100</f>
        <v>100</v>
      </c>
      <c r="I10" s="519" t="s">
        <v>3080</v>
      </c>
      <c r="J10" s="514">
        <f>SUMIF(70:70,I10,71:71)-SUMIF(70:70,C10,71:71)+100</f>
        <v>100</v>
      </c>
      <c r="K10" s="518"/>
      <c r="L10" s="2018"/>
      <c r="M10" s="2019"/>
      <c r="N10" s="2019"/>
      <c r="O10" s="2019"/>
      <c r="P10" s="3523" t="s">
        <v>527</v>
      </c>
      <c r="Q10" s="3524"/>
      <c r="R10" s="1503" t="s">
        <v>8</v>
      </c>
      <c r="S10" s="1504">
        <f t="shared" si="0"/>
        <v>100</v>
      </c>
      <c r="T10" s="1503" t="s">
        <v>8</v>
      </c>
      <c r="U10" s="1504">
        <f t="shared" si="1"/>
        <v>100</v>
      </c>
      <c r="V10" s="1503" t="s">
        <v>8</v>
      </c>
      <c r="W10" s="1504">
        <f t="shared" si="2"/>
        <v>100</v>
      </c>
      <c r="X10" s="1505"/>
      <c r="Y10" s="3523" t="s">
        <v>527</v>
      </c>
      <c r="Z10" s="3524"/>
      <c r="AA10" s="1506">
        <f t="shared" ref="AA10:AA42" si="3">D10/F10</f>
        <v>1</v>
      </c>
      <c r="AB10" s="1506">
        <f t="shared" ref="AB10:AB42" si="4">D10/H10</f>
        <v>1</v>
      </c>
      <c r="AC10" s="1506">
        <f t="shared" ref="AC10:AC42" si="5">D10/J10</f>
        <v>1</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58"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29" s="1292" customFormat="1" ht="27">
      <c r="A12" s="2633"/>
      <c r="B12" s="2638" t="s">
        <v>2737</v>
      </c>
      <c r="C12" s="522">
        <f>项目基本情况!I19</f>
        <v>26.92</v>
      </c>
      <c r="D12" s="253">
        <v>100</v>
      </c>
      <c r="E12" s="522">
        <v>20</v>
      </c>
      <c r="F12" s="253">
        <f>ROUND(100*Sheet2!G10/'数据-取费表'!G16,0)</f>
        <v>84</v>
      </c>
      <c r="G12" s="522">
        <v>20</v>
      </c>
      <c r="H12" s="253">
        <f>F12</f>
        <v>84</v>
      </c>
      <c r="I12" s="522">
        <v>20</v>
      </c>
      <c r="J12" s="253">
        <f>F12</f>
        <v>84</v>
      </c>
      <c r="K12" s="525"/>
      <c r="L12" s="2021"/>
      <c r="M12" s="2060"/>
      <c r="N12" s="2060"/>
      <c r="O12" s="2022"/>
      <c r="P12" s="3558"/>
      <c r="Q12" s="1134" t="str">
        <f t="shared" si="6"/>
        <v>土地使用年限（年）</v>
      </c>
      <c r="R12" s="1503" t="s">
        <v>8</v>
      </c>
      <c r="S12" s="1504">
        <f t="shared" si="0"/>
        <v>84</v>
      </c>
      <c r="T12" s="1503" t="s">
        <v>8</v>
      </c>
      <c r="U12" s="1504">
        <f t="shared" si="1"/>
        <v>84</v>
      </c>
      <c r="V12" s="1503" t="s">
        <v>8</v>
      </c>
      <c r="W12" s="1504">
        <f t="shared" si="2"/>
        <v>84</v>
      </c>
      <c r="X12" s="1505"/>
      <c r="Y12" s="3445"/>
      <c r="Z12" s="1133" t="str">
        <f t="shared" si="7"/>
        <v>土地使用年限（年）</v>
      </c>
      <c r="AA12" s="1506">
        <f t="shared" si="3"/>
        <v>1.1904761904761905</v>
      </c>
      <c r="AB12" s="1506">
        <f t="shared" si="4"/>
        <v>1.1904761904761905</v>
      </c>
      <c r="AC12" s="1506">
        <f t="shared" si="5"/>
        <v>1.1904761904761905</v>
      </c>
    </row>
    <row r="13" spans="1:29" ht="15">
      <c r="A13" s="2634"/>
      <c r="B13" s="2638" t="s">
        <v>2738</v>
      </c>
      <c r="C13" s="527">
        <f>'数据-汇总表'!I4</f>
        <v>0.79</v>
      </c>
      <c r="D13" s="253">
        <v>100</v>
      </c>
      <c r="E13" s="527">
        <v>2</v>
      </c>
      <c r="F13" s="253">
        <f>LOOKUP(E13,77:77,78:78)-LOOKUP(C13,77:77,78:78)+100</f>
        <v>96</v>
      </c>
      <c r="G13" s="528">
        <v>2.37</v>
      </c>
      <c r="H13" s="253">
        <f>LOOKUP(G13,77:77,78:78)-LOOKUP(C13,77:77,78:78)+100</f>
        <v>96</v>
      </c>
      <c r="I13" s="527">
        <v>1.7</v>
      </c>
      <c r="J13" s="253">
        <f>LOOKUP(I13,77:77,78:78)-LOOKUP(C13,77:77,78:78)+100</f>
        <v>98</v>
      </c>
      <c r="K13" s="529">
        <v>2</v>
      </c>
      <c r="L13" s="2023"/>
      <c r="M13" s="2017"/>
      <c r="N13" s="2017"/>
      <c r="O13" s="2024"/>
      <c r="P13" s="3558"/>
      <c r="Q13" s="1134" t="str">
        <f t="shared" si="6"/>
        <v>容积率</v>
      </c>
      <c r="R13" s="1503" t="s">
        <v>8</v>
      </c>
      <c r="S13" s="1504">
        <f t="shared" si="0"/>
        <v>96</v>
      </c>
      <c r="T13" s="1503" t="s">
        <v>8</v>
      </c>
      <c r="U13" s="1504">
        <f t="shared" si="1"/>
        <v>96</v>
      </c>
      <c r="V13" s="1503" t="s">
        <v>8</v>
      </c>
      <c r="W13" s="1504">
        <f t="shared" si="2"/>
        <v>98</v>
      </c>
      <c r="X13" s="1505"/>
      <c r="Y13" s="3445"/>
      <c r="Z13" s="1133" t="str">
        <f t="shared" si="7"/>
        <v>容积率</v>
      </c>
      <c r="AA13" s="1506">
        <f t="shared" si="3"/>
        <v>1.0416666666666667</v>
      </c>
      <c r="AB13" s="1506">
        <f t="shared" si="4"/>
        <v>1.0416666666666667</v>
      </c>
      <c r="AC13" s="1506">
        <f t="shared" si="5"/>
        <v>1.0204081632653061</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58"/>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58"/>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54" t="s">
        <v>534</v>
      </c>
      <c r="Q17" s="1507" t="str">
        <f t="shared" si="6"/>
        <v>产业集聚程度</v>
      </c>
      <c r="R17" s="1508" t="s">
        <v>8</v>
      </c>
      <c r="S17" s="1509">
        <f t="shared" si="0"/>
        <v>100</v>
      </c>
      <c r="T17" s="1508" t="s">
        <v>8</v>
      </c>
      <c r="U17" s="1509">
        <f t="shared" si="1"/>
        <v>100</v>
      </c>
      <c r="V17" s="1508" t="s">
        <v>8</v>
      </c>
      <c r="W17" s="1509">
        <f t="shared" si="2"/>
        <v>100</v>
      </c>
      <c r="X17" s="1502"/>
      <c r="Y17" s="355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55"/>
      <c r="Q18" s="1507"/>
      <c r="R18" s="1508"/>
      <c r="S18" s="1509"/>
      <c r="T18" s="1508"/>
      <c r="U18" s="1509"/>
      <c r="V18" s="1508"/>
      <c r="W18" s="1509"/>
      <c r="X18" s="1502"/>
      <c r="Y18" s="355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55"/>
      <c r="Q19" s="1507" t="str">
        <f>B19</f>
        <v>交通便捷度</v>
      </c>
      <c r="R19" s="1508" t="s">
        <v>8</v>
      </c>
      <c r="S19" s="1509">
        <f>F19</f>
        <v>100</v>
      </c>
      <c r="T19" s="1508" t="s">
        <v>8</v>
      </c>
      <c r="U19" s="1509">
        <f>H19</f>
        <v>100</v>
      </c>
      <c r="V19" s="1508" t="s">
        <v>8</v>
      </c>
      <c r="W19" s="1509">
        <f>J19</f>
        <v>100</v>
      </c>
      <c r="X19" s="1502"/>
      <c r="Y19" s="355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55"/>
      <c r="Q21" s="1507" t="str">
        <f t="shared" ref="Q21:Q35" si="8">B21</f>
        <v>区域土地利用方向</v>
      </c>
      <c r="R21" s="1508" t="s">
        <v>8</v>
      </c>
      <c r="S21" s="1509">
        <f>F21</f>
        <v>100</v>
      </c>
      <c r="T21" s="1508" t="s">
        <v>8</v>
      </c>
      <c r="U21" s="1509">
        <f>H21</f>
        <v>100</v>
      </c>
      <c r="V21" s="1508" t="s">
        <v>8</v>
      </c>
      <c r="W21" s="1509">
        <f>J21</f>
        <v>100</v>
      </c>
      <c r="X21" s="1502"/>
      <c r="Y21" s="355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55"/>
      <c r="Q22" s="1507"/>
      <c r="R22" s="1508"/>
      <c r="S22" s="1509"/>
      <c r="T22" s="1508"/>
      <c r="U22" s="1509"/>
      <c r="V22" s="1508"/>
      <c r="W22" s="1509"/>
      <c r="X22" s="1502"/>
      <c r="Y22" s="355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55"/>
      <c r="Q23" s="1507" t="str">
        <f t="shared" si="8"/>
        <v>环境状况</v>
      </c>
      <c r="R23" s="1508" t="s">
        <v>8</v>
      </c>
      <c r="S23" s="1509">
        <f>F23</f>
        <v>100</v>
      </c>
      <c r="T23" s="1508" t="s">
        <v>8</v>
      </c>
      <c r="U23" s="1509">
        <f>H23</f>
        <v>100</v>
      </c>
      <c r="V23" s="1508" t="s">
        <v>8</v>
      </c>
      <c r="W23" s="1509">
        <f>J23</f>
        <v>100</v>
      </c>
      <c r="X23" s="1502"/>
      <c r="Y23" s="355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55"/>
      <c r="Q24" s="1507"/>
      <c r="R24" s="1508"/>
      <c r="S24" s="1509"/>
      <c r="T24" s="1508"/>
      <c r="U24" s="1509"/>
      <c r="V24" s="1508"/>
      <c r="W24" s="1509"/>
      <c r="X24" s="1502"/>
      <c r="Y24" s="3555"/>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55"/>
      <c r="Q25" s="1134" t="str">
        <f t="shared" si="8"/>
        <v>公共配套设施</v>
      </c>
      <c r="R25" s="1503" t="s">
        <v>8</v>
      </c>
      <c r="S25" s="1504">
        <f>F25</f>
        <v>100</v>
      </c>
      <c r="T25" s="1503" t="s">
        <v>8</v>
      </c>
      <c r="U25" s="1504">
        <f>H25</f>
        <v>100</v>
      </c>
      <c r="V25" s="1503" t="s">
        <v>8</v>
      </c>
      <c r="W25" s="1504">
        <f>J25</f>
        <v>100</v>
      </c>
      <c r="X25" s="1505"/>
      <c r="Y25" s="3555"/>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55"/>
      <c r="Q26" s="1134"/>
      <c r="R26" s="1503"/>
      <c r="S26" s="1504"/>
      <c r="T26" s="1503"/>
      <c r="U26" s="1504"/>
      <c r="V26" s="1503"/>
      <c r="W26" s="1504"/>
      <c r="X26" s="1505"/>
      <c r="Y26" s="3555"/>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55"/>
      <c r="Q27" s="2429" t="str">
        <f t="shared" ref="Q27" si="9">B27</f>
        <v>基础设施水平</v>
      </c>
      <c r="R27" s="1503" t="s">
        <v>8</v>
      </c>
      <c r="S27" s="1504">
        <f>F27</f>
        <v>100</v>
      </c>
      <c r="T27" s="1503" t="s">
        <v>8</v>
      </c>
      <c r="U27" s="1504">
        <f>H27</f>
        <v>100</v>
      </c>
      <c r="V27" s="1503" t="s">
        <v>8</v>
      </c>
      <c r="W27" s="1504">
        <f>J27</f>
        <v>100</v>
      </c>
      <c r="X27" s="1505"/>
      <c r="Y27" s="3555"/>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55"/>
      <c r="Q28" s="2429"/>
      <c r="R28" s="1503"/>
      <c r="S28" s="1504"/>
      <c r="T28" s="1503"/>
      <c r="U28" s="1504"/>
      <c r="V28" s="1503"/>
      <c r="W28" s="1504"/>
      <c r="X28" s="1505"/>
      <c r="Y28" s="3555"/>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5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55"/>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55"/>
      <c r="Q30" s="1507" t="str">
        <f t="shared" si="8"/>
        <v>毗邻道路的类型与等级</v>
      </c>
      <c r="R30" s="1508" t="s">
        <v>8</v>
      </c>
      <c r="S30" s="1509">
        <f t="shared" si="10"/>
        <v>100</v>
      </c>
      <c r="T30" s="1508" t="s">
        <v>8</v>
      </c>
      <c r="U30" s="1509">
        <f t="shared" si="11"/>
        <v>100</v>
      </c>
      <c r="V30" s="1508" t="s">
        <v>8</v>
      </c>
      <c r="W30" s="1509">
        <f t="shared" si="12"/>
        <v>100</v>
      </c>
      <c r="X30" s="1502"/>
      <c r="Y30" s="355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55"/>
      <c r="Q31" s="1507"/>
      <c r="R31" s="1508"/>
      <c r="S31" s="1509"/>
      <c r="T31" s="1508"/>
      <c r="U31" s="1509"/>
      <c r="V31" s="1508"/>
      <c r="W31" s="1509"/>
      <c r="X31" s="1502"/>
      <c r="Y31" s="3555"/>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55"/>
      <c r="Q32" s="1507" t="str">
        <f t="shared" si="8"/>
        <v>土地级别</v>
      </c>
      <c r="R32" s="1508" t="s">
        <v>8</v>
      </c>
      <c r="S32" s="1509">
        <f t="shared" si="10"/>
        <v>100</v>
      </c>
      <c r="T32" s="1508" t="s">
        <v>8</v>
      </c>
      <c r="U32" s="1509">
        <f t="shared" si="11"/>
        <v>100</v>
      </c>
      <c r="V32" s="1508" t="s">
        <v>8</v>
      </c>
      <c r="W32" s="1509">
        <f t="shared" si="12"/>
        <v>100</v>
      </c>
      <c r="X32" s="1502"/>
      <c r="Y32" s="355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55"/>
      <c r="Q33" s="1507">
        <f t="shared" si="8"/>
        <v>111</v>
      </c>
      <c r="R33" s="1508" t="s">
        <v>8</v>
      </c>
      <c r="S33" s="1509">
        <f t="shared" si="10"/>
        <v>100</v>
      </c>
      <c r="T33" s="1508" t="s">
        <v>8</v>
      </c>
      <c r="U33" s="1509">
        <f t="shared" si="11"/>
        <v>100</v>
      </c>
      <c r="V33" s="1508" t="s">
        <v>8</v>
      </c>
      <c r="W33" s="1509">
        <f t="shared" si="12"/>
        <v>100</v>
      </c>
      <c r="X33" s="1502"/>
      <c r="Y33" s="355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56" t="s">
        <v>544</v>
      </c>
      <c r="Q34" s="1507">
        <f t="shared" si="8"/>
        <v>111</v>
      </c>
      <c r="R34" s="1508" t="s">
        <v>8</v>
      </c>
      <c r="S34" s="1509">
        <f t="shared" si="10"/>
        <v>100</v>
      </c>
      <c r="T34" s="1508" t="s">
        <v>8</v>
      </c>
      <c r="U34" s="1509">
        <f t="shared" si="11"/>
        <v>100</v>
      </c>
      <c r="V34" s="1508" t="s">
        <v>8</v>
      </c>
      <c r="W34" s="1509">
        <f t="shared" si="12"/>
        <v>100</v>
      </c>
      <c r="X34" s="1502"/>
      <c r="Y34" s="3557"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57"/>
      <c r="Q35" s="1507">
        <f t="shared" si="8"/>
        <v>111</v>
      </c>
      <c r="R35" s="1512" t="s">
        <v>8</v>
      </c>
      <c r="S35" s="1513">
        <f t="shared" si="10"/>
        <v>100</v>
      </c>
      <c r="T35" s="1512" t="s">
        <v>8</v>
      </c>
      <c r="U35" s="1513">
        <f t="shared" si="11"/>
        <v>100</v>
      </c>
      <c r="V35" s="1512" t="s">
        <v>8</v>
      </c>
      <c r="W35" s="1513">
        <f t="shared" si="12"/>
        <v>100</v>
      </c>
      <c r="X35" s="1514"/>
      <c r="Y35" s="3557"/>
      <c r="Z35" s="1515">
        <f t="shared" si="13"/>
        <v>111</v>
      </c>
      <c r="AA35" s="1511">
        <f t="shared" si="3"/>
        <v>1</v>
      </c>
      <c r="AB35" s="1511">
        <f t="shared" si="4"/>
        <v>1</v>
      </c>
      <c r="AC35" s="1511">
        <f t="shared" si="5"/>
        <v>1</v>
      </c>
    </row>
    <row r="36" spans="1:29" ht="15">
      <c r="A36" s="2625" t="s">
        <v>2735</v>
      </c>
      <c r="B36" s="589" t="s">
        <v>546</v>
      </c>
      <c r="C36" s="590">
        <f>'数据-基础表'!A3</f>
        <v>6316</v>
      </c>
      <c r="D36" s="591">
        <v>100</v>
      </c>
      <c r="E36" s="590">
        <f>Sheet1!D2</f>
        <v>13606.6</v>
      </c>
      <c r="F36" s="591">
        <f>LOOKUP(E36,110:110,111:111)-LOOKUP(C36,110:110,111:111)+100</f>
        <v>100</v>
      </c>
      <c r="G36" s="590">
        <f>Sheet1!D7</f>
        <v>34995.919999999998</v>
      </c>
      <c r="H36" s="591">
        <f>LOOKUP(G36,110:110,111:111)-LOOKUP(C36,110:110,111:111)+100</f>
        <v>101</v>
      </c>
      <c r="I36" s="592">
        <f>Sheet1!D8</f>
        <v>30911.9</v>
      </c>
      <c r="J36" s="591">
        <f>LOOKUP(I36,110:110,111:111)-LOOKUP(C36,110:110,111:111)+100</f>
        <v>101</v>
      </c>
      <c r="K36" s="575"/>
      <c r="L36" s="2025"/>
      <c r="M36" s="2017"/>
      <c r="N36" s="2017"/>
      <c r="O36" s="2024"/>
      <c r="P36" s="3557"/>
      <c r="Q36" s="1507" t="str">
        <f>B36</f>
        <v>宗地面积</v>
      </c>
      <c r="R36" s="1508" t="s">
        <v>8</v>
      </c>
      <c r="S36" s="1509">
        <f t="shared" si="10"/>
        <v>100</v>
      </c>
      <c r="T36" s="1508" t="s">
        <v>8</v>
      </c>
      <c r="U36" s="1509">
        <f t="shared" si="11"/>
        <v>101</v>
      </c>
      <c r="V36" s="1508" t="s">
        <v>8</v>
      </c>
      <c r="W36" s="1509">
        <f t="shared" si="12"/>
        <v>101</v>
      </c>
      <c r="X36" s="1502"/>
      <c r="Y36" s="3557"/>
      <c r="Z36" s="1510" t="str">
        <f t="shared" si="13"/>
        <v>宗地面积</v>
      </c>
      <c r="AA36" s="1511">
        <f t="shared" si="3"/>
        <v>1</v>
      </c>
      <c r="AB36" s="1511">
        <f t="shared" si="4"/>
        <v>0.99009900990099009</v>
      </c>
      <c r="AC36" s="1511">
        <f t="shared" si="5"/>
        <v>0.99009900990099009</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57"/>
      <c r="Q37" s="1507" t="str">
        <f t="shared" ref="Q37:Q42" si="14">B37</f>
        <v>宗地形状</v>
      </c>
      <c r="R37" s="1508" t="s">
        <v>8</v>
      </c>
      <c r="S37" s="1509">
        <f t="shared" si="10"/>
        <v>100</v>
      </c>
      <c r="T37" s="1508" t="s">
        <v>8</v>
      </c>
      <c r="U37" s="1509">
        <f t="shared" si="11"/>
        <v>100</v>
      </c>
      <c r="V37" s="1508" t="s">
        <v>8</v>
      </c>
      <c r="W37" s="1509">
        <f t="shared" si="12"/>
        <v>100</v>
      </c>
      <c r="X37" s="1502"/>
      <c r="Y37" s="3557"/>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57"/>
      <c r="Q38" s="1507" t="str">
        <f t="shared" si="14"/>
        <v>宗地开发程度</v>
      </c>
      <c r="R38" s="1503" t="s">
        <v>8</v>
      </c>
      <c r="S38" s="1504">
        <f t="shared" si="10"/>
        <v>100</v>
      </c>
      <c r="T38" s="1503" t="s">
        <v>8</v>
      </c>
      <c r="U38" s="1504">
        <f t="shared" si="11"/>
        <v>100</v>
      </c>
      <c r="V38" s="1503" t="s">
        <v>8</v>
      </c>
      <c r="W38" s="1504">
        <f t="shared" si="12"/>
        <v>100</v>
      </c>
      <c r="X38" s="1505"/>
      <c r="Y38" s="355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57" t="s">
        <v>595</v>
      </c>
      <c r="Q39" s="1507" t="str">
        <f t="shared" si="14"/>
        <v>工程地质条件</v>
      </c>
      <c r="R39" s="1508" t="s">
        <v>8</v>
      </c>
      <c r="S39" s="1509">
        <f t="shared" si="10"/>
        <v>100</v>
      </c>
      <c r="T39" s="1508" t="s">
        <v>8</v>
      </c>
      <c r="U39" s="1509">
        <f t="shared" si="11"/>
        <v>100</v>
      </c>
      <c r="V39" s="1508" t="s">
        <v>8</v>
      </c>
      <c r="W39" s="1509">
        <f t="shared" si="12"/>
        <v>100</v>
      </c>
      <c r="X39" s="1502"/>
      <c r="Y39" s="355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57"/>
      <c r="Q40" s="1507">
        <f t="shared" si="14"/>
        <v>111</v>
      </c>
      <c r="R40" s="1508" t="s">
        <v>8</v>
      </c>
      <c r="S40" s="1509">
        <f t="shared" si="10"/>
        <v>100</v>
      </c>
      <c r="T40" s="1508" t="s">
        <v>8</v>
      </c>
      <c r="U40" s="1509">
        <f t="shared" si="11"/>
        <v>100</v>
      </c>
      <c r="V40" s="1508" t="s">
        <v>8</v>
      </c>
      <c r="W40" s="1509">
        <f t="shared" si="12"/>
        <v>100</v>
      </c>
      <c r="X40" s="1502"/>
      <c r="Y40" s="355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57"/>
      <c r="Q41" s="1507">
        <f t="shared" si="14"/>
        <v>111</v>
      </c>
      <c r="R41" s="1508" t="s">
        <v>8</v>
      </c>
      <c r="S41" s="1509">
        <f t="shared" si="10"/>
        <v>100</v>
      </c>
      <c r="T41" s="1508" t="s">
        <v>8</v>
      </c>
      <c r="U41" s="1509">
        <f t="shared" si="11"/>
        <v>100</v>
      </c>
      <c r="V41" s="1508" t="s">
        <v>8</v>
      </c>
      <c r="W41" s="1509">
        <f t="shared" si="12"/>
        <v>100</v>
      </c>
      <c r="X41" s="1502"/>
      <c r="Y41" s="355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57"/>
      <c r="Q42" s="1507">
        <f t="shared" si="14"/>
        <v>111</v>
      </c>
      <c r="R42" s="1512" t="s">
        <v>8</v>
      </c>
      <c r="S42" s="1513">
        <f t="shared" si="10"/>
        <v>100</v>
      </c>
      <c r="T42" s="1512" t="s">
        <v>8</v>
      </c>
      <c r="U42" s="1513">
        <f t="shared" si="11"/>
        <v>100</v>
      </c>
      <c r="V42" s="1512" t="s">
        <v>8</v>
      </c>
      <c r="W42" s="1513">
        <f t="shared" si="12"/>
        <v>100</v>
      </c>
      <c r="X42" s="1514"/>
      <c r="Y42" s="3557"/>
      <c r="Z42" s="1515">
        <f t="shared" si="13"/>
        <v>111</v>
      </c>
      <c r="AA42" s="1511">
        <f t="shared" si="3"/>
        <v>1</v>
      </c>
      <c r="AB42" s="1511">
        <f t="shared" si="4"/>
        <v>1</v>
      </c>
      <c r="AC42" s="1511">
        <f t="shared" si="5"/>
        <v>1</v>
      </c>
    </row>
    <row r="43" spans="1:29" ht="15">
      <c r="A43" s="601" t="s">
        <v>550</v>
      </c>
      <c r="B43" s="602" t="s">
        <v>3016</v>
      </c>
      <c r="C43" s="603" t="s">
        <v>1</v>
      </c>
      <c r="D43" s="604"/>
      <c r="E43" s="605">
        <f>Sheet1!P2</f>
        <v>1452</v>
      </c>
      <c r="F43" s="606"/>
      <c r="G43" s="607">
        <f>Sheet1!P7</f>
        <v>1391</v>
      </c>
      <c r="H43" s="608"/>
      <c r="I43" s="605">
        <f>Sheet1!P8</f>
        <v>1234</v>
      </c>
      <c r="J43" s="608"/>
      <c r="K43" s="1294"/>
      <c r="L43" s="2027"/>
      <c r="M43" s="2017"/>
      <c r="N43" s="2017"/>
      <c r="O43" s="2028"/>
      <c r="P43" s="3558" t="str">
        <f>A43</f>
        <v>成交单价</v>
      </c>
      <c r="Q43" s="3558"/>
      <c r="R43" s="3551">
        <f>E43</f>
        <v>1452</v>
      </c>
      <c r="S43" s="3551"/>
      <c r="T43" s="3551">
        <f>G43</f>
        <v>1391</v>
      </c>
      <c r="U43" s="3551"/>
      <c r="V43" s="3551">
        <f>I43</f>
        <v>1234</v>
      </c>
      <c r="W43" s="3551"/>
      <c r="X43" s="1497"/>
      <c r="Y43" s="1516"/>
      <c r="Z43" s="1497"/>
      <c r="AA43" s="1497"/>
      <c r="AB43" s="1497"/>
      <c r="AC43" s="1497"/>
    </row>
    <row r="44" spans="1:29" ht="15.75" thickBot="1">
      <c r="A44" s="609" t="s">
        <v>2673</v>
      </c>
      <c r="B44" s="610"/>
      <c r="C44" s="611">
        <f>R45</f>
        <v>1672</v>
      </c>
      <c r="D44" s="3015" t="s">
        <v>2972</v>
      </c>
      <c r="E44" s="611">
        <f>R44</f>
        <v>1801</v>
      </c>
      <c r="F44" s="3016"/>
      <c r="G44" s="612">
        <f>T44</f>
        <v>1716</v>
      </c>
      <c r="H44" s="3016"/>
      <c r="I44" s="611">
        <f>V44</f>
        <v>1499</v>
      </c>
      <c r="J44" s="3016"/>
      <c r="K44" s="3017">
        <f>F44+H44+J44</f>
        <v>0</v>
      </c>
      <c r="L44" s="2027"/>
      <c r="M44" s="2017"/>
      <c r="N44" s="2017"/>
      <c r="O44" s="2028"/>
      <c r="P44" s="3558" t="str">
        <f>A44</f>
        <v>比较价格（元/平方米）</v>
      </c>
      <c r="Q44" s="3558"/>
      <c r="R44" s="3567">
        <f>ROUND(PRODUCT(R43,AA9:AA42),0)</f>
        <v>1801</v>
      </c>
      <c r="S44" s="3567"/>
      <c r="T44" s="3567">
        <f>ROUND(PRODUCT(T43,AB9:AB42),0)</f>
        <v>1716</v>
      </c>
      <c r="U44" s="3567"/>
      <c r="V44" s="3567">
        <f>ROUND(PRODUCT(V43,AC9:AC42),0)</f>
        <v>1499</v>
      </c>
      <c r="W44" s="3567"/>
      <c r="X44" s="1497"/>
      <c r="Y44" s="1497"/>
      <c r="Z44" s="1497"/>
      <c r="AA44" s="1497"/>
      <c r="AB44" s="1497"/>
      <c r="AC44" s="1497"/>
    </row>
    <row r="45" spans="1:29" ht="15.75" thickBot="1">
      <c r="A45" s="613" t="s">
        <v>2903</v>
      </c>
      <c r="B45" s="614"/>
      <c r="C45" s="615">
        <f>R45</f>
        <v>1672</v>
      </c>
      <c r="D45" s="615"/>
      <c r="E45" s="615"/>
      <c r="F45" s="615"/>
      <c r="G45" s="615"/>
      <c r="H45" s="615"/>
      <c r="I45" s="615"/>
      <c r="J45" s="615"/>
      <c r="K45" s="1295"/>
      <c r="L45" s="2027"/>
      <c r="M45" s="2017"/>
      <c r="N45" s="2017"/>
      <c r="O45" s="2028"/>
      <c r="P45" s="3564" t="str">
        <f>A45</f>
        <v>估价对象XX用房的比较价格（楼面单价，元/平方米）</v>
      </c>
      <c r="Q45" s="3565"/>
      <c r="R45" s="3566">
        <f>ROUND(IF(D44="简单平均",AVERAGE(R44:W44),R44*F44+T44*H44+V44*J44),0)</f>
        <v>1672</v>
      </c>
      <c r="S45" s="3566"/>
      <c r="T45" s="3566"/>
      <c r="U45" s="3566"/>
      <c r="V45" s="3566"/>
      <c r="W45" s="3566"/>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f>IF(E43&lt;E44,E44/E43-1,E43/E44-1)</f>
        <v>0.24035812672176315</v>
      </c>
      <c r="F48" s="619" t="str">
        <f>IF(OR(E48&gt;=0.3,E48&lt;=-0.3),"超过30%","")</f>
        <v/>
      </c>
      <c r="G48" s="618">
        <f>IF(G43&lt;G44,G44/G43-1,G43/G44-1)</f>
        <v>0.23364485981308403</v>
      </c>
      <c r="H48" s="619" t="str">
        <f>IF(OR(G48&gt;=0.3,G48&lt;=-0.3),"超过30%","")</f>
        <v/>
      </c>
      <c r="I48" s="618">
        <f>IF(I43&lt;I44,I44/I43-1,I43/I44-1)</f>
        <v>0.21474878444084289</v>
      </c>
      <c r="J48" s="619" t="str">
        <f>IF(OR(I48&gt;=0.3,I48&lt;=-0.3),"超过30%","")</f>
        <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f>IF(E44&lt;G44,G44/E44-1,E44/G44-1)</f>
        <v>4.9533799533799439E-2</v>
      </c>
      <c r="F49" s="619" t="str">
        <f>IF(OR(E49&gt;=0.2,E49&lt;=-0.2),"超过20%","")</f>
        <v/>
      </c>
      <c r="G49" s="618">
        <f>IF(G44&lt;I44,I44/G44-1,G44/I44-1)</f>
        <v>0.14476317545030026</v>
      </c>
      <c r="H49" s="619" t="str">
        <f>IF(OR(G49&gt;=0.2,G49&lt;=-0.2),"超过20%","")</f>
        <v/>
      </c>
      <c r="I49" s="618">
        <f>IF(I44&lt;E44,E44/I44-1,I44/E44-1)</f>
        <v>0.20146764509673121</v>
      </c>
      <c r="J49" s="619" t="str">
        <f>IF(OR(I49&gt;=0.2,I49&lt;=-0.2),"超过20%","")</f>
        <v>超过20%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f>IF(E43&lt;G43,G43/E43-1,E43/G43-1)</f>
        <v>4.3853342918763527E-2</v>
      </c>
      <c r="F50" s="619" t="str">
        <f>IF(OR(E50&gt;=0.3,E50&lt;=-0.3),"超过30%","")</f>
        <v/>
      </c>
      <c r="G50" s="618">
        <f>IF(G43&lt;I43,I43/G43-1,G43/I43-1)</f>
        <v>0.12722852512155591</v>
      </c>
      <c r="H50" s="619" t="str">
        <f>IF(OR(G50&gt;=0.3,G50&lt;=-0.3),"超过30%","")</f>
        <v/>
      </c>
      <c r="I50" s="618">
        <f>IF(I43&lt;E43,E43/I43-1,I43/E43-1)</f>
        <v>0.1766612641815235</v>
      </c>
      <c r="J50" s="619" t="str">
        <f>IF(OR(I50&gt;=0.3,I50&lt;=-0.3),"超过30%","")</f>
        <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559" t="s">
        <v>2271</v>
      </c>
      <c r="H52" s="3560"/>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f>C45</f>
        <v>1672</v>
      </c>
      <c r="C53" s="627">
        <v>1</v>
      </c>
      <c r="D53" s="2109">
        <v>1</v>
      </c>
      <c r="E53" s="627">
        <f>'数据-汇总表'!E8+'数据-汇总表'!E9</f>
        <v>5000</v>
      </c>
      <c r="F53" s="1865">
        <f t="shared" ref="F53:F62" si="15">ROUND(B53*E53/10000,0)</f>
        <v>836</v>
      </c>
      <c r="G53" s="3561"/>
      <c r="H53" s="3562"/>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f>ROUND($C$45*C54*D54,0)</f>
        <v>0</v>
      </c>
      <c r="C54" s="372">
        <f t="shared" ref="C54:C62" si="16">IF($C$52="北京市系数",I54,J54)</f>
        <v>0</v>
      </c>
      <c r="D54" s="2110">
        <v>0.25</v>
      </c>
      <c r="E54" s="631"/>
      <c r="F54" s="1865">
        <f t="shared" si="15"/>
        <v>0</v>
      </c>
      <c r="G54" s="3563" t="s">
        <v>2272</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f t="shared" ref="B55:B62" si="17">ROUND($C$45*C55*D55,0)</f>
        <v>0</v>
      </c>
      <c r="C55" s="372">
        <f t="shared" si="16"/>
        <v>0</v>
      </c>
      <c r="D55" s="2110">
        <v>0.25</v>
      </c>
      <c r="E55" s="631"/>
      <c r="F55" s="1865">
        <f t="shared" si="15"/>
        <v>0</v>
      </c>
      <c r="G55" s="3563"/>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f t="shared" si="17"/>
        <v>0</v>
      </c>
      <c r="C56" s="372">
        <f t="shared" si="16"/>
        <v>0</v>
      </c>
      <c r="D56" s="2110">
        <v>0.25</v>
      </c>
      <c r="E56" s="631"/>
      <c r="F56" s="1865">
        <f t="shared" si="15"/>
        <v>0</v>
      </c>
      <c r="G56" s="3563"/>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f t="shared" si="17"/>
        <v>0</v>
      </c>
      <c r="C57" s="372">
        <f t="shared" si="16"/>
        <v>0</v>
      </c>
      <c r="D57" s="2110">
        <v>0.25</v>
      </c>
      <c r="E57" s="631"/>
      <c r="F57" s="1865">
        <f t="shared" si="15"/>
        <v>0</v>
      </c>
      <c r="G57" s="3563"/>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f t="shared" si="17"/>
        <v>0</v>
      </c>
      <c r="C58" s="372">
        <f t="shared" si="16"/>
        <v>0</v>
      </c>
      <c r="D58" s="2110">
        <v>0.25</v>
      </c>
      <c r="E58" s="633">
        <f>'数据-汇总表'!E11</f>
        <v>0</v>
      </c>
      <c r="F58" s="1865">
        <f t="shared" si="15"/>
        <v>0</v>
      </c>
      <c r="G58" s="1871" t="s">
        <v>2273</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f t="shared" si="17"/>
        <v>0</v>
      </c>
      <c r="C59" s="372">
        <f t="shared" si="16"/>
        <v>0</v>
      </c>
      <c r="D59" s="2110">
        <v>0.25</v>
      </c>
      <c r="E59" s="633">
        <f>'数据-汇总表'!E12</f>
        <v>0</v>
      </c>
      <c r="F59" s="1865">
        <f t="shared" si="15"/>
        <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f t="shared" si="17"/>
        <v>0</v>
      </c>
      <c r="C60" s="372">
        <f t="shared" si="16"/>
        <v>0</v>
      </c>
      <c r="D60" s="2110">
        <v>0.25</v>
      </c>
      <c r="E60" s="633">
        <f>'数据-汇总表'!E13</f>
        <v>0</v>
      </c>
      <c r="F60" s="1865">
        <f t="shared" si="15"/>
        <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f t="shared" si="17"/>
        <v>0</v>
      </c>
      <c r="C61" s="372">
        <f t="shared" si="16"/>
        <v>0</v>
      </c>
      <c r="D61" s="2110">
        <v>0.25</v>
      </c>
      <c r="E61" s="633">
        <f>'数据-汇总表'!E14</f>
        <v>0</v>
      </c>
      <c r="F61" s="1865">
        <f t="shared" si="15"/>
        <v>0</v>
      </c>
      <c r="G61" s="1871" t="s">
        <v>2272</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f t="shared" si="17"/>
        <v>0</v>
      </c>
      <c r="C62" s="372">
        <f t="shared" si="16"/>
        <v>0</v>
      </c>
      <c r="D62" s="2110">
        <v>0.25</v>
      </c>
      <c r="E62" s="633">
        <f>'数据-汇总表'!E15</f>
        <v>0</v>
      </c>
      <c r="F62" s="1865">
        <f t="shared" si="15"/>
        <v>0</v>
      </c>
      <c r="G62" s="1872" t="s">
        <v>2273</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5000</v>
      </c>
      <c r="F63" s="636">
        <f>IF(B43="楼面地价",SUM(F53:F62),ROUND(C45*E63/10000,0))</f>
        <v>836</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2020-9-1</v>
      </c>
      <c r="D65" s="2517">
        <f>EDATE(C65,-3)</f>
        <v>43983</v>
      </c>
      <c r="E65" s="2517">
        <f t="shared" ref="E65:N65" si="18">EDATE(D65,-3)</f>
        <v>43891</v>
      </c>
      <c r="F65" s="2517">
        <f t="shared" si="18"/>
        <v>43800</v>
      </c>
      <c r="G65" s="2517">
        <f t="shared" si="18"/>
        <v>43709</v>
      </c>
      <c r="H65" s="2517">
        <f t="shared" si="18"/>
        <v>43617</v>
      </c>
      <c r="I65" s="2517">
        <f t="shared" si="18"/>
        <v>43525</v>
      </c>
      <c r="J65" s="2517">
        <f t="shared" si="18"/>
        <v>43435</v>
      </c>
      <c r="K65" s="2517">
        <f t="shared" si="18"/>
        <v>43344</v>
      </c>
      <c r="L65" s="2517">
        <f t="shared" si="18"/>
        <v>43252</v>
      </c>
      <c r="M65" s="2517">
        <f t="shared" si="18"/>
        <v>43160</v>
      </c>
      <c r="N65" s="2517">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北京市平均增长率1.27%</v>
      </c>
      <c r="C68" s="883">
        <v>100</v>
      </c>
      <c r="D68" s="722">
        <f>C68-0.5</f>
        <v>99.5</v>
      </c>
      <c r="E68" s="722">
        <f t="shared" ref="E68:M68" si="20">D68-0.5</f>
        <v>99</v>
      </c>
      <c r="F68" s="722">
        <f t="shared" si="20"/>
        <v>98.5</v>
      </c>
      <c r="G68" s="722">
        <f t="shared" si="20"/>
        <v>98</v>
      </c>
      <c r="H68" s="722">
        <f t="shared" si="20"/>
        <v>97.5</v>
      </c>
      <c r="I68" s="722">
        <f t="shared" si="20"/>
        <v>97</v>
      </c>
      <c r="J68" s="722">
        <f t="shared" si="20"/>
        <v>96.5</v>
      </c>
      <c r="K68" s="722">
        <f t="shared" si="20"/>
        <v>96</v>
      </c>
      <c r="L68" s="722">
        <f t="shared" si="20"/>
        <v>95.5</v>
      </c>
      <c r="M68" s="722">
        <f t="shared" si="20"/>
        <v>95</v>
      </c>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0（含）-1</v>
      </c>
      <c r="D76" s="674" t="str">
        <f t="shared" ref="D76:L76" si="21">D77&amp;"（含）"&amp;"-"&amp;E77</f>
        <v>1（含）-2</v>
      </c>
      <c r="E76" s="674" t="str">
        <f t="shared" si="21"/>
        <v>2（含）-3</v>
      </c>
      <c r="F76" s="674" t="str">
        <f t="shared" si="21"/>
        <v>3（含）-4</v>
      </c>
      <c r="G76" s="674" t="str">
        <f t="shared" si="21"/>
        <v>4（含）-5</v>
      </c>
      <c r="H76" s="674" t="str">
        <f t="shared" si="21"/>
        <v>5（含）-</v>
      </c>
      <c r="I76" s="674" t="str">
        <f t="shared" si="21"/>
        <v>（含）-</v>
      </c>
      <c r="J76" s="674" t="str">
        <f t="shared" si="21"/>
        <v>（含）-</v>
      </c>
      <c r="K76" s="674" t="str">
        <f t="shared" si="21"/>
        <v>（含）-</v>
      </c>
      <c r="L76" s="674" t="str">
        <f t="shared" si="21"/>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v>0</v>
      </c>
      <c r="D77" s="535">
        <v>1</v>
      </c>
      <c r="E77" s="535">
        <v>2</v>
      </c>
      <c r="F77" s="535">
        <v>3</v>
      </c>
      <c r="G77" s="535">
        <v>4</v>
      </c>
      <c r="H77" s="535">
        <v>5</v>
      </c>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98</v>
      </c>
      <c r="E78" s="671">
        <f t="shared" ref="E78:M78" si="22">IF($B$43="单位面积地价",D78+$K13,D78-$K13)</f>
        <v>96</v>
      </c>
      <c r="F78" s="671">
        <f t="shared" si="22"/>
        <v>94</v>
      </c>
      <c r="G78" s="671">
        <f t="shared" si="22"/>
        <v>92</v>
      </c>
      <c r="H78" s="671">
        <f t="shared" si="22"/>
        <v>90</v>
      </c>
      <c r="I78" s="671">
        <f t="shared" si="22"/>
        <v>88</v>
      </c>
      <c r="J78" s="671">
        <f t="shared" si="22"/>
        <v>86</v>
      </c>
      <c r="K78" s="671">
        <f t="shared" si="22"/>
        <v>84</v>
      </c>
      <c r="L78" s="671">
        <f t="shared" si="22"/>
        <v>82</v>
      </c>
      <c r="M78" s="671">
        <f t="shared" si="22"/>
        <v>80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28.5">
      <c r="A109" s="656" t="s">
        <v>545</v>
      </c>
      <c r="B109" s="657" t="s">
        <v>587</v>
      </c>
      <c r="C109" s="696" t="str">
        <f t="shared" ref="C109:L109" si="26">C110&amp;"(含)"&amp;"-"&amp;D110</f>
        <v>0(含)-20000</v>
      </c>
      <c r="D109" s="696" t="str">
        <f t="shared" si="26"/>
        <v>20000(含)-40000</v>
      </c>
      <c r="E109" s="696" t="str">
        <f t="shared" si="26"/>
        <v>40000(含)-60000</v>
      </c>
      <c r="F109" s="696" t="str">
        <f t="shared" si="26"/>
        <v>60000(含)-80000</v>
      </c>
      <c r="G109" s="696" t="str">
        <f t="shared" si="26"/>
        <v>80000(含)-</v>
      </c>
      <c r="H109" s="696" t="str">
        <f t="shared" si="26"/>
        <v>(含)-</v>
      </c>
      <c r="I109" s="696" t="str">
        <f t="shared" si="26"/>
        <v>(含)-</v>
      </c>
      <c r="J109" s="696" t="str">
        <f t="shared" si="26"/>
        <v>(含)-</v>
      </c>
      <c r="K109" s="2781" t="str">
        <f t="shared" si="26"/>
        <v>(含)-</v>
      </c>
      <c r="L109" s="2782" t="str">
        <f t="shared" si="26"/>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v>0</v>
      </c>
      <c r="D110" s="722">
        <v>20000</v>
      </c>
      <c r="E110" s="722">
        <v>40000</v>
      </c>
      <c r="F110" s="722">
        <v>60000</v>
      </c>
      <c r="G110" s="722">
        <v>80000</v>
      </c>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v>100</v>
      </c>
      <c r="D111" s="718">
        <v>101</v>
      </c>
      <c r="E111" s="718">
        <v>102</v>
      </c>
      <c r="F111" s="718">
        <v>103</v>
      </c>
      <c r="G111" s="718">
        <v>104</v>
      </c>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8" stopIfTrue="1" operator="containsText" text="超过">
      <formula>NOT(ISERROR(SEARCH("超过",F48)))</formula>
    </cfRule>
  </conditionalFormatting>
  <conditionalFormatting sqref="J50">
    <cfRule type="containsText" dxfId="155" priority="17" stopIfTrue="1" operator="containsText" text="超过">
      <formula>NOT(ISERROR(SEARCH("超过",J50)))</formula>
    </cfRule>
  </conditionalFormatting>
  <conditionalFormatting sqref="H50">
    <cfRule type="containsText" dxfId="154" priority="16" stopIfTrue="1" operator="containsText" text="超过">
      <formula>NOT(ISERROR(SEARCH("超过",H50)))</formula>
    </cfRule>
  </conditionalFormatting>
  <conditionalFormatting sqref="F50">
    <cfRule type="containsText" dxfId="153" priority="15" stopIfTrue="1" operator="containsText" text="超过">
      <formula>NOT(ISERROR(SEARCH("超过",F50)))</formula>
    </cfRule>
  </conditionalFormatting>
  <conditionalFormatting sqref="F49 H49 J49">
    <cfRule type="containsText" dxfId="152" priority="14" stopIfTrue="1" operator="containsText" text="超过">
      <formula>NOT(ISERROR(SEARCH("超过",F49)))</formula>
    </cfRule>
  </conditionalFormatting>
  <conditionalFormatting sqref="E48">
    <cfRule type="expression" dxfId="151" priority="13" stopIfTrue="1">
      <formula>$F$48="超过30%"</formula>
    </cfRule>
  </conditionalFormatting>
  <conditionalFormatting sqref="G50">
    <cfRule type="expression" dxfId="150" priority="12" stopIfTrue="1">
      <formula>$H$50="超过30%"</formula>
    </cfRule>
  </conditionalFormatting>
  <conditionalFormatting sqref="E50">
    <cfRule type="expression" dxfId="149" priority="10" stopIfTrue="1">
      <formula>$F$50="超过30%"</formula>
    </cfRule>
  </conditionalFormatting>
  <conditionalFormatting sqref="G48">
    <cfRule type="expression" dxfId="148" priority="9" stopIfTrue="1">
      <formula>$H$48="超过30%"</formula>
    </cfRule>
  </conditionalFormatting>
  <conditionalFormatting sqref="G49">
    <cfRule type="expression" dxfId="147" priority="8" stopIfTrue="1">
      <formula>$H$49="超过20%"</formula>
    </cfRule>
  </conditionalFormatting>
  <conditionalFormatting sqref="I48">
    <cfRule type="expression" dxfId="146" priority="7" stopIfTrue="1">
      <formula>$J$48="超过30%"</formula>
    </cfRule>
  </conditionalFormatting>
  <conditionalFormatting sqref="I49">
    <cfRule type="expression" dxfId="145" priority="6" stopIfTrue="1">
      <formula>$J$49="超过20%"</formula>
    </cfRule>
  </conditionalFormatting>
  <conditionalFormatting sqref="I50">
    <cfRule type="expression" dxfId="144" priority="5" stopIfTrue="1">
      <formula>$J$50="超过30%"</formula>
    </cfRule>
  </conditionalFormatting>
  <conditionalFormatting sqref="E49">
    <cfRule type="expression" dxfId="143" priority="51" stopIfTrue="1">
      <formula>#REF!+$F$49="超过20%"</formula>
    </cfRule>
  </conditionalFormatting>
  <conditionalFormatting sqref="F44">
    <cfRule type="expression" dxfId="142" priority="4">
      <formula>$D$44="简单平均"</formula>
    </cfRule>
  </conditionalFormatting>
  <conditionalFormatting sqref="H44">
    <cfRule type="expression" dxfId="141" priority="3">
      <formula>$D$44="简单平均"</formula>
    </cfRule>
  </conditionalFormatting>
  <conditionalFormatting sqref="J44">
    <cfRule type="expression" dxfId="140" priority="2">
      <formula>$D$44="简单平均"</formula>
    </cfRule>
  </conditionalFormatting>
  <conditionalFormatting sqref="F9:F42 H9:H42 J9:J42">
    <cfRule type="cellIs" dxfId="13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Q6" sqref="Q6"/>
    </sheetView>
  </sheetViews>
  <sheetFormatPr defaultRowHeight="13.5"/>
  <sheetData>
    <row r="1" spans="1:16">
      <c r="A1" s="3279" t="s">
        <v>3017</v>
      </c>
      <c r="B1" s="3279" t="s">
        <v>3018</v>
      </c>
      <c r="C1" s="3279" t="s">
        <v>3019</v>
      </c>
      <c r="D1" s="3279" t="s">
        <v>3020</v>
      </c>
      <c r="E1" s="3279" t="s">
        <v>3021</v>
      </c>
      <c r="F1" s="3279" t="s">
        <v>2020</v>
      </c>
      <c r="G1" s="3279" t="s">
        <v>3022</v>
      </c>
      <c r="H1" s="3279" t="s">
        <v>3023</v>
      </c>
      <c r="I1" s="3279" t="s">
        <v>3024</v>
      </c>
      <c r="J1" s="3279" t="s">
        <v>3025</v>
      </c>
      <c r="K1" s="3279" t="s">
        <v>3026</v>
      </c>
      <c r="L1" s="3279" t="s">
        <v>3027</v>
      </c>
      <c r="M1" s="3279" t="s">
        <v>3028</v>
      </c>
      <c r="N1" s="3279" t="s">
        <v>3029</v>
      </c>
      <c r="O1" s="3279" t="s">
        <v>3030</v>
      </c>
    </row>
    <row r="2" spans="1:16" s="3281" customFormat="1">
      <c r="A2" s="3280" t="s">
        <v>3031</v>
      </c>
      <c r="B2" s="3280" t="s">
        <v>1934</v>
      </c>
      <c r="C2" s="3280" t="s">
        <v>3032</v>
      </c>
      <c r="D2" s="3280">
        <v>13606.6</v>
      </c>
      <c r="E2" s="3280">
        <v>27213.200000000001</v>
      </c>
      <c r="F2" s="3280" t="s">
        <v>3033</v>
      </c>
      <c r="G2" s="3280" t="s">
        <v>3034</v>
      </c>
      <c r="H2" s="3280" t="s">
        <v>3032</v>
      </c>
      <c r="I2" s="3280" t="s">
        <v>3035</v>
      </c>
      <c r="J2" s="3280" t="s">
        <v>3035</v>
      </c>
      <c r="K2" s="3280">
        <v>1975.68</v>
      </c>
      <c r="L2" s="3280">
        <v>1975.68</v>
      </c>
      <c r="M2" s="3280">
        <v>726</v>
      </c>
      <c r="N2" s="3280">
        <v>0</v>
      </c>
      <c r="O2" s="3280" t="s">
        <v>3036</v>
      </c>
      <c r="P2" s="3281">
        <f>ROUND(L2/D2*10000,0)</f>
        <v>1452</v>
      </c>
    </row>
    <row r="3" spans="1:16">
      <c r="A3" s="3279" t="s">
        <v>3037</v>
      </c>
      <c r="B3" s="3279" t="s">
        <v>1934</v>
      </c>
      <c r="C3" s="3279" t="s">
        <v>3032</v>
      </c>
      <c r="D3" s="3279">
        <v>13949.3</v>
      </c>
      <c r="E3" s="3279">
        <v>27898.6</v>
      </c>
      <c r="F3" s="3279" t="s">
        <v>3033</v>
      </c>
      <c r="G3" s="3279" t="s">
        <v>3034</v>
      </c>
      <c r="H3" s="3279" t="s">
        <v>3032</v>
      </c>
      <c r="I3" s="3279" t="s">
        <v>3035</v>
      </c>
      <c r="J3" s="3279" t="s">
        <v>3035</v>
      </c>
      <c r="K3" s="3279">
        <v>2025.44</v>
      </c>
      <c r="L3" s="3279">
        <v>2025.44</v>
      </c>
      <c r="M3" s="3279">
        <v>726</v>
      </c>
      <c r="N3" s="3279">
        <v>0</v>
      </c>
      <c r="O3" s="3279" t="s">
        <v>3036</v>
      </c>
      <c r="P3">
        <f t="shared" ref="P3:P16" si="0">ROUND(L3/D3*10000,0)</f>
        <v>1452</v>
      </c>
    </row>
    <row r="4" spans="1:16">
      <c r="A4" s="3279" t="s">
        <v>3038</v>
      </c>
      <c r="B4" s="3279" t="s">
        <v>1934</v>
      </c>
      <c r="C4" s="3279" t="s">
        <v>3032</v>
      </c>
      <c r="D4" s="3279">
        <v>19983.72</v>
      </c>
      <c r="E4" s="3279">
        <v>39967.440000000002</v>
      </c>
      <c r="F4" s="3279" t="s">
        <v>3039</v>
      </c>
      <c r="G4" s="3279" t="s">
        <v>3034</v>
      </c>
      <c r="H4" s="3279" t="s">
        <v>3040</v>
      </c>
      <c r="I4" s="3279" t="s">
        <v>3041</v>
      </c>
      <c r="J4" s="3279" t="s">
        <v>3041</v>
      </c>
      <c r="K4" s="3279">
        <v>2805.96</v>
      </c>
      <c r="L4" s="3279">
        <v>2805.96</v>
      </c>
      <c r="M4" s="3279">
        <v>702.05</v>
      </c>
      <c r="N4" s="3279">
        <v>0</v>
      </c>
      <c r="O4" s="3279" t="s">
        <v>3042</v>
      </c>
      <c r="P4">
        <f t="shared" si="0"/>
        <v>1404</v>
      </c>
    </row>
    <row r="5" spans="1:16">
      <c r="A5" s="3279" t="s">
        <v>3043</v>
      </c>
      <c r="B5" s="3279" t="s">
        <v>1934</v>
      </c>
      <c r="C5" s="3279" t="s">
        <v>3032</v>
      </c>
      <c r="D5" s="3279">
        <v>19983.72</v>
      </c>
      <c r="E5" s="3279">
        <v>39967.440000000002</v>
      </c>
      <c r="F5" s="3279" t="s">
        <v>3039</v>
      </c>
      <c r="G5" s="3279" t="s">
        <v>3034</v>
      </c>
      <c r="H5" s="3279" t="s">
        <v>3044</v>
      </c>
      <c r="I5" s="3279" t="s">
        <v>3045</v>
      </c>
      <c r="J5" s="3279" t="s">
        <v>3045</v>
      </c>
      <c r="K5" s="3279">
        <v>2801.11</v>
      </c>
      <c r="L5" s="3279">
        <v>2801.11</v>
      </c>
      <c r="M5" s="3279">
        <v>700.85</v>
      </c>
      <c r="N5" s="3279">
        <v>0</v>
      </c>
      <c r="O5" s="3279" t="s">
        <v>3046</v>
      </c>
      <c r="P5">
        <f t="shared" si="0"/>
        <v>1402</v>
      </c>
    </row>
    <row r="6" spans="1:16">
      <c r="A6" s="3279" t="s">
        <v>3047</v>
      </c>
      <c r="B6" s="3279" t="s">
        <v>1934</v>
      </c>
      <c r="C6" s="3279" t="s">
        <v>3032</v>
      </c>
      <c r="D6" s="3279">
        <v>11276.71</v>
      </c>
      <c r="E6" s="3279">
        <v>16915</v>
      </c>
      <c r="F6" s="3279" t="s">
        <v>3048</v>
      </c>
      <c r="G6" s="3279" t="s">
        <v>3034</v>
      </c>
      <c r="H6" s="3279" t="s">
        <v>3049</v>
      </c>
      <c r="I6" s="3279" t="s">
        <v>3050</v>
      </c>
      <c r="J6" s="3279" t="s">
        <v>3050</v>
      </c>
      <c r="K6" s="3279">
        <v>1211.81</v>
      </c>
      <c r="L6" s="3279">
        <v>1211.81</v>
      </c>
      <c r="M6" s="3279">
        <v>716.41</v>
      </c>
      <c r="N6" s="3279">
        <v>0</v>
      </c>
      <c r="O6" s="3279" t="s">
        <v>3051</v>
      </c>
      <c r="P6">
        <f t="shared" si="0"/>
        <v>1075</v>
      </c>
    </row>
    <row r="7" spans="1:16" s="3281" customFormat="1">
      <c r="A7" s="3280" t="s">
        <v>3052</v>
      </c>
      <c r="B7" s="3280" t="s">
        <v>1934</v>
      </c>
      <c r="C7" s="3280" t="s">
        <v>3032</v>
      </c>
      <c r="D7" s="3280">
        <v>34995.919999999998</v>
      </c>
      <c r="E7" s="3280">
        <v>82940.33</v>
      </c>
      <c r="F7" s="3280" t="s">
        <v>3053</v>
      </c>
      <c r="G7" s="3280" t="s">
        <v>3034</v>
      </c>
      <c r="H7" s="3280" t="s">
        <v>3054</v>
      </c>
      <c r="I7" s="3280" t="s">
        <v>3050</v>
      </c>
      <c r="J7" s="3280" t="s">
        <v>3050</v>
      </c>
      <c r="K7" s="3280">
        <v>4868.6000000000004</v>
      </c>
      <c r="L7" s="3280">
        <v>4868.6000000000004</v>
      </c>
      <c r="M7" s="3280">
        <v>587</v>
      </c>
      <c r="N7" s="3280">
        <v>0</v>
      </c>
      <c r="O7" s="3280" t="s">
        <v>3055</v>
      </c>
      <c r="P7" s="3281">
        <f t="shared" si="0"/>
        <v>1391</v>
      </c>
    </row>
    <row r="8" spans="1:16" s="3281" customFormat="1">
      <c r="A8" s="3280" t="s">
        <v>3056</v>
      </c>
      <c r="B8" s="3280" t="s">
        <v>1934</v>
      </c>
      <c r="C8" s="3280" t="s">
        <v>3032</v>
      </c>
      <c r="D8" s="3280">
        <v>30911.9</v>
      </c>
      <c r="E8" s="3280">
        <v>52550.23</v>
      </c>
      <c r="F8" s="3280" t="s">
        <v>3057</v>
      </c>
      <c r="G8" s="3280" t="s">
        <v>3034</v>
      </c>
      <c r="H8" s="3280" t="s">
        <v>3044</v>
      </c>
      <c r="I8" s="3280" t="s">
        <v>3058</v>
      </c>
      <c r="J8" s="3280" t="s">
        <v>3058</v>
      </c>
      <c r="K8" s="3280">
        <v>3815.15</v>
      </c>
      <c r="L8" s="3280">
        <v>3815.15</v>
      </c>
      <c r="M8" s="3280">
        <v>726</v>
      </c>
      <c r="N8" s="3280">
        <v>0</v>
      </c>
      <c r="O8" s="3280" t="s">
        <v>3059</v>
      </c>
      <c r="P8" s="3281">
        <f t="shared" si="0"/>
        <v>1234</v>
      </c>
    </row>
    <row r="9" spans="1:16" s="3281" customFormat="1">
      <c r="A9" s="3280" t="s">
        <v>3060</v>
      </c>
      <c r="B9" s="3280" t="s">
        <v>1934</v>
      </c>
      <c r="C9" s="3280" t="s">
        <v>3032</v>
      </c>
      <c r="D9" s="3280">
        <v>10730.4</v>
      </c>
      <c r="E9" s="3280">
        <v>21460.799999999999</v>
      </c>
      <c r="F9" s="3280" t="s">
        <v>3039</v>
      </c>
      <c r="G9" s="3280" t="s">
        <v>3034</v>
      </c>
      <c r="H9" s="3280" t="s">
        <v>3032</v>
      </c>
      <c r="I9" s="3280" t="s">
        <v>3061</v>
      </c>
      <c r="J9" s="3280" t="s">
        <v>3061</v>
      </c>
      <c r="K9" s="3280">
        <v>1558.04</v>
      </c>
      <c r="L9" s="3280">
        <v>1558.04</v>
      </c>
      <c r="M9" s="3280">
        <v>726</v>
      </c>
      <c r="N9" s="3280">
        <v>0</v>
      </c>
      <c r="O9" s="3280" t="s">
        <v>3062</v>
      </c>
      <c r="P9" s="3281">
        <f t="shared" si="0"/>
        <v>1452</v>
      </c>
    </row>
    <row r="10" spans="1:16">
      <c r="A10" s="3279" t="s">
        <v>3063</v>
      </c>
      <c r="B10" s="3279" t="s">
        <v>1934</v>
      </c>
      <c r="C10" s="3279" t="s">
        <v>3032</v>
      </c>
      <c r="D10" s="3279">
        <v>74765.8</v>
      </c>
      <c r="E10" s="3279">
        <v>112148.7</v>
      </c>
      <c r="F10" s="3279" t="s">
        <v>3048</v>
      </c>
      <c r="G10" s="3279" t="s">
        <v>3034</v>
      </c>
      <c r="H10" s="3279" t="s">
        <v>3032</v>
      </c>
      <c r="I10" s="3279" t="s">
        <v>3061</v>
      </c>
      <c r="J10" s="3279" t="s">
        <v>3061</v>
      </c>
      <c r="K10" s="3279">
        <v>6583.13</v>
      </c>
      <c r="L10" s="3279">
        <v>6583.13</v>
      </c>
      <c r="M10" s="3279">
        <v>587</v>
      </c>
      <c r="N10" s="3279">
        <v>0</v>
      </c>
      <c r="O10" s="3279" t="s">
        <v>3064</v>
      </c>
      <c r="P10">
        <f t="shared" si="0"/>
        <v>881</v>
      </c>
    </row>
    <row r="11" spans="1:16">
      <c r="A11" s="3279" t="s">
        <v>3065</v>
      </c>
      <c r="B11" s="3279" t="s">
        <v>1934</v>
      </c>
      <c r="C11" s="3279" t="s">
        <v>3032</v>
      </c>
      <c r="D11" s="3279">
        <v>32677.200000000001</v>
      </c>
      <c r="E11" s="3279">
        <v>49015.8</v>
      </c>
      <c r="F11" s="3279" t="s">
        <v>3048</v>
      </c>
      <c r="G11" s="3279" t="s">
        <v>3034</v>
      </c>
      <c r="H11" s="3279" t="s">
        <v>3032</v>
      </c>
      <c r="I11" s="3279" t="s">
        <v>3061</v>
      </c>
      <c r="J11" s="3279" t="s">
        <v>3061</v>
      </c>
      <c r="K11" s="3279">
        <v>2877.23</v>
      </c>
      <c r="L11" s="3279">
        <v>2877.23</v>
      </c>
      <c r="M11" s="3279">
        <v>587</v>
      </c>
      <c r="N11" s="3279">
        <v>0</v>
      </c>
      <c r="O11" s="3279" t="s">
        <v>3064</v>
      </c>
      <c r="P11">
        <f t="shared" si="0"/>
        <v>881</v>
      </c>
    </row>
    <row r="12" spans="1:16">
      <c r="A12" s="3279" t="s">
        <v>3066</v>
      </c>
      <c r="B12" s="3279" t="s">
        <v>1934</v>
      </c>
      <c r="C12" s="3279" t="s">
        <v>3032</v>
      </c>
      <c r="D12" s="3279">
        <v>22695.8</v>
      </c>
      <c r="E12" s="3279">
        <v>40852.44</v>
      </c>
      <c r="F12" s="3279" t="s">
        <v>3067</v>
      </c>
      <c r="G12" s="3279" t="s">
        <v>3034</v>
      </c>
      <c r="H12" s="3279" t="s">
        <v>3032</v>
      </c>
      <c r="I12" s="3279" t="s">
        <v>3061</v>
      </c>
      <c r="J12" s="3279" t="s">
        <v>3061</v>
      </c>
      <c r="K12" s="3279">
        <v>4412.0600000000004</v>
      </c>
      <c r="L12" s="3279">
        <v>4412.0600000000004</v>
      </c>
      <c r="M12" s="3279">
        <v>1080</v>
      </c>
      <c r="N12" s="3279">
        <v>0</v>
      </c>
      <c r="O12" s="3279" t="s">
        <v>3068</v>
      </c>
      <c r="P12">
        <f t="shared" si="0"/>
        <v>1944</v>
      </c>
    </row>
    <row r="13" spans="1:16">
      <c r="A13" s="3279" t="s">
        <v>3069</v>
      </c>
      <c r="B13" s="3279" t="s">
        <v>1934</v>
      </c>
      <c r="C13" s="3279" t="s">
        <v>3032</v>
      </c>
      <c r="D13" s="3279">
        <v>18959.82</v>
      </c>
      <c r="E13" s="3279">
        <v>28440</v>
      </c>
      <c r="F13" s="3279" t="s">
        <v>3048</v>
      </c>
      <c r="G13" s="3279" t="s">
        <v>3034</v>
      </c>
      <c r="H13" s="3279" t="s">
        <v>3044</v>
      </c>
      <c r="I13" s="3279" t="s">
        <v>3070</v>
      </c>
      <c r="J13" s="3279" t="s">
        <v>3070</v>
      </c>
      <c r="K13" s="3279">
        <v>3118.96</v>
      </c>
      <c r="L13" s="3279">
        <v>3118.96</v>
      </c>
      <c r="M13" s="3279">
        <v>1096.68</v>
      </c>
      <c r="N13" s="3279">
        <v>0</v>
      </c>
      <c r="O13" s="3279" t="s">
        <v>3071</v>
      </c>
      <c r="P13">
        <f t="shared" si="0"/>
        <v>1645</v>
      </c>
    </row>
    <row r="14" spans="1:16">
      <c r="A14" s="3279" t="s">
        <v>3072</v>
      </c>
      <c r="B14" s="3279" t="s">
        <v>1934</v>
      </c>
      <c r="C14" s="3279" t="s">
        <v>3032</v>
      </c>
      <c r="D14" s="3279">
        <v>10922.9</v>
      </c>
      <c r="E14" s="3279">
        <v>16384.349999999999</v>
      </c>
      <c r="F14" s="3279" t="s">
        <v>3048</v>
      </c>
      <c r="G14" s="3279" t="s">
        <v>3034</v>
      </c>
      <c r="H14" s="3279" t="s">
        <v>3032</v>
      </c>
      <c r="I14" s="3279" t="s">
        <v>3073</v>
      </c>
      <c r="J14" s="3279" t="s">
        <v>3073</v>
      </c>
      <c r="K14" s="3279">
        <v>1651.53</v>
      </c>
      <c r="L14" s="3279">
        <v>1651.53</v>
      </c>
      <c r="M14" s="3279">
        <v>1008</v>
      </c>
      <c r="N14" s="3279">
        <v>0</v>
      </c>
      <c r="O14" s="3279" t="s">
        <v>3074</v>
      </c>
      <c r="P14">
        <f t="shared" si="0"/>
        <v>1512</v>
      </c>
    </row>
    <row r="15" spans="1:16">
      <c r="A15" s="3279" t="s">
        <v>3075</v>
      </c>
      <c r="B15" s="3279" t="s">
        <v>1934</v>
      </c>
      <c r="C15" s="3279" t="s">
        <v>3032</v>
      </c>
      <c r="D15" s="3279">
        <v>40936.25</v>
      </c>
      <c r="E15" s="3279">
        <v>73685.25</v>
      </c>
      <c r="F15" s="3279" t="s">
        <v>3067</v>
      </c>
      <c r="G15" s="3279" t="s">
        <v>3034</v>
      </c>
      <c r="H15" s="3279" t="s">
        <v>3032</v>
      </c>
      <c r="I15" s="3279" t="s">
        <v>3073</v>
      </c>
      <c r="J15" s="3279" t="s">
        <v>3073</v>
      </c>
      <c r="K15" s="3279">
        <v>5349.55</v>
      </c>
      <c r="L15" s="3279">
        <v>5349.55</v>
      </c>
      <c r="M15" s="3279">
        <v>726</v>
      </c>
      <c r="N15" s="3279">
        <v>0</v>
      </c>
      <c r="O15" s="3279" t="s">
        <v>3076</v>
      </c>
      <c r="P15">
        <f t="shared" si="0"/>
        <v>1307</v>
      </c>
    </row>
    <row r="16" spans="1:16">
      <c r="A16" s="3279" t="s">
        <v>3077</v>
      </c>
      <c r="B16" s="3279" t="s">
        <v>1934</v>
      </c>
      <c r="C16" s="3279" t="s">
        <v>3032</v>
      </c>
      <c r="D16" s="3279">
        <v>17789.3</v>
      </c>
      <c r="E16" s="3279">
        <v>26683.95</v>
      </c>
      <c r="F16" s="3279" t="s">
        <v>3048</v>
      </c>
      <c r="G16" s="3279" t="s">
        <v>3034</v>
      </c>
      <c r="H16" s="3279" t="s">
        <v>3032</v>
      </c>
      <c r="I16" s="3279" t="s">
        <v>3078</v>
      </c>
      <c r="J16" s="3279" t="s">
        <v>3078</v>
      </c>
      <c r="K16" s="3279">
        <v>1566.34</v>
      </c>
      <c r="L16" s="3279">
        <v>1566.34</v>
      </c>
      <c r="M16" s="3279">
        <v>587</v>
      </c>
      <c r="N16" s="3279">
        <v>0</v>
      </c>
      <c r="O16" s="3279" t="s">
        <v>3079</v>
      </c>
      <c r="P16">
        <f t="shared" si="0"/>
        <v>880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800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24</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100</v>
      </c>
      <c r="D16" s="445">
        <f ca="1">IF(B1="",'数据-汇总表'!E3,INDIRECT("'数据-取费表'!K"&amp;$K$1)+INDIRECT("'数据-取费表'!S"&amp;$K$1))</f>
        <v>5000</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936</v>
      </c>
      <c r="D18" s="455"/>
      <c r="E18" s="456"/>
      <c r="F18" s="456"/>
      <c r="G18" s="1281" t="s">
        <v>2415</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14</v>
      </c>
      <c r="D19" s="456"/>
      <c r="E19" s="456"/>
      <c r="F19" s="460">
        <f>'数据-取费表'!B37</f>
        <v>1.4999999999999999E-2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1.4999999999999999E-2</v>
      </c>
      <c r="D20" s="463" t="s">
        <v>499</v>
      </c>
      <c r="E20" s="463"/>
      <c r="F20" s="480">
        <f>'数据-取费表'!B38</f>
        <v>1.4999999999999999E-2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21</v>
      </c>
      <c r="D21" s="461">
        <f ca="1">C23</f>
        <v>2.9999999999999997E-4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9" t="s">
        <v>2436</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2418</v>
      </c>
      <c r="C22" s="481">
        <f ca="1">ROUND(IF('数据-取费表'!B22&lt;=1,(C18+C19)*F21*'数据-取费表'!B20/2,(C18+C19)*(POWER((1+F21),'数据-取费表'!B20/2)-1)),0)</f>
        <v>21</v>
      </c>
      <c r="D22" s="466"/>
      <c r="E22" s="467"/>
      <c r="F22" s="468"/>
      <c r="G22" s="2421" t="str">
        <f>IF('数据-取费表'!B22&lt;=1,"((1)+(2))×年利率×建设期÷2","((1)+(2))×((1+年利率)^(建设期÷2)-1)")</f>
        <v>((1)+(2))×年利率×建设期÷2</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2.9999999999999997E-4</v>
      </c>
      <c r="D23" s="466"/>
      <c r="E23" s="467"/>
      <c r="F23" s="468"/>
      <c r="G23" s="2421" t="str">
        <f>IF('数据-取费表'!B22&lt;=1,"销售费用率×年利率×建设期÷2","销售费用率×((1+年利率)^(建设期÷2)-1)")</f>
        <v>销售费用率×年利率×建设期÷2</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48</v>
      </c>
      <c r="D24" s="483">
        <f ca="1">C26</f>
        <v>8.0000000000000004E-4</v>
      </c>
      <c r="E24" s="463" t="s">
        <v>501</v>
      </c>
      <c r="F24" s="473">
        <f ca="1">IF(B1="",'数据-取费表'!Q16,INDIRECT("'数据-取费表'!q"&amp;$K$1))</f>
        <v>0.05</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2419</v>
      </c>
      <c r="C25" s="484">
        <f ca="1">ROUND((C18+C19)*F24,0)</f>
        <v>48</v>
      </c>
      <c r="D25" s="466"/>
      <c r="E25" s="467"/>
      <c r="F25" s="474"/>
      <c r="G25" s="1280" t="s">
        <v>2416</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8.0000000000000004E-4</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2278</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1094</v>
      </c>
      <c r="D28" s="471"/>
      <c r="E28" s="463"/>
      <c r="F28" s="465"/>
      <c r="G28" s="1281" t="s">
        <v>2417</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39" t="s">
        <v>516</v>
      </c>
      <c r="D6" s="3540"/>
      <c r="E6" s="3539" t="s">
        <v>517</v>
      </c>
      <c r="F6" s="3540"/>
      <c r="G6" s="3539" t="s">
        <v>518</v>
      </c>
      <c r="H6" s="3540"/>
      <c r="I6" s="3539" t="s">
        <v>519</v>
      </c>
      <c r="J6" s="3540"/>
      <c r="K6" s="508" t="s">
        <v>520</v>
      </c>
      <c r="L6" s="2016"/>
      <c r="M6" s="2015"/>
      <c r="N6" s="2015"/>
      <c r="O6" s="2017"/>
      <c r="P6" s="3543" t="s">
        <v>521</v>
      </c>
      <c r="Q6" s="3544"/>
      <c r="R6" s="3525" t="s">
        <v>517</v>
      </c>
      <c r="S6" s="3526"/>
      <c r="T6" s="3525" t="s">
        <v>518</v>
      </c>
      <c r="U6" s="3526"/>
      <c r="V6" s="3551" t="s">
        <v>519</v>
      </c>
      <c r="W6" s="3551"/>
      <c r="X6" s="1502"/>
      <c r="Y6" s="3525" t="s">
        <v>521</v>
      </c>
      <c r="Z6" s="3526"/>
      <c r="AA6" s="3536" t="s">
        <v>517</v>
      </c>
      <c r="AB6" s="3537" t="s">
        <v>518</v>
      </c>
      <c r="AC6" s="3536" t="s">
        <v>519</v>
      </c>
    </row>
    <row r="7" spans="1:30" ht="20.25">
      <c r="A7" s="509"/>
      <c r="B7" s="510"/>
      <c r="C7" s="3529" t="s">
        <v>2897</v>
      </c>
      <c r="D7" s="3530"/>
      <c r="E7" s="3529" t="s">
        <v>2898</v>
      </c>
      <c r="F7" s="3530"/>
      <c r="G7" s="3529" t="s">
        <v>2899</v>
      </c>
      <c r="H7" s="3530"/>
      <c r="I7" s="3529" t="s">
        <v>2900</v>
      </c>
      <c r="J7" s="3530"/>
      <c r="K7" s="508"/>
      <c r="L7" s="2016"/>
      <c r="M7" s="2015"/>
      <c r="N7" s="2015"/>
      <c r="O7" s="2017"/>
      <c r="P7" s="3545"/>
      <c r="Q7" s="3546"/>
      <c r="R7" s="3527"/>
      <c r="S7" s="3528"/>
      <c r="T7" s="3527"/>
      <c r="U7" s="3528"/>
      <c r="V7" s="3551"/>
      <c r="W7" s="3551"/>
      <c r="X7" s="1502"/>
      <c r="Y7" s="3527"/>
      <c r="Z7" s="3528"/>
      <c r="AA7" s="3537"/>
      <c r="AB7" s="3537"/>
      <c r="AC7" s="3537"/>
    </row>
    <row r="8" spans="1:30" ht="21" thickBot="1">
      <c r="A8" s="509"/>
      <c r="B8" s="510"/>
      <c r="C8" s="3569" t="s">
        <v>2901</v>
      </c>
      <c r="D8" s="3570"/>
      <c r="E8" s="3569" t="s">
        <v>2901</v>
      </c>
      <c r="F8" s="3570"/>
      <c r="G8" s="3531" t="s">
        <v>2901</v>
      </c>
      <c r="H8" s="3532"/>
      <c r="I8" s="3531" t="s">
        <v>2901</v>
      </c>
      <c r="J8" s="3532"/>
      <c r="K8" s="508" t="s">
        <v>522</v>
      </c>
      <c r="L8" s="2016"/>
      <c r="M8" s="2015"/>
      <c r="N8" s="2015"/>
      <c r="O8" s="2017"/>
      <c r="P8" s="3547"/>
      <c r="Q8" s="3548"/>
      <c r="R8" s="3527"/>
      <c r="S8" s="3528"/>
      <c r="T8" s="3549"/>
      <c r="U8" s="3550"/>
      <c r="V8" s="3551"/>
      <c r="W8" s="3551"/>
      <c r="X8" s="1502"/>
      <c r="Y8" s="3549"/>
      <c r="Z8" s="3550"/>
      <c r="AA8" s="3538"/>
      <c r="AB8" s="3538"/>
      <c r="AC8" s="3538"/>
    </row>
    <row r="9" spans="1:30" s="1203" customFormat="1" ht="21" thickBot="1">
      <c r="A9" s="2630"/>
      <c r="B9" s="2637" t="s">
        <v>523</v>
      </c>
      <c r="C9" s="2629">
        <f>'数据-取费表'!B2</f>
        <v>44098</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23" t="s">
        <v>524</v>
      </c>
      <c r="Q9" s="3533"/>
      <c r="R9" s="1503" t="s">
        <v>8</v>
      </c>
      <c r="S9" s="1504">
        <f t="shared" ref="S9:S17" si="0">F9</f>
        <v>0</v>
      </c>
      <c r="T9" s="1503" t="s">
        <v>8</v>
      </c>
      <c r="U9" s="1504">
        <f t="shared" ref="U9:U17" si="1">H9</f>
        <v>0</v>
      </c>
      <c r="V9" s="1503" t="s">
        <v>8</v>
      </c>
      <c r="W9" s="1504">
        <f t="shared" ref="W9:W17" si="2">J9</f>
        <v>0</v>
      </c>
      <c r="X9" s="1505"/>
      <c r="Y9" s="3523" t="s">
        <v>524</v>
      </c>
      <c r="Z9" s="3524"/>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23" t="s">
        <v>527</v>
      </c>
      <c r="Q10" s="3524"/>
      <c r="R10" s="1503" t="s">
        <v>8</v>
      </c>
      <c r="S10" s="1504">
        <f t="shared" si="0"/>
        <v>0</v>
      </c>
      <c r="T10" s="1503" t="s">
        <v>8</v>
      </c>
      <c r="U10" s="1504">
        <f t="shared" si="1"/>
        <v>0</v>
      </c>
      <c r="V10" s="1503" t="s">
        <v>8</v>
      </c>
      <c r="W10" s="1504">
        <f t="shared" si="2"/>
        <v>0</v>
      </c>
      <c r="X10" s="1505"/>
      <c r="Y10" s="3523" t="s">
        <v>527</v>
      </c>
      <c r="Z10" s="3524"/>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58"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128</v>
      </c>
      <c r="G12" s="524"/>
      <c r="H12" s="253">
        <f>ROUND(100/'数据-取费表'!G16,0)</f>
        <v>128</v>
      </c>
      <c r="I12" s="524"/>
      <c r="J12" s="253">
        <f>ROUND(100/'数据-取费表'!G16,0)</f>
        <v>128</v>
      </c>
      <c r="K12" s="525"/>
      <c r="L12" s="2021"/>
      <c r="M12" s="2015"/>
      <c r="N12" s="2015"/>
      <c r="O12" s="2022"/>
      <c r="P12" s="3558"/>
      <c r="Q12" s="1134" t="str">
        <f t="shared" si="6"/>
        <v>土地使用年限（年）</v>
      </c>
      <c r="R12" s="1503" t="s">
        <v>8</v>
      </c>
      <c r="S12" s="1504">
        <f t="shared" si="0"/>
        <v>128</v>
      </c>
      <c r="T12" s="1503" t="s">
        <v>8</v>
      </c>
      <c r="U12" s="1504">
        <f t="shared" si="1"/>
        <v>128</v>
      </c>
      <c r="V12" s="1503" t="s">
        <v>8</v>
      </c>
      <c r="W12" s="1504">
        <f t="shared" si="2"/>
        <v>128</v>
      </c>
      <c r="X12" s="1505"/>
      <c r="Y12" s="3445"/>
      <c r="Z12" s="1133" t="str">
        <f t="shared" si="7"/>
        <v>土地使用年限（年）</v>
      </c>
      <c r="AA12" s="1506">
        <f t="shared" si="3"/>
        <v>0.78125</v>
      </c>
      <c r="AB12" s="1506">
        <f t="shared" si="4"/>
        <v>0.78125</v>
      </c>
      <c r="AC12" s="1506">
        <f t="shared" si="5"/>
        <v>0.78125</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558"/>
      <c r="Q13" s="1134" t="str">
        <f t="shared" si="6"/>
        <v>容积率</v>
      </c>
      <c r="R13" s="1503" t="s">
        <v>8</v>
      </c>
      <c r="S13" s="1504" t="e">
        <f t="shared" si="0"/>
        <v>#N/A</v>
      </c>
      <c r="T13" s="1503" t="s">
        <v>8</v>
      </c>
      <c r="U13" s="1504" t="e">
        <f t="shared" si="1"/>
        <v>#N/A</v>
      </c>
      <c r="V13" s="1503" t="s">
        <v>8</v>
      </c>
      <c r="W13" s="1504" t="e">
        <f t="shared" si="2"/>
        <v>#N/A</v>
      </c>
      <c r="X13" s="1505"/>
      <c r="Y13" s="3445"/>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58"/>
      <c r="Q14" s="1134" t="str">
        <f t="shared" si="6"/>
        <v>配建</v>
      </c>
      <c r="R14" s="1503" t="s">
        <v>8</v>
      </c>
      <c r="S14" s="1504">
        <f t="shared" si="0"/>
        <v>100</v>
      </c>
      <c r="T14" s="1503" t="s">
        <v>8</v>
      </c>
      <c r="U14" s="1504">
        <f t="shared" si="1"/>
        <v>100</v>
      </c>
      <c r="V14" s="1503" t="s">
        <v>8</v>
      </c>
      <c r="W14" s="1504">
        <f t="shared" si="2"/>
        <v>100</v>
      </c>
      <c r="X14" s="1505"/>
      <c r="Y14" s="3445"/>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58"/>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58"/>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54" t="s">
        <v>534</v>
      </c>
      <c r="Q17" s="1507" t="str">
        <f t="shared" si="6"/>
        <v>居住社区成熟度</v>
      </c>
      <c r="R17" s="1508" t="s">
        <v>8</v>
      </c>
      <c r="S17" s="1509">
        <f t="shared" si="0"/>
        <v>100</v>
      </c>
      <c r="T17" s="1508" t="s">
        <v>8</v>
      </c>
      <c r="U17" s="1509">
        <f t="shared" si="1"/>
        <v>100</v>
      </c>
      <c r="V17" s="1508" t="s">
        <v>8</v>
      </c>
      <c r="W17" s="1509">
        <f t="shared" si="2"/>
        <v>100</v>
      </c>
      <c r="X17" s="1502"/>
      <c r="Y17" s="355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55"/>
      <c r="Q18" s="1507"/>
      <c r="R18" s="1508"/>
      <c r="S18" s="1509"/>
      <c r="T18" s="1508"/>
      <c r="U18" s="1509"/>
      <c r="V18" s="1508"/>
      <c r="W18" s="1509"/>
      <c r="X18" s="1502"/>
      <c r="Y18" s="355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55"/>
      <c r="Q19" s="1507" t="str">
        <f>B19</f>
        <v>商业繁华度</v>
      </c>
      <c r="R19" s="1508" t="s">
        <v>8</v>
      </c>
      <c r="S19" s="1509">
        <f>F19</f>
        <v>100</v>
      </c>
      <c r="T19" s="1508" t="s">
        <v>8</v>
      </c>
      <c r="U19" s="1509">
        <f>H19</f>
        <v>100</v>
      </c>
      <c r="V19" s="1508" t="s">
        <v>8</v>
      </c>
      <c r="W19" s="1509">
        <f>J19</f>
        <v>100</v>
      </c>
      <c r="X19" s="1502"/>
      <c r="Y19" s="355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55"/>
      <c r="Q20" s="1507"/>
      <c r="R20" s="1508"/>
      <c r="S20" s="1509"/>
      <c r="T20" s="1508"/>
      <c r="U20" s="1509"/>
      <c r="V20" s="1508"/>
      <c r="W20" s="1509"/>
      <c r="X20" s="1502"/>
      <c r="Y20" s="355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55"/>
      <c r="Q21" s="1507" t="str">
        <f>B21</f>
        <v>办公集聚程度</v>
      </c>
      <c r="R21" s="1508" t="s">
        <v>8</v>
      </c>
      <c r="S21" s="1509">
        <f>F21</f>
        <v>100</v>
      </c>
      <c r="T21" s="1508" t="s">
        <v>8</v>
      </c>
      <c r="U21" s="1509">
        <f>H21</f>
        <v>100</v>
      </c>
      <c r="V21" s="1508" t="s">
        <v>8</v>
      </c>
      <c r="W21" s="1509">
        <f>J21</f>
        <v>100</v>
      </c>
      <c r="X21" s="1502"/>
      <c r="Y21" s="355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55"/>
      <c r="Q22" s="1507"/>
      <c r="R22" s="1508"/>
      <c r="S22" s="1509"/>
      <c r="T22" s="1508"/>
      <c r="U22" s="1509"/>
      <c r="V22" s="1508"/>
      <c r="W22" s="1509"/>
      <c r="X22" s="1502"/>
      <c r="Y22" s="355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55"/>
      <c r="Q23" s="1507" t="str">
        <f>B23</f>
        <v>交通便捷度</v>
      </c>
      <c r="R23" s="1508" t="s">
        <v>8</v>
      </c>
      <c r="S23" s="1509">
        <f>F23</f>
        <v>100</v>
      </c>
      <c r="T23" s="1508" t="s">
        <v>8</v>
      </c>
      <c r="U23" s="1509">
        <f>H23</f>
        <v>100</v>
      </c>
      <c r="V23" s="1508" t="s">
        <v>8</v>
      </c>
      <c r="W23" s="1509">
        <f>J23</f>
        <v>100</v>
      </c>
      <c r="X23" s="1502"/>
      <c r="Y23" s="355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55"/>
      <c r="Q24" s="1507"/>
      <c r="R24" s="1508"/>
      <c r="S24" s="1509"/>
      <c r="T24" s="1508"/>
      <c r="U24" s="1509"/>
      <c r="V24" s="1508"/>
      <c r="W24" s="1509"/>
      <c r="X24" s="1502"/>
      <c r="Y24" s="355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55"/>
      <c r="Q25" s="1507" t="str">
        <f t="shared" ref="Q25:Q39" si="8">B25</f>
        <v>区域土地利用方向</v>
      </c>
      <c r="R25" s="1508" t="s">
        <v>8</v>
      </c>
      <c r="S25" s="1509">
        <f>F25</f>
        <v>100</v>
      </c>
      <c r="T25" s="1508" t="s">
        <v>8</v>
      </c>
      <c r="U25" s="1509">
        <f>H25</f>
        <v>100</v>
      </c>
      <c r="V25" s="1508" t="s">
        <v>8</v>
      </c>
      <c r="W25" s="1509">
        <f>J25</f>
        <v>100</v>
      </c>
      <c r="X25" s="1502"/>
      <c r="Y25" s="355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55"/>
      <c r="Q26" s="1507"/>
      <c r="R26" s="1508"/>
      <c r="S26" s="1509"/>
      <c r="T26" s="1508"/>
      <c r="U26" s="1509"/>
      <c r="V26" s="1508"/>
      <c r="W26" s="1509"/>
      <c r="X26" s="1502"/>
      <c r="Y26" s="355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55"/>
      <c r="Q27" s="1507" t="str">
        <f t="shared" si="8"/>
        <v>自然及人文环境状况</v>
      </c>
      <c r="R27" s="1508" t="s">
        <v>8</v>
      </c>
      <c r="S27" s="1509">
        <f>F27</f>
        <v>100</v>
      </c>
      <c r="T27" s="1508" t="s">
        <v>8</v>
      </c>
      <c r="U27" s="1509">
        <f>H27</f>
        <v>100</v>
      </c>
      <c r="V27" s="1508" t="s">
        <v>8</v>
      </c>
      <c r="W27" s="1509">
        <f>J27</f>
        <v>100</v>
      </c>
      <c r="X27" s="1502"/>
      <c r="Y27" s="355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55"/>
      <c r="Q28" s="1507"/>
      <c r="R28" s="1508"/>
      <c r="S28" s="1509"/>
      <c r="T28" s="1508"/>
      <c r="U28" s="1509"/>
      <c r="V28" s="1508"/>
      <c r="W28" s="1509"/>
      <c r="X28" s="1502"/>
      <c r="Y28" s="3555"/>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55"/>
      <c r="Q29" s="1134" t="str">
        <f t="shared" si="8"/>
        <v>公共配套设施</v>
      </c>
      <c r="R29" s="1503" t="s">
        <v>8</v>
      </c>
      <c r="S29" s="1504">
        <f>F29</f>
        <v>100</v>
      </c>
      <c r="T29" s="1503" t="s">
        <v>8</v>
      </c>
      <c r="U29" s="1504">
        <f>H29</f>
        <v>100</v>
      </c>
      <c r="V29" s="1503" t="s">
        <v>8</v>
      </c>
      <c r="W29" s="1504">
        <f>J29</f>
        <v>100</v>
      </c>
      <c r="X29" s="1505"/>
      <c r="Y29" s="355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55"/>
      <c r="Q30" s="1134"/>
      <c r="R30" s="1503"/>
      <c r="S30" s="1504"/>
      <c r="T30" s="1503"/>
      <c r="U30" s="1504"/>
      <c r="V30" s="1503"/>
      <c r="W30" s="1504"/>
      <c r="X30" s="1505"/>
      <c r="Y30" s="3555"/>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55"/>
      <c r="Q31" s="2429" t="str">
        <f t="shared" ref="Q31" si="9">B31</f>
        <v>基础设施水平</v>
      </c>
      <c r="R31" s="1503" t="s">
        <v>8</v>
      </c>
      <c r="S31" s="1504">
        <f>F31</f>
        <v>100</v>
      </c>
      <c r="T31" s="1503" t="s">
        <v>8</v>
      </c>
      <c r="U31" s="1504">
        <f>H31</f>
        <v>100</v>
      </c>
      <c r="V31" s="1503" t="s">
        <v>8</v>
      </c>
      <c r="W31" s="1504">
        <f>J31</f>
        <v>100</v>
      </c>
      <c r="X31" s="1505"/>
      <c r="Y31" s="3555"/>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55"/>
      <c r="Q32" s="2429"/>
      <c r="R32" s="1503"/>
      <c r="S32" s="1504"/>
      <c r="T32" s="1503"/>
      <c r="U32" s="1504"/>
      <c r="V32" s="1503"/>
      <c r="W32" s="1504"/>
      <c r="X32" s="1505"/>
      <c r="Y32" s="3555"/>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5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5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55"/>
      <c r="Q34" s="1507" t="str">
        <f t="shared" si="8"/>
        <v>毗邻道路的类型与等级</v>
      </c>
      <c r="R34" s="1508" t="s">
        <v>8</v>
      </c>
      <c r="S34" s="1509">
        <f t="shared" si="10"/>
        <v>100</v>
      </c>
      <c r="T34" s="1508" t="s">
        <v>8</v>
      </c>
      <c r="U34" s="1509">
        <f t="shared" si="11"/>
        <v>100</v>
      </c>
      <c r="V34" s="1508" t="s">
        <v>8</v>
      </c>
      <c r="W34" s="1509">
        <f t="shared" si="12"/>
        <v>100</v>
      </c>
      <c r="X34" s="1502"/>
      <c r="Y34" s="355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55"/>
      <c r="Q35" s="1507"/>
      <c r="R35" s="1508"/>
      <c r="S35" s="1509"/>
      <c r="T35" s="1508"/>
      <c r="U35" s="1509"/>
      <c r="V35" s="1508"/>
      <c r="W35" s="1509"/>
      <c r="X35" s="1502"/>
      <c r="Y35" s="355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55"/>
      <c r="Q36" s="1507" t="str">
        <f t="shared" si="8"/>
        <v>土地级别</v>
      </c>
      <c r="R36" s="1508" t="s">
        <v>8</v>
      </c>
      <c r="S36" s="1509">
        <f t="shared" si="10"/>
        <v>100</v>
      </c>
      <c r="T36" s="1508" t="s">
        <v>8</v>
      </c>
      <c r="U36" s="1509">
        <f t="shared" si="11"/>
        <v>100</v>
      </c>
      <c r="V36" s="1508" t="s">
        <v>8</v>
      </c>
      <c r="W36" s="1509">
        <f t="shared" si="12"/>
        <v>100</v>
      </c>
      <c r="X36" s="1502"/>
      <c r="Y36" s="355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55"/>
      <c r="Q37" s="1507">
        <f t="shared" si="8"/>
        <v>111</v>
      </c>
      <c r="R37" s="1508" t="s">
        <v>8</v>
      </c>
      <c r="S37" s="1509">
        <f t="shared" si="10"/>
        <v>100</v>
      </c>
      <c r="T37" s="1508" t="s">
        <v>8</v>
      </c>
      <c r="U37" s="1509">
        <f t="shared" si="11"/>
        <v>100</v>
      </c>
      <c r="V37" s="1508" t="s">
        <v>8</v>
      </c>
      <c r="W37" s="1509">
        <f t="shared" si="12"/>
        <v>100</v>
      </c>
      <c r="X37" s="1502"/>
      <c r="Y37" s="355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56" t="s">
        <v>544</v>
      </c>
      <c r="Q38" s="1507">
        <f t="shared" si="8"/>
        <v>111</v>
      </c>
      <c r="R38" s="1508" t="s">
        <v>8</v>
      </c>
      <c r="S38" s="1509">
        <f t="shared" si="10"/>
        <v>100</v>
      </c>
      <c r="T38" s="1508" t="s">
        <v>8</v>
      </c>
      <c r="U38" s="1509">
        <f t="shared" si="11"/>
        <v>100</v>
      </c>
      <c r="V38" s="1508" t="s">
        <v>8</v>
      </c>
      <c r="W38" s="1509">
        <f t="shared" si="12"/>
        <v>100</v>
      </c>
      <c r="X38" s="1502"/>
      <c r="Y38" s="355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57"/>
      <c r="Q39" s="1507">
        <f t="shared" si="8"/>
        <v>111</v>
      </c>
      <c r="R39" s="1512" t="s">
        <v>8</v>
      </c>
      <c r="S39" s="1513">
        <f t="shared" si="10"/>
        <v>100</v>
      </c>
      <c r="T39" s="1512" t="s">
        <v>8</v>
      </c>
      <c r="U39" s="1513">
        <f t="shared" si="11"/>
        <v>100</v>
      </c>
      <c r="V39" s="1512" t="s">
        <v>8</v>
      </c>
      <c r="W39" s="1513">
        <f t="shared" si="12"/>
        <v>100</v>
      </c>
      <c r="X39" s="1514"/>
      <c r="Y39" s="3557"/>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57"/>
      <c r="Q40" s="1507" t="str">
        <f>B40</f>
        <v>宗地面积</v>
      </c>
      <c r="R40" s="1508" t="s">
        <v>8</v>
      </c>
      <c r="S40" s="1509" t="e">
        <f t="shared" si="10"/>
        <v>#N/A</v>
      </c>
      <c r="T40" s="1508" t="s">
        <v>8</v>
      </c>
      <c r="U40" s="1509" t="e">
        <f t="shared" si="11"/>
        <v>#N/A</v>
      </c>
      <c r="V40" s="1508" t="s">
        <v>8</v>
      </c>
      <c r="W40" s="1509" t="e">
        <f t="shared" si="12"/>
        <v>#N/A</v>
      </c>
      <c r="X40" s="1502"/>
      <c r="Y40" s="355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57"/>
      <c r="Q41" s="1507" t="str">
        <f t="shared" ref="Q41:Q47" si="14">B41</f>
        <v>宗地形状</v>
      </c>
      <c r="R41" s="1508" t="s">
        <v>8</v>
      </c>
      <c r="S41" s="1509">
        <f t="shared" si="10"/>
        <v>100</v>
      </c>
      <c r="T41" s="1508" t="s">
        <v>8</v>
      </c>
      <c r="U41" s="1509">
        <f t="shared" si="11"/>
        <v>100</v>
      </c>
      <c r="V41" s="1508" t="s">
        <v>8</v>
      </c>
      <c r="W41" s="1509">
        <f t="shared" si="12"/>
        <v>100</v>
      </c>
      <c r="X41" s="1502"/>
      <c r="Y41" s="355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57"/>
      <c r="Q42" s="1507" t="str">
        <f t="shared" si="14"/>
        <v>临街宽度及深度</v>
      </c>
      <c r="R42" s="1508" t="s">
        <v>8</v>
      </c>
      <c r="S42" s="1509">
        <f t="shared" si="10"/>
        <v>100</v>
      </c>
      <c r="T42" s="1508" t="s">
        <v>8</v>
      </c>
      <c r="U42" s="1509">
        <f t="shared" si="11"/>
        <v>100</v>
      </c>
      <c r="V42" s="1508" t="s">
        <v>8</v>
      </c>
      <c r="W42" s="1509">
        <f t="shared" si="12"/>
        <v>100</v>
      </c>
      <c r="X42" s="1502"/>
      <c r="Y42" s="3557"/>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57"/>
      <c r="Q43" s="1507" t="str">
        <f t="shared" si="14"/>
        <v>宗地开发程度</v>
      </c>
      <c r="R43" s="1503" t="s">
        <v>8</v>
      </c>
      <c r="S43" s="1504">
        <f t="shared" si="10"/>
        <v>100</v>
      </c>
      <c r="T43" s="1503" t="s">
        <v>8</v>
      </c>
      <c r="U43" s="1504">
        <f t="shared" si="11"/>
        <v>100</v>
      </c>
      <c r="V43" s="1503" t="s">
        <v>8</v>
      </c>
      <c r="W43" s="1504">
        <f t="shared" si="12"/>
        <v>100</v>
      </c>
      <c r="X43" s="1505"/>
      <c r="Y43" s="355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57" t="s">
        <v>544</v>
      </c>
      <c r="Q44" s="1507" t="str">
        <f t="shared" si="14"/>
        <v>工程地质条件</v>
      </c>
      <c r="R44" s="1508" t="s">
        <v>8</v>
      </c>
      <c r="S44" s="1509">
        <f t="shared" si="10"/>
        <v>100</v>
      </c>
      <c r="T44" s="1508" t="s">
        <v>8</v>
      </c>
      <c r="U44" s="1509">
        <f t="shared" si="11"/>
        <v>100</v>
      </c>
      <c r="V44" s="1508" t="s">
        <v>8</v>
      </c>
      <c r="W44" s="1509">
        <f t="shared" si="12"/>
        <v>100</v>
      </c>
      <c r="X44" s="1502"/>
      <c r="Y44" s="355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57"/>
      <c r="Q45" s="1507">
        <f t="shared" si="14"/>
        <v>111</v>
      </c>
      <c r="R45" s="1508" t="s">
        <v>8</v>
      </c>
      <c r="S45" s="1509">
        <f t="shared" si="10"/>
        <v>100</v>
      </c>
      <c r="T45" s="1508" t="s">
        <v>8</v>
      </c>
      <c r="U45" s="1509">
        <f t="shared" si="11"/>
        <v>100</v>
      </c>
      <c r="V45" s="1508" t="s">
        <v>8</v>
      </c>
      <c r="W45" s="1509">
        <f t="shared" si="12"/>
        <v>100</v>
      </c>
      <c r="X45" s="1502"/>
      <c r="Y45" s="355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57"/>
      <c r="Q46" s="1507">
        <f t="shared" si="14"/>
        <v>111</v>
      </c>
      <c r="R46" s="1508" t="s">
        <v>8</v>
      </c>
      <c r="S46" s="1509">
        <f t="shared" si="10"/>
        <v>100</v>
      </c>
      <c r="T46" s="1508" t="s">
        <v>8</v>
      </c>
      <c r="U46" s="1509">
        <f t="shared" si="11"/>
        <v>100</v>
      </c>
      <c r="V46" s="1508" t="s">
        <v>8</v>
      </c>
      <c r="W46" s="1509">
        <f t="shared" si="12"/>
        <v>100</v>
      </c>
      <c r="X46" s="1502"/>
      <c r="Y46" s="355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57"/>
      <c r="Q47" s="1507">
        <f t="shared" si="14"/>
        <v>111</v>
      </c>
      <c r="R47" s="1512" t="s">
        <v>8</v>
      </c>
      <c r="S47" s="1513">
        <f t="shared" si="10"/>
        <v>100</v>
      </c>
      <c r="T47" s="1512" t="s">
        <v>8</v>
      </c>
      <c r="U47" s="1513">
        <f t="shared" si="11"/>
        <v>100</v>
      </c>
      <c r="V47" s="1512" t="s">
        <v>8</v>
      </c>
      <c r="W47" s="1513">
        <f t="shared" si="12"/>
        <v>100</v>
      </c>
      <c r="X47" s="1514"/>
      <c r="Y47" s="355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558" t="str">
        <f>A48</f>
        <v>成交单价</v>
      </c>
      <c r="Q48" s="3558"/>
      <c r="R48" s="3551">
        <f>E48</f>
        <v>0</v>
      </c>
      <c r="S48" s="3551"/>
      <c r="T48" s="3551">
        <f>G48</f>
        <v>0</v>
      </c>
      <c r="U48" s="3551"/>
      <c r="V48" s="3551">
        <f>I48</f>
        <v>0</v>
      </c>
      <c r="W48" s="3551"/>
      <c r="X48" s="1497"/>
      <c r="Y48" s="1516"/>
      <c r="Z48" s="1497"/>
      <c r="AA48" s="1497"/>
      <c r="AB48" s="1497"/>
      <c r="AC48" s="1497"/>
    </row>
    <row r="49" spans="1:29" ht="21" thickBot="1">
      <c r="A49" s="609" t="s">
        <v>2673</v>
      </c>
      <c r="B49" s="610"/>
      <c r="C49" s="611" t="e">
        <f>R50</f>
        <v>#DIV/0!</v>
      </c>
      <c r="D49" s="3015" t="s">
        <v>2972</v>
      </c>
      <c r="E49" s="611" t="e">
        <f>R49</f>
        <v>#DIV/0!</v>
      </c>
      <c r="F49" s="3016"/>
      <c r="G49" s="612" t="e">
        <f>T49</f>
        <v>#DIV/0!</v>
      </c>
      <c r="H49" s="3016"/>
      <c r="I49" s="611" t="e">
        <f>V49</f>
        <v>#DIV/0!</v>
      </c>
      <c r="J49" s="3016"/>
      <c r="K49" s="3017">
        <f>F49+H49+J49</f>
        <v>0</v>
      </c>
      <c r="L49" s="2027"/>
      <c r="M49" s="2015"/>
      <c r="N49" s="2015"/>
      <c r="O49" s="2028"/>
      <c r="P49" s="3558" t="str">
        <f>A49</f>
        <v>比较价格（元/平方米）</v>
      </c>
      <c r="Q49" s="3558"/>
      <c r="R49" s="3567" t="e">
        <f>ROUND(PRODUCT(R48,AA9:AA47),0)</f>
        <v>#DIV/0!</v>
      </c>
      <c r="S49" s="3567"/>
      <c r="T49" s="3567" t="e">
        <f>ROUND(PRODUCT(T48,AB9:AB47),0)</f>
        <v>#DIV/0!</v>
      </c>
      <c r="U49" s="3567"/>
      <c r="V49" s="3567" t="e">
        <f>ROUND(PRODUCT(V48,AC9:AC47),0)</f>
        <v>#DIV/0!</v>
      </c>
      <c r="W49" s="3567"/>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564" t="str">
        <f>A50</f>
        <v>估价对象XX用房的比较价格（楼面单价，元/平方米）</v>
      </c>
      <c r="Q50" s="3565"/>
      <c r="R50" s="3568" t="e">
        <f>ROUND(IF(D49="简单平均",AVERAGE(R49:W49),R49*F49+T49*H49+V49*J49),0)</f>
        <v>#DIV/0!</v>
      </c>
      <c r="S50" s="3568"/>
      <c r="T50" s="3568"/>
      <c r="U50" s="3568"/>
      <c r="V50" s="3568"/>
      <c r="W50" s="3568"/>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571" t="s">
        <v>2268</v>
      </c>
      <c r="H57" s="3572"/>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5000</v>
      </c>
      <c r="F58" s="628" t="e">
        <f t="shared" ref="F58:F67" si="15">ROUND(B58*E58/10000,0)</f>
        <v>#DIV/0!</v>
      </c>
      <c r="G58" s="3573"/>
      <c r="H58" s="3574"/>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75" t="s">
        <v>2269</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75"/>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75"/>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75"/>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t="e">
        <f t="shared" si="17"/>
        <v>#DIV/0!</v>
      </c>
      <c r="C63" s="372">
        <f t="shared" si="16"/>
        <v>0</v>
      </c>
      <c r="D63" s="2110">
        <v>0.25</v>
      </c>
      <c r="E63" s="633">
        <f>'数据-汇总表'!E11</f>
        <v>0</v>
      </c>
      <c r="F63" s="628" t="e">
        <f t="shared" si="15"/>
        <v>#DIV/0!</v>
      </c>
      <c r="G63" s="1860" t="s">
        <v>2270</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2269</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2270</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6316</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2020-9-1</v>
      </c>
      <c r="D70" s="2517">
        <f>EDATE(C70,-3)</f>
        <v>43983</v>
      </c>
      <c r="E70" s="2517">
        <f t="shared" ref="E70:N70" si="18">EDATE(D70,-3)</f>
        <v>43891</v>
      </c>
      <c r="F70" s="2517">
        <f t="shared" si="18"/>
        <v>43800</v>
      </c>
      <c r="G70" s="2517">
        <f t="shared" si="18"/>
        <v>43709</v>
      </c>
      <c r="H70" s="2517">
        <f t="shared" si="18"/>
        <v>43617</v>
      </c>
      <c r="I70" s="2517">
        <f t="shared" si="18"/>
        <v>43525</v>
      </c>
      <c r="J70" s="2517">
        <f t="shared" si="18"/>
        <v>43435</v>
      </c>
      <c r="K70" s="2517">
        <f t="shared" si="18"/>
        <v>43344</v>
      </c>
      <c r="L70" s="2517">
        <f t="shared" si="18"/>
        <v>43252</v>
      </c>
      <c r="M70" s="2517">
        <f t="shared" si="18"/>
        <v>43160</v>
      </c>
      <c r="N70" s="2517">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北京市平均增长率1.79%</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8" stopIfTrue="1" operator="containsText" text="超过">
      <formula>NOT(ISERROR(SEARCH("超过",F53)))</formula>
    </cfRule>
  </conditionalFormatting>
  <conditionalFormatting sqref="J55">
    <cfRule type="containsText" dxfId="137" priority="17" stopIfTrue="1" operator="containsText" text="超过">
      <formula>NOT(ISERROR(SEARCH("超过",J55)))</formula>
    </cfRule>
  </conditionalFormatting>
  <conditionalFormatting sqref="H55">
    <cfRule type="containsText" dxfId="136" priority="16" stopIfTrue="1" operator="containsText" text="超过">
      <formula>NOT(ISERROR(SEARCH("超过",H55)))</formula>
    </cfRule>
  </conditionalFormatting>
  <conditionalFormatting sqref="F55">
    <cfRule type="containsText" dxfId="135" priority="15" stopIfTrue="1" operator="containsText" text="超过">
      <formula>NOT(ISERROR(SEARCH("超过",F55)))</formula>
    </cfRule>
  </conditionalFormatting>
  <conditionalFormatting sqref="F54 H54 J54">
    <cfRule type="containsText" dxfId="134" priority="14" stopIfTrue="1" operator="containsText" text="超过">
      <formula>NOT(ISERROR(SEARCH("超过",F54)))</formula>
    </cfRule>
  </conditionalFormatting>
  <conditionalFormatting sqref="E53">
    <cfRule type="expression" dxfId="133" priority="13" stopIfTrue="1">
      <formula>$F$53="超过30%"</formula>
    </cfRule>
  </conditionalFormatting>
  <conditionalFormatting sqref="G55">
    <cfRule type="expression" dxfId="132" priority="12" stopIfTrue="1">
      <formula>$H$55="超过30%"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I53">
    <cfRule type="expression" dxfId="127" priority="7" stopIfTrue="1">
      <formula>$J$53="超过30%"</formula>
    </cfRule>
  </conditionalFormatting>
  <conditionalFormatting sqref="I54">
    <cfRule type="expression" dxfId="126" priority="6" stopIfTrue="1">
      <formula>$J$54="超过20%"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9:F47 H9:H47 J9:J47">
    <cfRule type="cellIs" dxfId="12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2952</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6" t="s">
        <v>998</v>
      </c>
      <c r="B18" s="1137" t="s">
        <v>1437</v>
      </c>
      <c r="C18" s="1114" t="s">
        <v>1438</v>
      </c>
      <c r="D18" s="1115"/>
      <c r="E18" s="1137">
        <v>1</v>
      </c>
      <c r="F18" s="1116" t="s">
        <v>1439</v>
      </c>
      <c r="G18" s="1117"/>
      <c r="H18" s="1088"/>
      <c r="I18" s="1088"/>
    </row>
    <row r="19" spans="1:9" s="1530" customFormat="1" ht="19.5" customHeight="1">
      <c r="A19" s="3516"/>
      <c r="B19" s="3516" t="s">
        <v>1440</v>
      </c>
      <c r="C19" s="1114" t="s">
        <v>1441</v>
      </c>
      <c r="D19" s="1115"/>
      <c r="E19" s="1137">
        <v>0.9</v>
      </c>
      <c r="F19" s="1116" t="s">
        <v>1442</v>
      </c>
      <c r="G19" s="1117"/>
      <c r="H19" s="1088"/>
      <c r="I19" s="1088"/>
    </row>
    <row r="20" spans="1:9" s="1530" customFormat="1" ht="19.5" customHeight="1">
      <c r="A20" s="3516"/>
      <c r="B20" s="3516"/>
      <c r="C20" s="1114" t="s">
        <v>1443</v>
      </c>
      <c r="D20" s="1115"/>
      <c r="E20" s="1137">
        <v>1.1000000000000001</v>
      </c>
      <c r="F20" s="1116" t="s">
        <v>1444</v>
      </c>
      <c r="G20" s="1117"/>
      <c r="H20" s="1088"/>
      <c r="I20" s="1088"/>
    </row>
    <row r="21" spans="1:9" s="1530" customFormat="1" ht="19.5" customHeight="1">
      <c r="A21" s="3516"/>
      <c r="B21" s="3516"/>
      <c r="C21" s="1114" t="s">
        <v>1445</v>
      </c>
      <c r="D21" s="1115"/>
      <c r="E21" s="1137">
        <v>0.8</v>
      </c>
      <c r="F21" s="1116" t="s">
        <v>1446</v>
      </c>
      <c r="G21" s="1117"/>
      <c r="H21" s="1088"/>
      <c r="I21" s="1088"/>
    </row>
    <row r="22" spans="1:9" s="1530" customFormat="1" ht="19.5" customHeight="1">
      <c r="A22" s="3516"/>
      <c r="B22" s="3516"/>
      <c r="C22" s="1114" t="s">
        <v>1447</v>
      </c>
      <c r="D22" s="1115"/>
      <c r="E22" s="1137">
        <v>0.5</v>
      </c>
      <c r="F22" s="1116"/>
      <c r="G22" s="1117"/>
      <c r="H22" s="1088"/>
      <c r="I22" s="1088"/>
    </row>
    <row r="23" spans="1:9" s="1530" customFormat="1" ht="19.5" customHeight="1">
      <c r="A23" s="3516" t="s">
        <v>1020</v>
      </c>
      <c r="B23" s="1137" t="s">
        <v>1437</v>
      </c>
      <c r="C23" s="1114" t="s">
        <v>1448</v>
      </c>
      <c r="D23" s="1115"/>
      <c r="E23" s="1137">
        <v>1</v>
      </c>
      <c r="F23" s="1116" t="s">
        <v>1449</v>
      </c>
      <c r="G23" s="1117"/>
      <c r="H23" s="1088"/>
      <c r="I23" s="1088"/>
    </row>
    <row r="24" spans="1:9" s="1530" customFormat="1" ht="19.5" customHeight="1">
      <c r="A24" s="3516"/>
      <c r="B24" s="3516" t="s">
        <v>1440</v>
      </c>
      <c r="C24" s="1114" t="s">
        <v>1450</v>
      </c>
      <c r="D24" s="1115"/>
      <c r="E24" s="1137">
        <v>0.5</v>
      </c>
      <c r="F24" s="1116"/>
      <c r="G24" s="1117"/>
      <c r="H24" s="1088"/>
      <c r="I24" s="1088"/>
    </row>
    <row r="25" spans="1:9" s="1530" customFormat="1" ht="19.5" customHeight="1">
      <c r="A25" s="3516"/>
      <c r="B25" s="3516"/>
      <c r="C25" s="1114" t="s">
        <v>1451</v>
      </c>
      <c r="D25" s="1115"/>
      <c r="E25" s="1137">
        <v>1.1000000000000001</v>
      </c>
      <c r="F25" s="1116"/>
      <c r="G25" s="1117"/>
      <c r="H25" s="1088"/>
      <c r="I25" s="1088"/>
    </row>
    <row r="26" spans="1:9" s="1530" customFormat="1" ht="19.5" customHeight="1">
      <c r="A26" s="3516"/>
      <c r="B26" s="3516"/>
      <c r="C26" s="1114" t="s">
        <v>1452</v>
      </c>
      <c r="D26" s="1115"/>
      <c r="E26" s="1137">
        <v>1.1000000000000001</v>
      </c>
      <c r="F26" s="1116"/>
      <c r="G26" s="1117"/>
      <c r="H26" s="1088"/>
      <c r="I26" s="1088"/>
    </row>
    <row r="27" spans="1:9" s="1530" customFormat="1" ht="19.5" customHeight="1">
      <c r="A27" s="3516"/>
      <c r="B27" s="3516"/>
      <c r="C27" s="1114" t="s">
        <v>1453</v>
      </c>
      <c r="D27" s="1115"/>
      <c r="E27" s="1137">
        <v>0.9</v>
      </c>
      <c r="F27" s="1116" t="s">
        <v>1454</v>
      </c>
      <c r="G27" s="1117"/>
      <c r="H27" s="1088"/>
      <c r="I27" s="1088"/>
    </row>
    <row r="28" spans="1:9" s="1530" customFormat="1" ht="19.5" customHeight="1">
      <c r="A28" s="3516"/>
      <c r="B28" s="3516"/>
      <c r="C28" s="1114" t="s">
        <v>1455</v>
      </c>
      <c r="D28" s="1115"/>
      <c r="E28" s="1137">
        <v>0.9</v>
      </c>
      <c r="F28" s="1116" t="s">
        <v>1456</v>
      </c>
      <c r="G28" s="1117"/>
      <c r="H28" s="1088"/>
      <c r="I28" s="1088"/>
    </row>
    <row r="29" spans="1:9" s="1530" customFormat="1" ht="19.5" customHeight="1">
      <c r="A29" s="3516"/>
      <c r="B29" s="3516"/>
      <c r="C29" s="1114" t="s">
        <v>1457</v>
      </c>
      <c r="D29" s="1115"/>
      <c r="E29" s="1137">
        <v>0.9</v>
      </c>
      <c r="F29" s="1116" t="s">
        <v>1458</v>
      </c>
      <c r="G29" s="1117"/>
      <c r="H29" s="1088"/>
      <c r="I29" s="1088"/>
    </row>
    <row r="30" spans="1:9" s="1530" customFormat="1" ht="19.5" customHeight="1">
      <c r="A30" s="3516"/>
      <c r="B30" s="3516"/>
      <c r="C30" s="1114" t="s">
        <v>1459</v>
      </c>
      <c r="D30" s="1115"/>
      <c r="E30" s="1137">
        <v>0.9</v>
      </c>
      <c r="F30" s="1116" t="s">
        <v>1460</v>
      </c>
      <c r="G30" s="1117"/>
      <c r="H30" s="1088"/>
      <c r="I30" s="1088"/>
    </row>
    <row r="31" spans="1:9" s="1530" customFormat="1" ht="19.5" customHeight="1">
      <c r="A31" s="3516"/>
      <c r="B31" s="3516"/>
      <c r="C31" s="1114" t="s">
        <v>1461</v>
      </c>
      <c r="D31" s="1115"/>
      <c r="E31" s="1137">
        <v>0.8</v>
      </c>
      <c r="F31" s="1116" t="s">
        <v>1462</v>
      </c>
      <c r="G31" s="1117"/>
      <c r="H31" s="1088"/>
      <c r="I31" s="1088"/>
    </row>
    <row r="32" spans="1:9" s="1530" customFormat="1" ht="19.5" customHeight="1">
      <c r="A32" s="3516"/>
      <c r="B32" s="3516"/>
      <c r="C32" s="1114" t="s">
        <v>1463</v>
      </c>
      <c r="D32" s="1115"/>
      <c r="E32" s="1137">
        <v>0.8</v>
      </c>
      <c r="F32" s="1116" t="s">
        <v>1464</v>
      </c>
      <c r="G32" s="1117"/>
      <c r="H32" s="1088"/>
      <c r="I32" s="1088"/>
    </row>
    <row r="33" spans="1:9" s="1530" customFormat="1" ht="19.5" customHeight="1">
      <c r="A33" s="3516" t="s">
        <v>1465</v>
      </c>
      <c r="B33" s="1137" t="s">
        <v>1437</v>
      </c>
      <c r="C33" s="1114" t="s">
        <v>1466</v>
      </c>
      <c r="D33" s="1115"/>
      <c r="E33" s="1137">
        <v>1</v>
      </c>
      <c r="F33" s="1116" t="s">
        <v>1467</v>
      </c>
      <c r="G33" s="1117"/>
      <c r="H33" s="1088"/>
      <c r="I33" s="1088"/>
    </row>
    <row r="34" spans="1:9" s="1530" customFormat="1" ht="19.5" customHeight="1">
      <c r="A34" s="3516"/>
      <c r="B34" s="1137" t="s">
        <v>1440</v>
      </c>
      <c r="C34" s="1114" t="s">
        <v>1468</v>
      </c>
      <c r="D34" s="1115"/>
      <c r="E34" s="1137">
        <v>1.5</v>
      </c>
      <c r="F34" s="1116" t="s">
        <v>1469</v>
      </c>
      <c r="G34" s="1117"/>
      <c r="H34" s="1088"/>
      <c r="I34" s="1088"/>
    </row>
    <row r="35" spans="1:9" s="1530" customFormat="1" ht="19.5" customHeight="1">
      <c r="A35" s="3516" t="s">
        <v>1423</v>
      </c>
      <c r="B35" s="1137" t="s">
        <v>1437</v>
      </c>
      <c r="C35" s="1114" t="s">
        <v>1470</v>
      </c>
      <c r="D35" s="1115"/>
      <c r="E35" s="1137">
        <v>1</v>
      </c>
      <c r="F35" s="1116" t="s">
        <v>1471</v>
      </c>
      <c r="G35" s="1117"/>
      <c r="H35" s="1088"/>
      <c r="I35" s="1088"/>
    </row>
    <row r="36" spans="1:9" s="1530" customFormat="1" ht="19.5" customHeight="1">
      <c r="A36" s="3516"/>
      <c r="B36" s="3516" t="s">
        <v>1440</v>
      </c>
      <c r="C36" s="1114" t="s">
        <v>1472</v>
      </c>
      <c r="D36" s="1115"/>
      <c r="E36" s="1137">
        <v>1</v>
      </c>
      <c r="F36" s="1116" t="s">
        <v>1473</v>
      </c>
      <c r="G36" s="1117"/>
      <c r="H36" s="1088"/>
      <c r="I36" s="1088"/>
    </row>
    <row r="37" spans="1:9" s="1530" customFormat="1" ht="19.5" customHeight="1">
      <c r="A37" s="3516"/>
      <c r="B37" s="3516"/>
      <c r="C37" s="1114" t="s">
        <v>1474</v>
      </c>
      <c r="D37" s="1115"/>
      <c r="E37" s="1137">
        <v>1.5</v>
      </c>
      <c r="F37" s="1116" t="s">
        <v>1475</v>
      </c>
      <c r="G37" s="1117"/>
      <c r="H37" s="1088"/>
      <c r="I37" s="1088"/>
    </row>
    <row r="38" spans="1:9" s="1530" customFormat="1" ht="19.5" customHeight="1">
      <c r="A38" s="3516"/>
      <c r="B38" s="3516"/>
      <c r="C38" s="1114" t="s">
        <v>1476</v>
      </c>
      <c r="D38" s="1115"/>
      <c r="E38" s="1137">
        <v>1</v>
      </c>
      <c r="F38" s="1116" t="s">
        <v>1477</v>
      </c>
      <c r="G38" s="1117"/>
      <c r="H38" s="1088"/>
      <c r="I38" s="1088"/>
    </row>
    <row r="39" spans="1:9" s="1530" customFormat="1" ht="19.5" customHeight="1">
      <c r="A39" s="3516"/>
      <c r="B39" s="351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6" t="s">
        <v>1492</v>
      </c>
      <c r="C61" s="1051" t="s">
        <v>1493</v>
      </c>
      <c r="D61" s="1051" t="s">
        <v>1494</v>
      </c>
      <c r="E61" s="1122">
        <v>0.5</v>
      </c>
      <c r="F61" s="1137">
        <v>80</v>
      </c>
      <c r="H61" s="1088">
        <f>SUMIF(C59:C119,基准地价!C8,E59:E119)</f>
        <v>0</v>
      </c>
    </row>
    <row r="62" spans="1:8" s="1088" customFormat="1" ht="24">
      <c r="A62" s="1137">
        <v>2</v>
      </c>
      <c r="B62" s="3516"/>
      <c r="C62" s="1051" t="s">
        <v>1495</v>
      </c>
      <c r="D62" s="1051" t="s">
        <v>1496</v>
      </c>
      <c r="E62" s="1122">
        <v>0.5</v>
      </c>
      <c r="F62" s="1137">
        <v>80</v>
      </c>
    </row>
    <row r="63" spans="1:8" s="1088" customFormat="1" ht="36">
      <c r="A63" s="1137">
        <v>3</v>
      </c>
      <c r="B63" s="3516"/>
      <c r="C63" s="1051" t="s">
        <v>1497</v>
      </c>
      <c r="D63" s="1051" t="s">
        <v>1498</v>
      </c>
      <c r="E63" s="1122">
        <v>0.5</v>
      </c>
      <c r="F63" s="1137">
        <v>80</v>
      </c>
    </row>
    <row r="64" spans="1:8" s="1088" customFormat="1" ht="36">
      <c r="A64" s="1137">
        <v>4</v>
      </c>
      <c r="B64" s="3516"/>
      <c r="C64" s="1051" t="s">
        <v>1499</v>
      </c>
      <c r="D64" s="1051" t="s">
        <v>1500</v>
      </c>
      <c r="E64" s="1122">
        <v>0.4</v>
      </c>
      <c r="F64" s="1137">
        <v>60</v>
      </c>
    </row>
    <row r="65" spans="1:6" s="1088" customFormat="1" ht="36">
      <c r="A65" s="1137">
        <v>5</v>
      </c>
      <c r="B65" s="3516"/>
      <c r="C65" s="1051" t="s">
        <v>1501</v>
      </c>
      <c r="D65" s="1051" t="s">
        <v>1502</v>
      </c>
      <c r="E65" s="1122">
        <v>0.2</v>
      </c>
      <c r="F65" s="1137">
        <v>30</v>
      </c>
    </row>
    <row r="66" spans="1:6" s="1088" customFormat="1" ht="36">
      <c r="A66" s="1137">
        <v>6</v>
      </c>
      <c r="B66" s="3516"/>
      <c r="C66" s="1051" t="s">
        <v>1503</v>
      </c>
      <c r="D66" s="1051" t="s">
        <v>1504</v>
      </c>
      <c r="E66" s="1122">
        <v>0.3</v>
      </c>
      <c r="F66" s="1137">
        <v>50</v>
      </c>
    </row>
    <row r="67" spans="1:6" s="1088" customFormat="1" ht="36">
      <c r="A67" s="1137">
        <v>7</v>
      </c>
      <c r="B67" s="3516"/>
      <c r="C67" s="1051" t="s">
        <v>1505</v>
      </c>
      <c r="D67" s="1051" t="s">
        <v>1506</v>
      </c>
      <c r="E67" s="1122">
        <v>0.2</v>
      </c>
      <c r="F67" s="1137">
        <v>30</v>
      </c>
    </row>
    <row r="68" spans="1:6" s="1088" customFormat="1" ht="36">
      <c r="A68" s="1137">
        <v>8</v>
      </c>
      <c r="B68" s="3516"/>
      <c r="C68" s="1051" t="s">
        <v>1507</v>
      </c>
      <c r="D68" s="1051" t="s">
        <v>1508</v>
      </c>
      <c r="E68" s="1122">
        <v>0.2</v>
      </c>
      <c r="F68" s="1137">
        <v>30</v>
      </c>
    </row>
    <row r="69" spans="1:6" s="1088" customFormat="1" ht="36">
      <c r="A69" s="1137">
        <v>9</v>
      </c>
      <c r="B69" s="3516"/>
      <c r="C69" s="1051" t="s">
        <v>1509</v>
      </c>
      <c r="D69" s="1051" t="s">
        <v>1510</v>
      </c>
      <c r="E69" s="1122">
        <v>0.2</v>
      </c>
      <c r="F69" s="1137">
        <v>30</v>
      </c>
    </row>
    <row r="70" spans="1:6" s="1088" customFormat="1" ht="48">
      <c r="A70" s="1137">
        <v>10</v>
      </c>
      <c r="B70" s="3516"/>
      <c r="C70" s="1051" t="s">
        <v>1511</v>
      </c>
      <c r="D70" s="1051" t="s">
        <v>1512</v>
      </c>
      <c r="E70" s="1122">
        <v>0.2</v>
      </c>
      <c r="F70" s="1137">
        <v>30</v>
      </c>
    </row>
    <row r="71" spans="1:6" s="1088" customFormat="1" ht="48">
      <c r="A71" s="1137">
        <v>11</v>
      </c>
      <c r="B71" s="3516"/>
      <c r="C71" s="1051" t="s">
        <v>1513</v>
      </c>
      <c r="D71" s="1051" t="s">
        <v>1514</v>
      </c>
      <c r="E71" s="1122">
        <v>0.2</v>
      </c>
      <c r="F71" s="1137">
        <v>30</v>
      </c>
    </row>
    <row r="72" spans="1:6" s="1088" customFormat="1" ht="36">
      <c r="A72" s="1137">
        <v>12</v>
      </c>
      <c r="B72" s="3516"/>
      <c r="C72" s="1051" t="s">
        <v>1515</v>
      </c>
      <c r="D72" s="1051" t="s">
        <v>1516</v>
      </c>
      <c r="E72" s="1122">
        <v>0.5</v>
      </c>
      <c r="F72" s="1137">
        <v>80</v>
      </c>
    </row>
    <row r="73" spans="1:6" s="1088" customFormat="1" ht="24">
      <c r="A73" s="1137">
        <v>13</v>
      </c>
      <c r="B73" s="3516"/>
      <c r="C73" s="1051" t="s">
        <v>1517</v>
      </c>
      <c r="D73" s="1051" t="s">
        <v>1518</v>
      </c>
      <c r="E73" s="1122">
        <v>0.4</v>
      </c>
      <c r="F73" s="1137">
        <v>60</v>
      </c>
    </row>
    <row r="74" spans="1:6" s="1088" customFormat="1" ht="24">
      <c r="A74" s="1137">
        <v>14</v>
      </c>
      <c r="B74" s="3516"/>
      <c r="C74" s="1051" t="s">
        <v>1519</v>
      </c>
      <c r="D74" s="1051" t="s">
        <v>1520</v>
      </c>
      <c r="E74" s="1122">
        <v>0.2</v>
      </c>
      <c r="F74" s="1137">
        <v>30</v>
      </c>
    </row>
    <row r="75" spans="1:6" s="1088" customFormat="1" ht="24">
      <c r="A75" s="1137">
        <v>15</v>
      </c>
      <c r="B75" s="3516"/>
      <c r="C75" s="1051" t="s">
        <v>1521</v>
      </c>
      <c r="D75" s="1051" t="s">
        <v>1522</v>
      </c>
      <c r="E75" s="1122">
        <v>0.2</v>
      </c>
      <c r="F75" s="1137">
        <v>30</v>
      </c>
    </row>
    <row r="76" spans="1:6" s="1088" customFormat="1" ht="24">
      <c r="A76" s="1137">
        <v>16</v>
      </c>
      <c r="B76" s="3516" t="s">
        <v>1523</v>
      </c>
      <c r="C76" s="1051" t="s">
        <v>1524</v>
      </c>
      <c r="D76" s="1051" t="s">
        <v>1525</v>
      </c>
      <c r="E76" s="1122">
        <v>0.5</v>
      </c>
      <c r="F76" s="1137">
        <v>80</v>
      </c>
    </row>
    <row r="77" spans="1:6" s="1088" customFormat="1" ht="24">
      <c r="A77" s="1137">
        <v>17</v>
      </c>
      <c r="B77" s="3516"/>
      <c r="C77" s="1051" t="s">
        <v>1526</v>
      </c>
      <c r="D77" s="1051" t="s">
        <v>1527</v>
      </c>
      <c r="E77" s="1122">
        <v>0.5</v>
      </c>
      <c r="F77" s="1137">
        <v>80</v>
      </c>
    </row>
    <row r="78" spans="1:6" s="1088" customFormat="1" ht="24">
      <c r="A78" s="1137">
        <v>18</v>
      </c>
      <c r="B78" s="3516"/>
      <c r="C78" s="1051" t="s">
        <v>1528</v>
      </c>
      <c r="D78" s="1051" t="s">
        <v>1529</v>
      </c>
      <c r="E78" s="1122">
        <v>0.2</v>
      </c>
      <c r="F78" s="1137">
        <v>30</v>
      </c>
    </row>
    <row r="79" spans="1:6" s="1088" customFormat="1" ht="24">
      <c r="A79" s="1137">
        <v>19</v>
      </c>
      <c r="B79" s="3516"/>
      <c r="C79" s="1051" t="s">
        <v>1530</v>
      </c>
      <c r="D79" s="1051" t="s">
        <v>1531</v>
      </c>
      <c r="E79" s="1122">
        <v>0.5</v>
      </c>
      <c r="F79" s="1137">
        <v>80</v>
      </c>
    </row>
    <row r="80" spans="1:6" s="1088" customFormat="1" ht="36">
      <c r="A80" s="1137">
        <v>20</v>
      </c>
      <c r="B80" s="3516"/>
      <c r="C80" s="1051" t="s">
        <v>1532</v>
      </c>
      <c r="D80" s="1051" t="s">
        <v>1533</v>
      </c>
      <c r="E80" s="1122">
        <v>0.2</v>
      </c>
      <c r="F80" s="1137">
        <v>30</v>
      </c>
    </row>
    <row r="81" spans="1:6" s="1088" customFormat="1" ht="36">
      <c r="A81" s="1137">
        <v>21</v>
      </c>
      <c r="B81" s="3516"/>
      <c r="C81" s="1051" t="s">
        <v>1534</v>
      </c>
      <c r="D81" s="1051" t="s">
        <v>1535</v>
      </c>
      <c r="E81" s="1122">
        <v>0.2</v>
      </c>
      <c r="F81" s="1137">
        <v>30</v>
      </c>
    </row>
    <row r="82" spans="1:6" s="1088" customFormat="1" ht="48">
      <c r="A82" s="1137">
        <v>22</v>
      </c>
      <c r="B82" s="3516"/>
      <c r="C82" s="1051" t="s">
        <v>1536</v>
      </c>
      <c r="D82" s="1051" t="s">
        <v>1537</v>
      </c>
      <c r="E82" s="1122">
        <v>0.2</v>
      </c>
      <c r="F82" s="1137">
        <v>30</v>
      </c>
    </row>
    <row r="83" spans="1:6" s="1088" customFormat="1" ht="48">
      <c r="A83" s="1137">
        <v>23</v>
      </c>
      <c r="B83" s="3516"/>
      <c r="C83" s="1051" t="s">
        <v>1538</v>
      </c>
      <c r="D83" s="1051" t="s">
        <v>1539</v>
      </c>
      <c r="E83" s="1122">
        <v>0.2</v>
      </c>
      <c r="F83" s="1137">
        <v>30</v>
      </c>
    </row>
    <row r="84" spans="1:6" s="1088" customFormat="1" ht="36">
      <c r="A84" s="1137">
        <v>24</v>
      </c>
      <c r="B84" s="3516"/>
      <c r="C84" s="1051" t="s">
        <v>1540</v>
      </c>
      <c r="D84" s="1051" t="s">
        <v>1541</v>
      </c>
      <c r="E84" s="1122">
        <v>0.2</v>
      </c>
      <c r="F84" s="1137">
        <v>30</v>
      </c>
    </row>
    <row r="85" spans="1:6" s="1088" customFormat="1" ht="36">
      <c r="A85" s="1137">
        <v>25</v>
      </c>
      <c r="B85" s="3516"/>
      <c r="C85" s="1051" t="s">
        <v>1542</v>
      </c>
      <c r="D85" s="1051" t="s">
        <v>1543</v>
      </c>
      <c r="E85" s="1122">
        <v>0.5</v>
      </c>
      <c r="F85" s="1137">
        <v>80</v>
      </c>
    </row>
    <row r="86" spans="1:6" s="1088" customFormat="1" ht="36">
      <c r="A86" s="1137">
        <v>26</v>
      </c>
      <c r="B86" s="3516"/>
      <c r="C86" s="1051" t="s">
        <v>1544</v>
      </c>
      <c r="D86" s="1051" t="s">
        <v>1545</v>
      </c>
      <c r="E86" s="1122">
        <v>0.2</v>
      </c>
      <c r="F86" s="1137">
        <v>30</v>
      </c>
    </row>
    <row r="87" spans="1:6" s="1088" customFormat="1" ht="36">
      <c r="A87" s="1137">
        <v>27</v>
      </c>
      <c r="B87" s="3516"/>
      <c r="C87" s="1051" t="s">
        <v>1546</v>
      </c>
      <c r="D87" s="1051" t="s">
        <v>1547</v>
      </c>
      <c r="E87" s="1122">
        <v>0.2</v>
      </c>
      <c r="F87" s="1137">
        <v>30</v>
      </c>
    </row>
    <row r="88" spans="1:6" s="1088" customFormat="1" ht="36">
      <c r="A88" s="1137">
        <v>28</v>
      </c>
      <c r="B88" s="3516"/>
      <c r="C88" s="1051" t="s">
        <v>1548</v>
      </c>
      <c r="D88" s="1051" t="s">
        <v>1549</v>
      </c>
      <c r="E88" s="1122">
        <v>0.2</v>
      </c>
      <c r="F88" s="1137">
        <v>30</v>
      </c>
    </row>
    <row r="89" spans="1:6" s="1088" customFormat="1" ht="24">
      <c r="A89" s="1137">
        <v>29</v>
      </c>
      <c r="B89" s="3516"/>
      <c r="C89" s="1051" t="s">
        <v>1550</v>
      </c>
      <c r="D89" s="1051" t="s">
        <v>1551</v>
      </c>
      <c r="E89" s="1122">
        <v>0.2</v>
      </c>
      <c r="F89" s="1137">
        <v>30</v>
      </c>
    </row>
    <row r="90" spans="1:6" s="1088" customFormat="1" ht="24">
      <c r="A90" s="1137">
        <v>30</v>
      </c>
      <c r="B90" s="3516"/>
      <c r="C90" s="1051" t="s">
        <v>1552</v>
      </c>
      <c r="D90" s="1051" t="s">
        <v>1553</v>
      </c>
      <c r="E90" s="1122">
        <v>0.2</v>
      </c>
      <c r="F90" s="1137">
        <v>30</v>
      </c>
    </row>
    <row r="91" spans="1:6" s="1088" customFormat="1" ht="36">
      <c r="A91" s="1137">
        <v>31</v>
      </c>
      <c r="B91" s="3516"/>
      <c r="C91" s="1051" t="s">
        <v>1554</v>
      </c>
      <c r="D91" s="1051" t="s">
        <v>1555</v>
      </c>
      <c r="E91" s="1122">
        <v>0.2</v>
      </c>
      <c r="F91" s="1137">
        <v>30</v>
      </c>
    </row>
    <row r="92" spans="1:6" s="1088" customFormat="1" ht="24">
      <c r="A92" s="1137">
        <v>32</v>
      </c>
      <c r="B92" s="3516" t="s">
        <v>1556</v>
      </c>
      <c r="C92" s="1137" t="s">
        <v>1557</v>
      </c>
      <c r="D92" s="1051" t="s">
        <v>1558</v>
      </c>
      <c r="E92" s="1122">
        <v>0.2</v>
      </c>
      <c r="F92" s="1137">
        <v>30</v>
      </c>
    </row>
    <row r="93" spans="1:6" s="1088" customFormat="1" ht="36">
      <c r="A93" s="1137">
        <v>33</v>
      </c>
      <c r="B93" s="3516"/>
      <c r="C93" s="1137" t="s">
        <v>1559</v>
      </c>
      <c r="D93" s="1051" t="s">
        <v>1560</v>
      </c>
      <c r="E93" s="1122">
        <v>0.2</v>
      </c>
      <c r="F93" s="1137">
        <v>30</v>
      </c>
    </row>
    <row r="94" spans="1:6" s="1088" customFormat="1" ht="48">
      <c r="A94" s="1137">
        <v>34</v>
      </c>
      <c r="B94" s="3516"/>
      <c r="C94" s="1137" t="s">
        <v>1561</v>
      </c>
      <c r="D94" s="1051" t="s">
        <v>1562</v>
      </c>
      <c r="E94" s="1122">
        <v>0.2</v>
      </c>
      <c r="F94" s="1137">
        <v>30</v>
      </c>
    </row>
    <row r="95" spans="1:6" s="1088" customFormat="1" ht="36">
      <c r="A95" s="1137">
        <v>35</v>
      </c>
      <c r="B95" s="3516"/>
      <c r="C95" s="1137" t="s">
        <v>1563</v>
      </c>
      <c r="D95" s="1051" t="s">
        <v>1564</v>
      </c>
      <c r="E95" s="1122">
        <v>0.2</v>
      </c>
      <c r="F95" s="1137">
        <v>30</v>
      </c>
    </row>
    <row r="96" spans="1:6" s="1088" customFormat="1" ht="48">
      <c r="A96" s="1137">
        <v>36</v>
      </c>
      <c r="B96" s="3516"/>
      <c r="C96" s="1051" t="s">
        <v>1565</v>
      </c>
      <c r="D96" s="1051" t="s">
        <v>1566</v>
      </c>
      <c r="E96" s="1122">
        <v>0.2</v>
      </c>
      <c r="F96" s="1137">
        <v>30</v>
      </c>
    </row>
    <row r="97" spans="1:6" s="1088" customFormat="1" ht="36">
      <c r="A97" s="1137">
        <v>37</v>
      </c>
      <c r="B97" s="3516"/>
      <c r="C97" s="1137" t="s">
        <v>1567</v>
      </c>
      <c r="D97" s="1051" t="s">
        <v>1568</v>
      </c>
      <c r="E97" s="1122">
        <v>0.2</v>
      </c>
      <c r="F97" s="1137">
        <v>30</v>
      </c>
    </row>
    <row r="98" spans="1:6" s="1088" customFormat="1" ht="36">
      <c r="A98" s="1137">
        <v>38</v>
      </c>
      <c r="B98" s="3516"/>
      <c r="C98" s="1137" t="s">
        <v>1569</v>
      </c>
      <c r="D98" s="1051" t="s">
        <v>1570</v>
      </c>
      <c r="E98" s="1122">
        <v>0.2</v>
      </c>
      <c r="F98" s="1137">
        <v>30</v>
      </c>
    </row>
    <row r="99" spans="1:6" s="1088" customFormat="1" ht="36">
      <c r="A99" s="1137">
        <v>39</v>
      </c>
      <c r="B99" s="3516" t="s">
        <v>1571</v>
      </c>
      <c r="C99" s="1137" t="s">
        <v>1572</v>
      </c>
      <c r="D99" s="1051" t="s">
        <v>1573</v>
      </c>
      <c r="E99" s="1122">
        <v>0.3</v>
      </c>
      <c r="F99" s="1137">
        <v>50</v>
      </c>
    </row>
    <row r="100" spans="1:6" s="1088" customFormat="1" ht="24">
      <c r="A100" s="1137">
        <v>40</v>
      </c>
      <c r="B100" s="3516"/>
      <c r="C100" s="1137" t="s">
        <v>1574</v>
      </c>
      <c r="D100" s="1051" t="s">
        <v>1575</v>
      </c>
      <c r="E100" s="1122">
        <v>0.2</v>
      </c>
      <c r="F100" s="1137">
        <v>30</v>
      </c>
    </row>
    <row r="101" spans="1:6" s="1088" customFormat="1" ht="36">
      <c r="A101" s="1137">
        <v>41</v>
      </c>
      <c r="B101" s="351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6" t="s">
        <v>1586</v>
      </c>
      <c r="C105" s="1137" t="s">
        <v>1587</v>
      </c>
      <c r="D105" s="1051" t="s">
        <v>1588</v>
      </c>
      <c r="E105" s="1122">
        <v>0.2</v>
      </c>
      <c r="F105" s="1137">
        <v>30</v>
      </c>
    </row>
    <row r="106" spans="1:6" s="1088" customFormat="1" ht="36">
      <c r="A106" s="1137">
        <v>46</v>
      </c>
      <c r="B106" s="3516"/>
      <c r="C106" s="1137" t="s">
        <v>1589</v>
      </c>
      <c r="D106" s="1051" t="s">
        <v>1590</v>
      </c>
      <c r="E106" s="1122">
        <v>0.2</v>
      </c>
      <c r="F106" s="1137">
        <v>30</v>
      </c>
    </row>
    <row r="107" spans="1:6" s="1088" customFormat="1" ht="36">
      <c r="A107" s="1137">
        <v>47</v>
      </c>
      <c r="B107" s="3516" t="s">
        <v>1591</v>
      </c>
      <c r="C107" s="1137" t="s">
        <v>1592</v>
      </c>
      <c r="D107" s="1051" t="s">
        <v>1593</v>
      </c>
      <c r="E107" s="1122">
        <v>0.3</v>
      </c>
      <c r="F107" s="1137">
        <v>50</v>
      </c>
    </row>
    <row r="108" spans="1:6" s="1088" customFormat="1" ht="36">
      <c r="A108" s="1137">
        <v>48</v>
      </c>
      <c r="B108" s="351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6" t="s">
        <v>1602</v>
      </c>
      <c r="C111" s="1137" t="s">
        <v>1603</v>
      </c>
      <c r="D111" s="1051" t="s">
        <v>1604</v>
      </c>
      <c r="E111" s="1122">
        <v>0.2</v>
      </c>
      <c r="F111" s="1137">
        <v>30</v>
      </c>
    </row>
    <row r="112" spans="1:6" s="1088" customFormat="1" ht="24">
      <c r="A112" s="1137">
        <v>52</v>
      </c>
      <c r="B112" s="3516"/>
      <c r="C112" s="1137" t="s">
        <v>1605</v>
      </c>
      <c r="D112" s="1051" t="s">
        <v>1606</v>
      </c>
      <c r="E112" s="1122">
        <v>0.2</v>
      </c>
      <c r="F112" s="1137">
        <v>30</v>
      </c>
    </row>
    <row r="113" spans="1:14" s="1088" customFormat="1" ht="24">
      <c r="A113" s="1137">
        <v>53</v>
      </c>
      <c r="B113" s="351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6" t="s">
        <v>1615</v>
      </c>
      <c r="C116" s="1137" t="s">
        <v>1616</v>
      </c>
      <c r="D116" s="1051" t="s">
        <v>1617</v>
      </c>
      <c r="E116" s="1122">
        <v>0.2</v>
      </c>
      <c r="F116" s="1137">
        <v>30</v>
      </c>
    </row>
    <row r="117" spans="1:14" ht="36">
      <c r="A117" s="1137">
        <v>57</v>
      </c>
      <c r="B117" s="351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5" t="s">
        <v>1624</v>
      </c>
      <c r="B121" s="3515"/>
      <c r="C121" s="3515"/>
      <c r="D121" s="3515"/>
      <c r="E121" s="3515"/>
      <c r="F121" s="3515"/>
      <c r="G121" s="3515"/>
      <c r="H121" s="3515"/>
      <c r="I121" s="3515"/>
      <c r="J121" s="351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6" t="s">
        <v>1030</v>
      </c>
      <c r="B1" s="3576"/>
      <c r="C1" s="3576"/>
      <c r="D1" s="3576"/>
      <c r="E1" s="3576"/>
      <c r="F1" s="357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7" t="s">
        <v>1043</v>
      </c>
      <c r="B2" s="3577"/>
      <c r="C2" s="3577"/>
      <c r="D2" s="3577"/>
      <c r="E2" s="3577"/>
      <c r="F2" s="357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1270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1.8267</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80" t="s">
        <v>2067</v>
      </c>
      <c r="B1" s="3580"/>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88" t="s">
        <v>2556</v>
      </c>
      <c r="C1" s="3588"/>
      <c r="D1" s="3588"/>
      <c r="E1" s="3588"/>
      <c r="F1" s="3588"/>
      <c r="G1" s="3587" t="s">
        <v>2557</v>
      </c>
      <c r="H1" s="3587"/>
      <c r="I1" s="3587"/>
      <c r="J1" s="3587"/>
      <c r="K1" s="3587"/>
      <c r="L1" s="3587"/>
      <c r="N1" s="3587" t="s">
        <v>2558</v>
      </c>
      <c r="O1" s="3587"/>
      <c r="P1" s="3587"/>
      <c r="Q1" s="3587"/>
      <c r="S1" s="3587" t="s">
        <v>2559</v>
      </c>
      <c r="T1" s="3587"/>
      <c r="U1" s="3587"/>
      <c r="V1" s="3587"/>
      <c r="X1" s="3586" t="s">
        <v>2619</v>
      </c>
      <c r="Y1" s="3587"/>
      <c r="Z1" s="3587"/>
      <c r="AA1" s="3587"/>
      <c r="AB1" s="3587"/>
      <c r="AD1" s="3586" t="s">
        <v>2623</v>
      </c>
      <c r="AE1" s="3587"/>
      <c r="AF1" s="3587"/>
      <c r="AG1" s="3587"/>
      <c r="AH1" s="3587"/>
    </row>
    <row r="2" spans="1:34" s="2866" customFormat="1" ht="14.25" thickBot="1">
      <c r="B2" s="2867" t="s">
        <v>2560</v>
      </c>
      <c r="C2" s="2867" t="s">
        <v>2621</v>
      </c>
      <c r="D2" s="2868" t="s">
        <v>1635</v>
      </c>
      <c r="E2" s="2868" t="s">
        <v>1938</v>
      </c>
      <c r="F2" s="2867" t="s">
        <v>2622</v>
      </c>
      <c r="G2" s="2869"/>
      <c r="I2" s="2867" t="s">
        <v>2922</v>
      </c>
      <c r="J2" s="2868" t="s">
        <v>2924</v>
      </c>
      <c r="K2" s="2868" t="s">
        <v>2925</v>
      </c>
      <c r="L2" s="2867" t="s">
        <v>2926</v>
      </c>
      <c r="N2" s="2867" t="s">
        <v>2560</v>
      </c>
      <c r="O2" s="2868" t="s">
        <v>2923</v>
      </c>
      <c r="P2" s="2868" t="s">
        <v>1938</v>
      </c>
      <c r="Q2" s="2867" t="s">
        <v>2622</v>
      </c>
      <c r="S2" s="2867" t="s">
        <v>2560</v>
      </c>
      <c r="T2" s="2868" t="s">
        <v>2923</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2933</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2964</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2934</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2963</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2961</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2958</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2957</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2954</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2953</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2950</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82">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2943</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82"/>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2944</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82"/>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2940</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83"/>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2932</v>
      </c>
      <c r="B16" s="2916">
        <v>439</v>
      </c>
      <c r="C16" s="2916">
        <v>327</v>
      </c>
      <c r="D16" s="2916">
        <f t="shared" si="109"/>
        <v>327</v>
      </c>
      <c r="E16" s="2916">
        <v>627</v>
      </c>
      <c r="F16" s="2917">
        <v>283</v>
      </c>
      <c r="G16" s="3581">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2935</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82"/>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2561</v>
      </c>
      <c r="B18" s="2900">
        <f t="shared" si="121"/>
        <v>419.31181600000002</v>
      </c>
      <c r="C18" s="2900">
        <f t="shared" si="121"/>
        <v>313.95436800000004</v>
      </c>
      <c r="D18" s="2900">
        <f t="shared" si="109"/>
        <v>313.95436800000004</v>
      </c>
      <c r="E18" s="2900">
        <f t="shared" si="122"/>
        <v>596.63028431999999</v>
      </c>
      <c r="F18" s="2900">
        <f t="shared" si="122"/>
        <v>274.74220703999998</v>
      </c>
      <c r="G18" s="3582"/>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2562</v>
      </c>
      <c r="B19" s="2900">
        <f t="shared" si="121"/>
        <v>405.524</v>
      </c>
      <c r="C19" s="2900">
        <f t="shared" si="121"/>
        <v>307.79840000000002</v>
      </c>
      <c r="D19" s="2900">
        <f t="shared" si="109"/>
        <v>307.79840000000002</v>
      </c>
      <c r="E19" s="2900">
        <f t="shared" si="122"/>
        <v>574.67759999999998</v>
      </c>
      <c r="F19" s="2900">
        <f t="shared" si="122"/>
        <v>270.20280000000002</v>
      </c>
      <c r="G19" s="3583"/>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81">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82"/>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82"/>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85"/>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584">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82"/>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82"/>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85"/>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584">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82"/>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82"/>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85"/>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2620</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2563</v>
      </c>
      <c r="B32" s="2921">
        <v>299</v>
      </c>
      <c r="C32" s="2921">
        <v>252</v>
      </c>
      <c r="D32" s="2921">
        <f t="shared" si="131"/>
        <v>252</v>
      </c>
      <c r="E32" s="2921">
        <v>409</v>
      </c>
      <c r="F32" s="2922">
        <v>227</v>
      </c>
      <c r="G32" s="3589">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2564</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90"/>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2565</v>
      </c>
      <c r="B34" s="2900">
        <f t="shared" si="140"/>
        <v>288.2649053828776</v>
      </c>
      <c r="C34" s="2900">
        <f t="shared" si="140"/>
        <v>243.64564425013293</v>
      </c>
      <c r="D34" s="2900">
        <f t="shared" si="131"/>
        <v>243.64564425013293</v>
      </c>
      <c r="E34" s="2900">
        <f t="shared" si="141"/>
        <v>393.31080825986544</v>
      </c>
      <c r="F34" s="2900">
        <f t="shared" si="141"/>
        <v>223.07903790551154</v>
      </c>
      <c r="G34" s="3590"/>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2566</v>
      </c>
      <c r="B35" s="2900">
        <f t="shared" si="140"/>
        <v>282.50186729015837</v>
      </c>
      <c r="C35" s="2900">
        <f t="shared" si="140"/>
        <v>238.09796174155468</v>
      </c>
      <c r="D35" s="2900">
        <f t="shared" si="131"/>
        <v>238.09796174155468</v>
      </c>
      <c r="E35" s="2900">
        <f t="shared" si="141"/>
        <v>385.33438646014054</v>
      </c>
      <c r="F35" s="2900">
        <f t="shared" si="141"/>
        <v>221.55034055567739</v>
      </c>
      <c r="G35" s="3591"/>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2567</v>
      </c>
      <c r="B36" s="2949">
        <v>278</v>
      </c>
      <c r="C36" s="2949">
        <v>234</v>
      </c>
      <c r="D36" s="2949">
        <f t="shared" si="131"/>
        <v>234</v>
      </c>
      <c r="E36" s="2949">
        <v>379</v>
      </c>
      <c r="F36" s="2950">
        <v>220</v>
      </c>
      <c r="G36" s="3584">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2568</v>
      </c>
      <c r="B37" s="2900">
        <f>B36/(1+N36)</f>
        <v>275.49301357645425</v>
      </c>
      <c r="C37" s="2900">
        <f>C36/(1+O36)</f>
        <v>232.41954707985698</v>
      </c>
      <c r="D37" s="2900">
        <f t="shared" si="131"/>
        <v>232.41954707985698</v>
      </c>
      <c r="E37" s="2900">
        <f t="shared" ref="E37:F39" si="142">E36/(1+P36)</f>
        <v>375.32184591008121</v>
      </c>
      <c r="F37" s="2900">
        <f t="shared" si="142"/>
        <v>218.03766105054513</v>
      </c>
      <c r="G37" s="3582"/>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2569</v>
      </c>
      <c r="B38" s="2900">
        <f>B37/(1+N37)</f>
        <v>275.24529281292263</v>
      </c>
      <c r="C38" s="2900">
        <f>C37/(1+O37)</f>
        <v>231.74747938962707</v>
      </c>
      <c r="D38" s="2900">
        <f t="shared" si="131"/>
        <v>231.74747938962707</v>
      </c>
      <c r="E38" s="2900">
        <f t="shared" si="142"/>
        <v>375.35938184826603</v>
      </c>
      <c r="F38" s="2900">
        <f t="shared" si="142"/>
        <v>216.78033510692495</v>
      </c>
      <c r="G38" s="3582"/>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2570</v>
      </c>
      <c r="B39" s="2900">
        <f>B38/(1+N38)</f>
        <v>275.19025476197027</v>
      </c>
      <c r="C39" s="2951">
        <v>232</v>
      </c>
      <c r="D39" s="2951">
        <f t="shared" si="131"/>
        <v>232</v>
      </c>
      <c r="E39" s="2900">
        <f t="shared" si="142"/>
        <v>375.65990977608692</v>
      </c>
      <c r="F39" s="2900">
        <f t="shared" si="142"/>
        <v>214.12518283971252</v>
      </c>
      <c r="G39" s="3585"/>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2571</v>
      </c>
      <c r="B40" s="2921">
        <v>275</v>
      </c>
      <c r="C40" s="2921">
        <v>232</v>
      </c>
      <c r="D40" s="2921">
        <f t="shared" si="131"/>
        <v>232</v>
      </c>
      <c r="E40" s="2921">
        <v>376</v>
      </c>
      <c r="F40" s="2922">
        <v>213</v>
      </c>
      <c r="G40" s="3584">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2572</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82">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2573</v>
      </c>
      <c r="B42" s="2900">
        <f t="shared" si="143"/>
        <v>275.19335084830601</v>
      </c>
      <c r="C42" s="2900">
        <f t="shared" si="143"/>
        <v>230.18088050139744</v>
      </c>
      <c r="D42" s="2900">
        <f t="shared" si="131"/>
        <v>230.18088050139744</v>
      </c>
      <c r="E42" s="2900">
        <f t="shared" si="144"/>
        <v>377.58482925212331</v>
      </c>
      <c r="F42" s="2900">
        <f t="shared" si="144"/>
        <v>210.90687997847917</v>
      </c>
      <c r="G42" s="3582">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2574</v>
      </c>
      <c r="B43" s="2900">
        <f t="shared" si="143"/>
        <v>276.29854502841971</v>
      </c>
      <c r="C43" s="2900">
        <f t="shared" si="143"/>
        <v>229.79023709833027</v>
      </c>
      <c r="D43" s="2900">
        <f t="shared" si="131"/>
        <v>229.79023709833027</v>
      </c>
      <c r="E43" s="2900">
        <f t="shared" si="144"/>
        <v>379.78759731655936</v>
      </c>
      <c r="F43" s="2900">
        <f t="shared" si="144"/>
        <v>211.32953905659235</v>
      </c>
      <c r="G43" s="3585">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2575</v>
      </c>
      <c r="B44" s="2921">
        <v>269</v>
      </c>
      <c r="C44" s="2921">
        <v>221</v>
      </c>
      <c r="D44" s="2921">
        <f t="shared" si="131"/>
        <v>221</v>
      </c>
      <c r="E44" s="2921">
        <v>373</v>
      </c>
      <c r="F44" s="2922">
        <v>196</v>
      </c>
      <c r="G44" s="3584">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2576</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82">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2577</v>
      </c>
      <c r="B46" s="2900">
        <f t="shared" si="145"/>
        <v>242.95398227588385</v>
      </c>
      <c r="C46" s="2900">
        <f t="shared" si="145"/>
        <v>199.59137053614126</v>
      </c>
      <c r="D46" s="2900">
        <f t="shared" si="131"/>
        <v>199.59137053614126</v>
      </c>
      <c r="E46" s="2900">
        <f t="shared" si="146"/>
        <v>335.92189522342125</v>
      </c>
      <c r="F46" s="2900">
        <f t="shared" si="146"/>
        <v>183.10139991109489</v>
      </c>
      <c r="G46" s="3582">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2578</v>
      </c>
      <c r="B47" s="2900">
        <f t="shared" si="145"/>
        <v>232.06990378821649</v>
      </c>
      <c r="C47" s="2900">
        <f t="shared" si="145"/>
        <v>192.74878854286936</v>
      </c>
      <c r="D47" s="2900">
        <f t="shared" si="131"/>
        <v>192.74878854286936</v>
      </c>
      <c r="E47" s="2900">
        <f t="shared" si="146"/>
        <v>319.71247284992984</v>
      </c>
      <c r="F47" s="2900">
        <f t="shared" si="146"/>
        <v>175.67053622862409</v>
      </c>
      <c r="G47" s="3585">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2579</v>
      </c>
      <c r="B48" s="2921">
        <v>220</v>
      </c>
      <c r="C48" s="2921">
        <v>187</v>
      </c>
      <c r="D48" s="2921">
        <f t="shared" si="131"/>
        <v>187</v>
      </c>
      <c r="E48" s="2921">
        <v>301</v>
      </c>
      <c r="F48" s="2922">
        <v>168</v>
      </c>
      <c r="G48" s="3584">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2580</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82">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2581</v>
      </c>
      <c r="B50" s="2900">
        <f t="shared" si="147"/>
        <v>210.630522469011</v>
      </c>
      <c r="C50" s="2900">
        <f t="shared" si="147"/>
        <v>181.69567812247232</v>
      </c>
      <c r="D50" s="2900">
        <f t="shared" si="131"/>
        <v>181.69567812247232</v>
      </c>
      <c r="E50" s="2900">
        <f t="shared" si="148"/>
        <v>286.13517466736738</v>
      </c>
      <c r="F50" s="2900">
        <f t="shared" si="148"/>
        <v>165.47535084591149</v>
      </c>
      <c r="G50" s="3582">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2582</v>
      </c>
      <c r="B51" s="2900">
        <f t="shared" si="147"/>
        <v>208.83454537875372</v>
      </c>
      <c r="C51" s="2900">
        <f t="shared" si="147"/>
        <v>183.77230517090351</v>
      </c>
      <c r="D51" s="2900">
        <f t="shared" si="131"/>
        <v>183.77230517090351</v>
      </c>
      <c r="E51" s="2900">
        <f t="shared" si="148"/>
        <v>281.10342338870947</v>
      </c>
      <c r="F51" s="2900">
        <f t="shared" si="148"/>
        <v>168.97309388942256</v>
      </c>
      <c r="G51" s="3585">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2583</v>
      </c>
      <c r="B52" s="2949">
        <v>214</v>
      </c>
      <c r="C52" s="2949">
        <v>188</v>
      </c>
      <c r="D52" s="2949">
        <f t="shared" si="131"/>
        <v>188</v>
      </c>
      <c r="E52" s="2949">
        <v>289</v>
      </c>
      <c r="F52" s="2950">
        <v>166</v>
      </c>
      <c r="G52" s="3584">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2584</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82">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2585</v>
      </c>
      <c r="B54" s="2900">
        <f t="shared" si="149"/>
        <v>206.31694671589116</v>
      </c>
      <c r="C54" s="2900">
        <f t="shared" si="149"/>
        <v>183.61041121036101</v>
      </c>
      <c r="D54" s="2900">
        <f t="shared" si="131"/>
        <v>183.61041121036101</v>
      </c>
      <c r="E54" s="2900">
        <f t="shared" si="150"/>
        <v>276.66850301795557</v>
      </c>
      <c r="F54" s="2900">
        <f t="shared" si="150"/>
        <v>165.1360938278614</v>
      </c>
      <c r="G54" s="3582">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2586</v>
      </c>
      <c r="B55" s="2952">
        <f t="shared" si="149"/>
        <v>196.62341248059772</v>
      </c>
      <c r="C55" s="2952">
        <f t="shared" si="149"/>
        <v>170.99125648199012</v>
      </c>
      <c r="D55" s="2952">
        <f t="shared" si="131"/>
        <v>170.99125648199012</v>
      </c>
      <c r="E55" s="2952">
        <f t="shared" si="150"/>
        <v>266.07857570490052</v>
      </c>
      <c r="F55" s="2952">
        <f t="shared" si="150"/>
        <v>154.53499328828505</v>
      </c>
      <c r="G55" s="3585">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2587</v>
      </c>
      <c r="B56" s="2921">
        <v>188</v>
      </c>
      <c r="C56" s="2921">
        <v>165</v>
      </c>
      <c r="D56" s="2921">
        <f t="shared" si="131"/>
        <v>165</v>
      </c>
      <c r="E56" s="2921">
        <v>254</v>
      </c>
      <c r="F56" s="2922">
        <v>148</v>
      </c>
      <c r="G56" s="3584">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2588</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82">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2589</v>
      </c>
      <c r="B58" s="2900">
        <f t="shared" si="153"/>
        <v>168.82017748715555</v>
      </c>
      <c r="C58" s="2900">
        <f t="shared" si="153"/>
        <v>148.06267029972753</v>
      </c>
      <c r="D58" s="2900">
        <f t="shared" si="131"/>
        <v>148.06267029972753</v>
      </c>
      <c r="E58" s="2900">
        <f t="shared" si="154"/>
        <v>216.46288379323747</v>
      </c>
      <c r="F58" s="2900">
        <f t="shared" si="154"/>
        <v>134.23529411764704</v>
      </c>
      <c r="G58" s="3582">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2590</v>
      </c>
      <c r="B59" s="2900">
        <f t="shared" si="153"/>
        <v>163.84913591779542</v>
      </c>
      <c r="C59" s="2900">
        <f t="shared" si="153"/>
        <v>145.0283378746594</v>
      </c>
      <c r="D59" s="2900">
        <f t="shared" si="131"/>
        <v>145.0283378746594</v>
      </c>
      <c r="E59" s="2900">
        <f t="shared" si="154"/>
        <v>204.95180722891567</v>
      </c>
      <c r="F59" s="2900">
        <f t="shared" si="154"/>
        <v>125.95920303605313</v>
      </c>
      <c r="G59" s="3585">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2591</v>
      </c>
      <c r="B60" s="2928">
        <v>159</v>
      </c>
      <c r="C60" s="2928">
        <v>141</v>
      </c>
      <c r="D60" s="2928">
        <f t="shared" si="131"/>
        <v>141</v>
      </c>
      <c r="E60" s="2928">
        <v>195</v>
      </c>
      <c r="F60" s="2929">
        <v>122</v>
      </c>
      <c r="G60" s="3584">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2592</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82">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2593</v>
      </c>
      <c r="B62" s="2900">
        <f t="shared" si="157"/>
        <v>146.57412060301507</v>
      </c>
      <c r="C62" s="2900">
        <f t="shared" si="157"/>
        <v>136.46831955922866</v>
      </c>
      <c r="D62" s="2900">
        <f t="shared" si="131"/>
        <v>136.46831955922866</v>
      </c>
      <c r="E62" s="2900">
        <f t="shared" si="158"/>
        <v>166.73864894795128</v>
      </c>
      <c r="F62" s="2900">
        <f t="shared" si="158"/>
        <v>115.05882352941177</v>
      </c>
      <c r="G62" s="3582">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2594</v>
      </c>
      <c r="B63" s="2900">
        <f t="shared" si="157"/>
        <v>144.04145728643215</v>
      </c>
      <c r="C63" s="2900">
        <f t="shared" si="157"/>
        <v>136.12396694214877</v>
      </c>
      <c r="D63" s="2900">
        <f t="shared" si="131"/>
        <v>136.12396694214877</v>
      </c>
      <c r="E63" s="2900">
        <f t="shared" si="158"/>
        <v>158.32225913621264</v>
      </c>
      <c r="F63" s="2900">
        <f t="shared" si="158"/>
        <v>114.04278074866311</v>
      </c>
      <c r="G63" s="3585">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2595</v>
      </c>
      <c r="B64" s="2928">
        <v>138</v>
      </c>
      <c r="C64" s="2928">
        <v>131</v>
      </c>
      <c r="D64" s="2928">
        <f t="shared" si="131"/>
        <v>131</v>
      </c>
      <c r="E64" s="2928">
        <v>155</v>
      </c>
      <c r="F64" s="2929">
        <v>114</v>
      </c>
      <c r="G64" s="3584">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2596</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82">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2597</v>
      </c>
      <c r="B66" s="2900">
        <f t="shared" si="161"/>
        <v>124.29032258064517</v>
      </c>
      <c r="C66" s="2900">
        <f t="shared" si="161"/>
        <v>123.8968609865471</v>
      </c>
      <c r="D66" s="2900">
        <f t="shared" si="131"/>
        <v>123.8968609865471</v>
      </c>
      <c r="E66" s="2900">
        <f t="shared" si="162"/>
        <v>138.00507614213197</v>
      </c>
      <c r="F66" s="2900">
        <f t="shared" si="162"/>
        <v>107.96106557377048</v>
      </c>
      <c r="G66" s="3582">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2598</v>
      </c>
      <c r="B67" s="2900">
        <f t="shared" si="161"/>
        <v>122.57204301075269</v>
      </c>
      <c r="C67" s="2900">
        <f t="shared" si="161"/>
        <v>123.4932735426009</v>
      </c>
      <c r="D67" s="2900">
        <f t="shared" si="131"/>
        <v>123.4932735426009</v>
      </c>
      <c r="E67" s="2900">
        <f t="shared" si="162"/>
        <v>129.82233502538071</v>
      </c>
      <c r="F67" s="2900">
        <f t="shared" si="162"/>
        <v>107.39446721311475</v>
      </c>
      <c r="G67" s="3585">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2599</v>
      </c>
      <c r="B68" s="2949">
        <v>121</v>
      </c>
      <c r="C68" s="2949">
        <v>122</v>
      </c>
      <c r="D68" s="2949">
        <f t="shared" si="131"/>
        <v>122</v>
      </c>
      <c r="E68" s="2949">
        <v>124</v>
      </c>
      <c r="F68" s="2950">
        <v>107</v>
      </c>
      <c r="G68" s="3584">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2600</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82">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2601</v>
      </c>
      <c r="B70" s="2900">
        <f t="shared" si="165"/>
        <v>116.99099099099099</v>
      </c>
      <c r="C70" s="2900">
        <f t="shared" si="165"/>
        <v>118.84848484848486</v>
      </c>
      <c r="D70" s="2900">
        <f t="shared" si="131"/>
        <v>118.84848484848486</v>
      </c>
      <c r="E70" s="2900">
        <f t="shared" si="166"/>
        <v>117.60960960960961</v>
      </c>
      <c r="F70" s="2900">
        <f t="shared" si="166"/>
        <v>104</v>
      </c>
      <c r="G70" s="3582">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2602</v>
      </c>
      <c r="B71" s="2952">
        <f t="shared" si="165"/>
        <v>112.48648648648648</v>
      </c>
      <c r="C71" s="2952">
        <f t="shared" si="165"/>
        <v>115.21212121212122</v>
      </c>
      <c r="D71" s="2952">
        <f t="shared" si="131"/>
        <v>115.21212121212122</v>
      </c>
      <c r="E71" s="2952">
        <f t="shared" si="166"/>
        <v>110.4024024024024</v>
      </c>
      <c r="F71" s="2952">
        <f t="shared" si="166"/>
        <v>104</v>
      </c>
      <c r="G71" s="3585">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2603</v>
      </c>
      <c r="B72" s="2969">
        <v>111</v>
      </c>
      <c r="C72" s="2969">
        <v>114</v>
      </c>
      <c r="D72" s="2969">
        <f t="shared" si="131"/>
        <v>114</v>
      </c>
      <c r="E72" s="2969">
        <v>108</v>
      </c>
      <c r="F72" s="2970">
        <v>104</v>
      </c>
      <c r="G72" s="3584">
        <v>2003</v>
      </c>
      <c r="H72" s="2959">
        <v>4</v>
      </c>
      <c r="I72" s="2971"/>
      <c r="J72" s="2971"/>
      <c r="K72" s="2971"/>
      <c r="L72" s="2971"/>
      <c r="N72" s="2972"/>
      <c r="O72" s="2971"/>
      <c r="P72" s="2971"/>
      <c r="Q72" s="2971"/>
      <c r="S72" s="2972"/>
      <c r="T72" s="2971"/>
      <c r="U72" s="2971"/>
      <c r="V72" s="2971"/>
      <c r="X72" s="2963"/>
      <c r="Y72" s="2963"/>
      <c r="Z72" s="2963"/>
    </row>
    <row r="73" spans="1:26">
      <c r="A73" s="2899" t="s">
        <v>2604</v>
      </c>
      <c r="B73" s="2973">
        <f t="shared" ref="B73:C75" si="167">B74+(B$72-B$76)/4</f>
        <v>109.75</v>
      </c>
      <c r="C73" s="2973">
        <f t="shared" si="167"/>
        <v>112.25</v>
      </c>
      <c r="D73" s="2973">
        <f t="shared" si="131"/>
        <v>112.25</v>
      </c>
      <c r="E73" s="2973">
        <f t="shared" ref="E73:F75" si="168">E74+(E$72-E$76)/4</f>
        <v>107.25</v>
      </c>
      <c r="F73" s="2973">
        <f t="shared" si="168"/>
        <v>103.5</v>
      </c>
      <c r="G73" s="3582">
        <v>2003</v>
      </c>
      <c r="H73" s="2926">
        <v>3</v>
      </c>
      <c r="I73" s="2971"/>
      <c r="J73" s="2971"/>
      <c r="K73" s="2971"/>
      <c r="L73" s="2971"/>
      <c r="X73" s="2963"/>
      <c r="Y73" s="2963"/>
      <c r="Z73" s="2963"/>
    </row>
    <row r="74" spans="1:26">
      <c r="A74" s="2899" t="s">
        <v>2605</v>
      </c>
      <c r="B74" s="2973">
        <f t="shared" si="167"/>
        <v>108.5</v>
      </c>
      <c r="C74" s="2973">
        <f t="shared" si="167"/>
        <v>110.5</v>
      </c>
      <c r="D74" s="2973">
        <f t="shared" si="131"/>
        <v>110.5</v>
      </c>
      <c r="E74" s="2973">
        <f t="shared" si="168"/>
        <v>106.5</v>
      </c>
      <c r="F74" s="2973">
        <f t="shared" si="168"/>
        <v>103</v>
      </c>
      <c r="G74" s="3582">
        <v>2003</v>
      </c>
      <c r="H74" s="2914">
        <v>2</v>
      </c>
      <c r="I74" s="2971"/>
      <c r="J74" s="2971"/>
      <c r="K74" s="2971"/>
      <c r="L74" s="2971"/>
      <c r="X74" s="2963"/>
      <c r="Y74" s="2963"/>
      <c r="Z74" s="2963"/>
    </row>
    <row r="75" spans="1:26" ht="13.5" thickBot="1">
      <c r="A75" s="2899" t="s">
        <v>2606</v>
      </c>
      <c r="B75" s="2973">
        <f t="shared" si="167"/>
        <v>107.25</v>
      </c>
      <c r="C75" s="2973">
        <f t="shared" si="167"/>
        <v>108.75</v>
      </c>
      <c r="D75" s="2973">
        <f t="shared" si="131"/>
        <v>108.75</v>
      </c>
      <c r="E75" s="2973">
        <f t="shared" si="168"/>
        <v>105.75</v>
      </c>
      <c r="F75" s="2973">
        <f t="shared" si="168"/>
        <v>102.5</v>
      </c>
      <c r="G75" s="3585">
        <v>2003</v>
      </c>
      <c r="H75" s="2974">
        <v>1</v>
      </c>
      <c r="I75" s="2971"/>
      <c r="J75" s="2971"/>
      <c r="K75" s="2971"/>
      <c r="L75" s="2971"/>
      <c r="S75" s="2902"/>
      <c r="T75" s="2888"/>
      <c r="U75" s="2888"/>
      <c r="X75" s="2963"/>
      <c r="Y75" s="2963"/>
      <c r="Z75" s="2963"/>
    </row>
    <row r="76" spans="1:26" ht="13.5" thickBot="1">
      <c r="A76" s="2899" t="s">
        <v>2607</v>
      </c>
      <c r="B76" s="2975">
        <v>106</v>
      </c>
      <c r="C76" s="2975">
        <v>107</v>
      </c>
      <c r="D76" s="2975">
        <f t="shared" si="131"/>
        <v>107</v>
      </c>
      <c r="E76" s="2975">
        <v>105</v>
      </c>
      <c r="F76" s="2976">
        <v>102</v>
      </c>
      <c r="G76" s="3584">
        <v>2002</v>
      </c>
      <c r="H76" s="2923">
        <v>4</v>
      </c>
      <c r="I76" s="2971"/>
      <c r="J76" s="2971"/>
      <c r="K76" s="2971"/>
      <c r="L76" s="2971"/>
      <c r="N76" s="2972"/>
      <c r="O76" s="2971"/>
      <c r="P76" s="2971"/>
      <c r="Q76" s="2971"/>
      <c r="S76" s="2972"/>
      <c r="T76" s="2971"/>
      <c r="U76" s="2971"/>
      <c r="V76" s="2971"/>
      <c r="X76" s="2963"/>
      <c r="Y76" s="2963"/>
      <c r="Z76" s="2963"/>
    </row>
    <row r="77" spans="1:26">
      <c r="A77" s="2899" t="s">
        <v>2608</v>
      </c>
      <c r="B77" s="2973">
        <f t="shared" ref="B77:C79" si="169">B78+(B$76-B$80)/4</f>
        <v>105</v>
      </c>
      <c r="C77" s="2973">
        <f t="shared" si="169"/>
        <v>106</v>
      </c>
      <c r="D77" s="2973">
        <f t="shared" si="131"/>
        <v>106</v>
      </c>
      <c r="E77" s="2973">
        <f t="shared" ref="E77:F79" si="170">E78+(E$76-E$80)/4</f>
        <v>104.5</v>
      </c>
      <c r="F77" s="2973">
        <f t="shared" si="170"/>
        <v>101.5</v>
      </c>
      <c r="G77" s="3582">
        <v>2002</v>
      </c>
      <c r="H77" s="2926">
        <v>3</v>
      </c>
      <c r="I77" s="2971"/>
      <c r="J77" s="2971"/>
      <c r="K77" s="2971"/>
      <c r="L77" s="2971"/>
      <c r="X77" s="2963"/>
      <c r="Y77" s="2963"/>
      <c r="Z77" s="2963"/>
    </row>
    <row r="78" spans="1:26">
      <c r="A78" s="2899" t="s">
        <v>2609</v>
      </c>
      <c r="B78" s="2973">
        <f t="shared" si="169"/>
        <v>104</v>
      </c>
      <c r="C78" s="2973">
        <f t="shared" si="169"/>
        <v>105</v>
      </c>
      <c r="D78" s="2973">
        <f t="shared" si="131"/>
        <v>105</v>
      </c>
      <c r="E78" s="2973">
        <f t="shared" si="170"/>
        <v>104</v>
      </c>
      <c r="F78" s="2973">
        <f t="shared" si="170"/>
        <v>101</v>
      </c>
      <c r="G78" s="3582">
        <v>2002</v>
      </c>
      <c r="H78" s="2914">
        <v>2</v>
      </c>
      <c r="I78" s="2971"/>
      <c r="J78" s="2971"/>
      <c r="K78" s="2971"/>
      <c r="L78" s="2971"/>
      <c r="X78" s="2963"/>
      <c r="Y78" s="2963"/>
      <c r="Z78" s="2963"/>
    </row>
    <row r="79" spans="1:26" s="2936" customFormat="1" ht="13.5" thickBot="1">
      <c r="A79" s="2932" t="s">
        <v>2610</v>
      </c>
      <c r="B79" s="2939">
        <f t="shared" si="169"/>
        <v>103</v>
      </c>
      <c r="C79" s="2939">
        <f t="shared" si="169"/>
        <v>104</v>
      </c>
      <c r="D79" s="2939">
        <f t="shared" si="131"/>
        <v>104</v>
      </c>
      <c r="E79" s="2939">
        <f t="shared" si="170"/>
        <v>103.5</v>
      </c>
      <c r="F79" s="2939">
        <f t="shared" si="170"/>
        <v>100.5</v>
      </c>
      <c r="G79" s="3585">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2611</v>
      </c>
      <c r="G82" s="2986"/>
      <c r="N82" s="2986"/>
      <c r="S82" s="2986"/>
    </row>
    <row r="83" spans="1:22" s="2985" customFormat="1">
      <c r="A83" s="2985" t="s">
        <v>2612</v>
      </c>
      <c r="G83" s="2986"/>
      <c r="N83" s="2986"/>
      <c r="S83" s="2986"/>
    </row>
    <row r="84" spans="1:22" s="2985" customFormat="1">
      <c r="A84" s="2985" t="s">
        <v>2613</v>
      </c>
      <c r="G84" s="2986"/>
      <c r="I84" s="2987"/>
      <c r="J84" s="2987"/>
      <c r="K84" s="2987"/>
      <c r="L84" s="2987"/>
      <c r="N84" s="2988"/>
      <c r="O84" s="2987"/>
      <c r="P84" s="2987"/>
      <c r="Q84" s="2987"/>
      <c r="S84" s="2988"/>
      <c r="T84" s="2987"/>
      <c r="U84" s="2987"/>
      <c r="V84" s="2987"/>
    </row>
    <row r="85" spans="1:22" s="2985" customFormat="1">
      <c r="A85" s="2985" t="s">
        <v>2614</v>
      </c>
      <c r="G85" s="2986"/>
      <c r="N85" s="2986"/>
      <c r="S85" s="2986"/>
    </row>
    <row r="92" spans="1:22" ht="13.5" thickBot="1"/>
    <row r="93" spans="1:22">
      <c r="G93" s="2887"/>
      <c r="S93" s="2989" t="s">
        <v>2615</v>
      </c>
      <c r="T93" s="2990" t="s">
        <v>2616</v>
      </c>
      <c r="U93" s="2990" t="s">
        <v>2617</v>
      </c>
      <c r="V93" s="2990" t="s">
        <v>2618</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56.25">
      <c r="A7" s="1711" t="s">
        <v>2727</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18.75">
      <c r="A21" s="1707" t="s">
        <v>2062</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2066</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2066</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-1</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19" t="s">
        <v>2444</v>
      </c>
      <c r="C8" s="1741">
        <f ca="1">ROUND(F8*F10*F9*(1-F11)/10000,0)</f>
        <v>0</v>
      </c>
      <c r="D8" s="1738" t="s">
        <v>2515</v>
      </c>
      <c r="E8" s="61" t="s">
        <v>631</v>
      </c>
      <c r="F8" s="775">
        <f ca="1">INDIRECT("'数据-取费表'!u"&amp;$G$1)</f>
        <v>0</v>
      </c>
      <c r="G8" s="1527"/>
      <c r="H8" s="2358" t="s">
        <v>1815</v>
      </c>
      <c r="I8" s="3519" t="s">
        <v>2444</v>
      </c>
      <c r="J8" s="773">
        <f ca="1">ROUND(M8*M10*M9*(1-M11)/10000,0)</f>
        <v>0</v>
      </c>
      <c r="K8" s="339" t="s">
        <v>2515</v>
      </c>
      <c r="L8" s="774" t="s">
        <v>1729</v>
      </c>
      <c r="M8" s="775">
        <f ca="1">INDIRECT("'数据-取费表'!z"&amp;$G$1)</f>
        <v>0</v>
      </c>
    </row>
    <row r="9" spans="1:25" ht="18" customHeight="1">
      <c r="A9" s="2354"/>
      <c r="B9" s="3520"/>
      <c r="C9" s="1742"/>
      <c r="D9" s="1739"/>
      <c r="E9" s="61" t="s">
        <v>632</v>
      </c>
      <c r="F9" s="775">
        <f ca="1">IF(INDIRECT("'数据-取费表'!ah"&amp;$G$1)="",INDIRECT("'数据-取费表'!k"&amp;$G$1),INDIRECT("'数据-取费表'!ah"&amp;$G$1))</f>
        <v>0</v>
      </c>
      <c r="G9" s="1527"/>
      <c r="H9" s="2343"/>
      <c r="I9" s="3520"/>
      <c r="J9" s="778"/>
      <c r="K9" s="779"/>
      <c r="L9" s="774" t="s">
        <v>1730</v>
      </c>
      <c r="M9" s="775">
        <f ca="1">F9</f>
        <v>0</v>
      </c>
    </row>
    <row r="10" spans="1:25" ht="18" customHeight="1">
      <c r="A10" s="2347"/>
      <c r="B10" s="3521"/>
      <c r="C10" s="1742"/>
      <c r="D10" s="1739"/>
      <c r="E10" s="61" t="s">
        <v>633</v>
      </c>
      <c r="F10" s="775">
        <f ca="1">INDIRECT("'数据-取费表'!ai"&amp;$G$1)</f>
        <v>0</v>
      </c>
      <c r="G10" s="1527"/>
      <c r="H10" s="2343"/>
      <c r="I10" s="3521"/>
      <c r="J10" s="778"/>
      <c r="K10" s="779"/>
      <c r="L10" s="774" t="s">
        <v>1731</v>
      </c>
      <c r="M10" s="775">
        <f ca="1">INDIRECT("'数据-取费表'!ai"&amp;$G$1)</f>
        <v>0</v>
      </c>
    </row>
    <row r="11" spans="1:25" ht="18" customHeight="1">
      <c r="A11" s="776"/>
      <c r="B11" s="3522"/>
      <c r="C11" s="1742"/>
      <c r="D11" s="1739"/>
      <c r="E11" s="61" t="s">
        <v>634</v>
      </c>
      <c r="F11" s="784">
        <f ca="1">INDIRECT("'数据-取费表'!w"&amp;$G$1)</f>
        <v>0</v>
      </c>
      <c r="G11" s="1527"/>
      <c r="H11" s="2359"/>
      <c r="I11" s="352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2057</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1.4999999999999999E-2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1.4999999999999999E-2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2.9999999999999997E-4</v>
      </c>
      <c r="D26" s="2424"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92"/>
      <c r="J36" s="1963"/>
      <c r="K36" s="1964"/>
      <c r="L36" s="1963"/>
      <c r="M36" s="1963"/>
    </row>
    <row r="37" spans="1:18" ht="18" customHeight="1">
      <c r="A37" s="804"/>
      <c r="B37" s="783"/>
      <c r="C37" s="69"/>
      <c r="D37" s="805"/>
      <c r="E37" s="774" t="s">
        <v>668</v>
      </c>
      <c r="F37" s="775">
        <f ca="1">INDIRECT("'数据-取费表'!r"&amp;$G$1)</f>
        <v>0</v>
      </c>
      <c r="G37" s="1946"/>
      <c r="H37" s="1949"/>
      <c r="I37" s="359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2942</v>
      </c>
      <c r="J54" s="2859">
        <f ca="1">IF(M48="住宅",MAX(J52,L49-'数据-取费表'!B20),MIN(J52,L49-'数据-取费表'!B20))</f>
        <v>-1</v>
      </c>
      <c r="K54" s="3593"/>
      <c r="L54" s="3594"/>
      <c r="O54" s="2257" t="s">
        <v>2372</v>
      </c>
      <c r="P54" s="2255" t="s">
        <v>2373</v>
      </c>
      <c r="Q54" s="2256">
        <f ca="1">J54</f>
        <v>-1</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1669</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2910</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5" t="s">
        <v>2452</v>
      </c>
      <c r="B1" s="3596"/>
      <c r="C1" s="3597"/>
      <c r="D1" s="3598">
        <f>SUM(I10,I15,I20,I21,I23)</f>
        <v>0</v>
      </c>
      <c r="E1" s="3598"/>
      <c r="F1" s="3598"/>
      <c r="G1" s="3598"/>
      <c r="H1" s="3598"/>
      <c r="I1" s="3599"/>
    </row>
    <row r="2" spans="1:9">
      <c r="A2" s="3600" t="s">
        <v>2453</v>
      </c>
      <c r="B2" s="3601" t="s">
        <v>2454</v>
      </c>
      <c r="C2" s="3601"/>
      <c r="D2" s="2361" t="s">
        <v>2455</v>
      </c>
      <c r="E2" s="2361" t="s">
        <v>2456</v>
      </c>
      <c r="F2" s="2361" t="s">
        <v>2457</v>
      </c>
      <c r="G2" s="2361" t="s">
        <v>2458</v>
      </c>
      <c r="H2" s="2361" t="s">
        <v>2459</v>
      </c>
      <c r="I2" s="2362" t="s">
        <v>2460</v>
      </c>
    </row>
    <row r="3" spans="1:9">
      <c r="A3" s="3600"/>
      <c r="B3" s="3601" t="s">
        <v>2461</v>
      </c>
      <c r="C3" s="3601"/>
      <c r="D3" s="2363"/>
      <c r="E3" s="2361"/>
      <c r="F3" s="2364"/>
      <c r="G3" s="2364"/>
      <c r="H3" s="2365"/>
      <c r="I3" s="2366">
        <f>ROUND(D3*E3*F3*G3*H3/10000,0)</f>
        <v>0</v>
      </c>
    </row>
    <row r="4" spans="1:9">
      <c r="A4" s="3600"/>
      <c r="B4" s="3601" t="s">
        <v>2462</v>
      </c>
      <c r="C4" s="3601"/>
      <c r="D4" s="2363"/>
      <c r="E4" s="2361"/>
      <c r="F4" s="2364"/>
      <c r="G4" s="2364"/>
      <c r="H4" s="2365"/>
      <c r="I4" s="2366">
        <f t="shared" ref="I4:I9" si="0">ROUND(D4*E4*F4*G4*H4/10000,0)</f>
        <v>0</v>
      </c>
    </row>
    <row r="5" spans="1:9">
      <c r="A5" s="3600"/>
      <c r="B5" s="3601" t="s">
        <v>2463</v>
      </c>
      <c r="C5" s="3601"/>
      <c r="D5" s="2363"/>
      <c r="E5" s="2361"/>
      <c r="F5" s="2364"/>
      <c r="G5" s="2364"/>
      <c r="H5" s="2365"/>
      <c r="I5" s="2366">
        <f t="shared" si="0"/>
        <v>0</v>
      </c>
    </row>
    <row r="6" spans="1:9">
      <c r="A6" s="3600"/>
      <c r="B6" s="3601" t="s">
        <v>2464</v>
      </c>
      <c r="C6" s="3601"/>
      <c r="D6" s="2363"/>
      <c r="E6" s="2361"/>
      <c r="F6" s="2364"/>
      <c r="G6" s="2364"/>
      <c r="H6" s="2365"/>
      <c r="I6" s="2366">
        <f t="shared" si="0"/>
        <v>0</v>
      </c>
    </row>
    <row r="7" spans="1:9">
      <c r="A7" s="3600"/>
      <c r="B7" s="3601" t="s">
        <v>2465</v>
      </c>
      <c r="C7" s="3601"/>
      <c r="D7" s="2363"/>
      <c r="E7" s="2361"/>
      <c r="F7" s="2364"/>
      <c r="G7" s="2364"/>
      <c r="H7" s="2365"/>
      <c r="I7" s="2366">
        <f t="shared" si="0"/>
        <v>0</v>
      </c>
    </row>
    <row r="8" spans="1:9">
      <c r="A8" s="3600"/>
      <c r="B8" s="3601" t="s">
        <v>2466</v>
      </c>
      <c r="C8" s="3601"/>
      <c r="D8" s="2363"/>
      <c r="E8" s="2361"/>
      <c r="F8" s="2364"/>
      <c r="G8" s="2364"/>
      <c r="H8" s="2365"/>
      <c r="I8" s="2366">
        <f t="shared" si="0"/>
        <v>0</v>
      </c>
    </row>
    <row r="9" spans="1:9">
      <c r="A9" s="3600"/>
      <c r="B9" s="3601" t="s">
        <v>2467</v>
      </c>
      <c r="C9" s="3601"/>
      <c r="D9" s="2363"/>
      <c r="E9" s="2361"/>
      <c r="F9" s="2364"/>
      <c r="G9" s="2364"/>
      <c r="H9" s="2365"/>
      <c r="I9" s="2366">
        <f t="shared" si="0"/>
        <v>0</v>
      </c>
    </row>
    <row r="10" spans="1:9">
      <c r="A10" s="3600"/>
      <c r="B10" s="3602" t="s">
        <v>2468</v>
      </c>
      <c r="C10" s="3602"/>
      <c r="D10" s="2367">
        <v>527</v>
      </c>
      <c r="E10" s="2367" t="e">
        <f>ROUND(D1*10000/D10/H9,0)</f>
        <v>#DIV/0!</v>
      </c>
      <c r="F10" s="2368"/>
      <c r="G10" s="2368"/>
      <c r="H10" s="2369"/>
      <c r="I10" s="2370">
        <f>SUM(I3:I9)</f>
        <v>0</v>
      </c>
    </row>
    <row r="11" spans="1:9" ht="14.25">
      <c r="A11" s="3600" t="s">
        <v>2469</v>
      </c>
      <c r="B11" s="3601" t="s">
        <v>2470</v>
      </c>
      <c r="C11" s="3601"/>
      <c r="D11" s="2363" t="s">
        <v>2471</v>
      </c>
      <c r="E11" s="2363" t="s">
        <v>2472</v>
      </c>
      <c r="F11" s="2364" t="s">
        <v>2473</v>
      </c>
      <c r="G11" s="2364" t="s">
        <v>2474</v>
      </c>
      <c r="H11" s="2371" t="s">
        <v>2475</v>
      </c>
      <c r="I11" s="2362" t="s">
        <v>2476</v>
      </c>
    </row>
    <row r="12" spans="1:9">
      <c r="A12" s="3600"/>
      <c r="B12" s="3601" t="s">
        <v>2477</v>
      </c>
      <c r="C12" s="3601"/>
      <c r="D12" s="2363"/>
      <c r="E12" s="2363"/>
      <c r="F12" s="2364"/>
      <c r="G12" s="2365"/>
      <c r="H12" s="2372"/>
      <c r="I12" s="2362">
        <f>ROUND(D12*E12*F12*G12/10000,0)</f>
        <v>0</v>
      </c>
    </row>
    <row r="13" spans="1:9">
      <c r="A13" s="3600"/>
      <c r="B13" s="3601" t="s">
        <v>2478</v>
      </c>
      <c r="C13" s="3601"/>
      <c r="D13" s="2363"/>
      <c r="E13" s="2363"/>
      <c r="F13" s="2364"/>
      <c r="G13" s="2365"/>
      <c r="H13" s="2372"/>
      <c r="I13" s="2362">
        <f>ROUND(D13*E13*F13*G13/10000,0)</f>
        <v>0</v>
      </c>
    </row>
    <row r="14" spans="1:9">
      <c r="A14" s="3600"/>
      <c r="B14" s="3601" t="s">
        <v>2479</v>
      </c>
      <c r="C14" s="3601"/>
      <c r="D14" s="2363"/>
      <c r="E14" s="2363"/>
      <c r="F14" s="2364"/>
      <c r="G14" s="2365"/>
      <c r="H14" s="2372"/>
      <c r="I14" s="2362">
        <f>ROUND(D14*E14*F14*G14/10000,0)</f>
        <v>0</v>
      </c>
    </row>
    <row r="15" spans="1:9">
      <c r="A15" s="3600"/>
      <c r="B15" s="3602" t="s">
        <v>2468</v>
      </c>
      <c r="C15" s="3602"/>
      <c r="D15" s="2367"/>
      <c r="E15" s="2367">
        <f>SUM(E12:E14)</f>
        <v>0</v>
      </c>
      <c r="F15" s="2368"/>
      <c r="G15" s="2365"/>
      <c r="H15" s="2372"/>
      <c r="I15" s="2373">
        <f>SUM(I12:I14)</f>
        <v>0</v>
      </c>
    </row>
    <row r="16" spans="1:9" ht="24">
      <c r="A16" s="3600" t="s">
        <v>2480</v>
      </c>
      <c r="B16" s="3601" t="s">
        <v>2481</v>
      </c>
      <c r="C16" s="3601"/>
      <c r="D16" s="2363" t="s">
        <v>2482</v>
      </c>
      <c r="E16" s="2374" t="s">
        <v>2483</v>
      </c>
      <c r="F16" s="2364" t="s">
        <v>2484</v>
      </c>
      <c r="G16" s="2365" t="s">
        <v>2474</v>
      </c>
      <c r="H16" s="2371" t="s">
        <v>2475</v>
      </c>
      <c r="I16" s="2362" t="s">
        <v>2476</v>
      </c>
    </row>
    <row r="17" spans="1:9" ht="14.25">
      <c r="A17" s="3600"/>
      <c r="B17" s="3601" t="s">
        <v>2485</v>
      </c>
      <c r="C17" s="3601"/>
      <c r="D17" s="2363"/>
      <c r="E17" s="2363"/>
      <c r="F17" s="2364"/>
      <c r="G17" s="2365"/>
      <c r="H17" s="2375"/>
      <c r="I17" s="2376">
        <f>ROUND(D17*E17*F17*G17/10000,0)</f>
        <v>0</v>
      </c>
    </row>
    <row r="18" spans="1:9" ht="14.25">
      <c r="A18" s="3600"/>
      <c r="B18" s="3601" t="s">
        <v>2486</v>
      </c>
      <c r="C18" s="3601"/>
      <c r="D18" s="2363"/>
      <c r="E18" s="2363"/>
      <c r="F18" s="2364"/>
      <c r="G18" s="2365"/>
      <c r="H18" s="2375"/>
      <c r="I18" s="2376">
        <f>ROUND(D18*E18*F18*G18/10000,0)</f>
        <v>0</v>
      </c>
    </row>
    <row r="19" spans="1:9" ht="14.25">
      <c r="A19" s="3600"/>
      <c r="B19" s="3601" t="s">
        <v>2487</v>
      </c>
      <c r="C19" s="3601"/>
      <c r="D19" s="2363"/>
      <c r="E19" s="2363"/>
      <c r="F19" s="2364"/>
      <c r="G19" s="2365"/>
      <c r="H19" s="2375"/>
      <c r="I19" s="2376">
        <f>ROUND(D19*E19*F19*G19/10000,0)</f>
        <v>0</v>
      </c>
    </row>
    <row r="20" spans="1:9">
      <c r="A20" s="3600"/>
      <c r="B20" s="3602" t="s">
        <v>2468</v>
      </c>
      <c r="C20" s="3602"/>
      <c r="D20" s="2367">
        <f>SUM(D17:D19)</f>
        <v>0</v>
      </c>
      <c r="E20" s="2367"/>
      <c r="F20" s="2368"/>
      <c r="G20" s="2365"/>
      <c r="H20" s="2372"/>
      <c r="I20" s="2373">
        <f>SUM(I17:I19)</f>
        <v>0</v>
      </c>
    </row>
    <row r="21" spans="1:9">
      <c r="A21" s="3600" t="s">
        <v>2488</v>
      </c>
      <c r="B21" s="3604"/>
      <c r="C21" s="3604"/>
      <c r="D21" s="3604"/>
      <c r="E21" s="3604"/>
      <c r="F21" s="3604"/>
      <c r="G21" s="3604"/>
      <c r="H21" s="2377">
        <v>0.1</v>
      </c>
      <c r="I21" s="2370">
        <f>ROUND(I10*H21,0)</f>
        <v>0</v>
      </c>
    </row>
    <row r="22" spans="1:9" ht="14.25">
      <c r="A22" s="3605" t="s">
        <v>2489</v>
      </c>
      <c r="B22" s="3606"/>
      <c r="C22" s="3607"/>
      <c r="D22" s="2378" t="s">
        <v>2490</v>
      </c>
      <c r="E22" s="2378" t="s">
        <v>2491</v>
      </c>
      <c r="F22" s="2379" t="s">
        <v>2492</v>
      </c>
      <c r="G22" s="2379" t="s">
        <v>2493</v>
      </c>
      <c r="H22" s="2371" t="s">
        <v>2494</v>
      </c>
      <c r="I22" s="2362" t="s">
        <v>2495</v>
      </c>
    </row>
    <row r="23" spans="1:9" ht="14.25" thickBot="1">
      <c r="A23" s="3608"/>
      <c r="B23" s="3609"/>
      <c r="C23" s="3610"/>
      <c r="D23" s="2380"/>
      <c r="E23" s="2380"/>
      <c r="F23" s="2380"/>
      <c r="G23" s="2381"/>
      <c r="H23" s="2382"/>
      <c r="I23" s="2383">
        <f>ROUND(E23*D23*F23*(1-G23)/10000,0)</f>
        <v>0</v>
      </c>
    </row>
    <row r="26" spans="1:9">
      <c r="A26" s="2384" t="s">
        <v>2496</v>
      </c>
      <c r="B26" s="2384"/>
      <c r="C26" s="2384"/>
      <c r="D26" s="2384"/>
      <c r="E26" s="3611">
        <f>C27-C30-C31-C32</f>
        <v>0</v>
      </c>
      <c r="F26" s="3611"/>
      <c r="G26" s="3611"/>
      <c r="H26" s="2757" t="s">
        <v>2822</v>
      </c>
    </row>
    <row r="27" spans="1:9">
      <c r="A27" s="2385">
        <v>1</v>
      </c>
      <c r="B27" s="2386" t="s">
        <v>2497</v>
      </c>
      <c r="C27" s="2386"/>
      <c r="D27" s="2386"/>
      <c r="E27" s="3612"/>
      <c r="F27" s="3612"/>
      <c r="G27" s="3612"/>
    </row>
    <row r="28" spans="1:9">
      <c r="A28" s="2387" t="s">
        <v>2498</v>
      </c>
      <c r="B28" s="2386" t="s">
        <v>2499</v>
      </c>
      <c r="C28" s="2386"/>
      <c r="D28" s="2386"/>
      <c r="E28" s="3612"/>
      <c r="F28" s="3612"/>
      <c r="G28" s="3612"/>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603"/>
      <c r="F32" s="3603"/>
      <c r="G32" s="3603"/>
    </row>
    <row r="33" spans="1:7" hidden="1">
      <c r="A33" s="3613" t="s">
        <v>2507</v>
      </c>
      <c r="B33" s="3614"/>
      <c r="C33" s="3614"/>
      <c r="D33" s="3615"/>
      <c r="E33" s="3611"/>
      <c r="F33" s="3611"/>
      <c r="G33" s="3611"/>
    </row>
    <row r="34" spans="1:7" hidden="1">
      <c r="A34" s="2389">
        <v>1</v>
      </c>
      <c r="B34" s="2386" t="s">
        <v>2508</v>
      </c>
      <c r="C34" s="2386"/>
      <c r="D34" s="2386"/>
      <c r="E34" s="3612"/>
      <c r="F34" s="3612"/>
      <c r="G34" s="3612"/>
    </row>
    <row r="35" spans="1:7" hidden="1">
      <c r="A35" s="2389">
        <v>2</v>
      </c>
      <c r="B35" s="2386" t="s">
        <v>2509</v>
      </c>
      <c r="C35" s="2386"/>
      <c r="D35" s="2386"/>
      <c r="E35" s="3612"/>
      <c r="F35" s="3612"/>
      <c r="G35" s="3612"/>
    </row>
    <row r="36" spans="1:7" hidden="1">
      <c r="A36" s="2389">
        <v>3</v>
      </c>
      <c r="B36" s="2386" t="s">
        <v>2510</v>
      </c>
      <c r="C36" s="2386"/>
      <c r="D36" s="2386"/>
      <c r="E36" s="3612"/>
      <c r="F36" s="3612"/>
      <c r="G36" s="3612"/>
    </row>
    <row r="37" spans="1:7" hidden="1">
      <c r="A37" s="2389">
        <v>4</v>
      </c>
      <c r="B37" s="2386" t="s">
        <v>2511</v>
      </c>
      <c r="C37" s="2386"/>
      <c r="D37" s="2386"/>
      <c r="E37" s="3612"/>
      <c r="F37" s="3612"/>
      <c r="G37" s="3612"/>
    </row>
    <row r="38" spans="1:7" hidden="1">
      <c r="A38" s="3613" t="s">
        <v>2512</v>
      </c>
      <c r="B38" s="3614"/>
      <c r="C38" s="3614"/>
      <c r="D38" s="3615"/>
      <c r="E38" s="3611"/>
      <c r="F38" s="3611"/>
      <c r="G38" s="36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2">
        <f t="shared" ref="C8:C9" si="0">ROUND(D8*E8/10000,0)</f>
        <v>0</v>
      </c>
      <c r="D8" s="3272">
        <v>0</v>
      </c>
      <c r="E8" s="3273">
        <v>0</v>
      </c>
      <c r="F8" s="741"/>
      <c r="G8" s="742"/>
    </row>
    <row r="9" spans="1:25" s="2065" customFormat="1" ht="13.5" customHeight="1">
      <c r="A9" s="2324" t="s">
        <v>2423</v>
      </c>
      <c r="B9" s="2327" t="s">
        <v>2425</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0</v>
      </c>
      <c r="D12" s="3272">
        <f>'数据-汇总表'!E5</f>
        <v>0</v>
      </c>
      <c r="E12" s="3272">
        <f>'数据-取费表'!B27</f>
        <v>140</v>
      </c>
      <c r="F12" s="746"/>
      <c r="G12" s="749"/>
    </row>
    <row r="13" spans="1:25" s="2065" customFormat="1" ht="13.5" customHeight="1">
      <c r="A13" s="2330" t="s">
        <v>2429</v>
      </c>
      <c r="B13" s="747" t="s">
        <v>606</v>
      </c>
      <c r="C13" s="748">
        <f>ROUND(D13*E13/10000,0)</f>
        <v>85</v>
      </c>
      <c r="D13" s="3272">
        <f>'数据-汇总表'!E6</f>
        <v>5000</v>
      </c>
      <c r="E13" s="3272">
        <f>'数据-取费表'!B28</f>
        <v>170</v>
      </c>
      <c r="F13" s="746"/>
      <c r="G13" s="749"/>
    </row>
    <row r="14" spans="1:25" s="2065" customFormat="1" ht="13.5" customHeight="1">
      <c r="A14" s="2324" t="s">
        <v>2423</v>
      </c>
      <c r="B14" s="2329" t="s">
        <v>2426</v>
      </c>
      <c r="C14" s="3274">
        <f t="shared" ref="C14:C15" si="1">ROUND(D14*E14/10000,0)</f>
        <v>0</v>
      </c>
      <c r="D14" s="3272">
        <v>0</v>
      </c>
      <c r="E14" s="3273">
        <v>0</v>
      </c>
      <c r="F14" s="2328"/>
      <c r="G14" s="2331" t="s">
        <v>2431</v>
      </c>
    </row>
    <row r="15" spans="1:25" s="2065" customFormat="1" ht="13.5" customHeight="1">
      <c r="A15" s="2324" t="s">
        <v>2428</v>
      </c>
      <c r="B15" s="2329" t="s">
        <v>2427</v>
      </c>
      <c r="C15" s="3274">
        <f t="shared" si="1"/>
        <v>0</v>
      </c>
      <c r="D15" s="3272">
        <v>0</v>
      </c>
      <c r="E15" s="3273">
        <v>0</v>
      </c>
      <c r="F15" s="2328"/>
      <c r="G15" s="2331" t="s">
        <v>2432</v>
      </c>
    </row>
    <row r="16" spans="1:25" s="2066" customFormat="1" ht="48">
      <c r="A16" s="2324">
        <v>3</v>
      </c>
      <c r="B16" s="739" t="s">
        <v>609</v>
      </c>
      <c r="C16" s="3274">
        <f t="shared" ref="C16" si="2">ROUND(D16*E16/10000,0)</f>
        <v>0</v>
      </c>
      <c r="D16" s="3272">
        <v>0</v>
      </c>
      <c r="E16" s="3273">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0.69399999999999995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39" t="s">
        <v>516</v>
      </c>
      <c r="D4" s="3540"/>
      <c r="E4" s="3541" t="s">
        <v>517</v>
      </c>
      <c r="F4" s="3542"/>
      <c r="G4" s="3539" t="s">
        <v>518</v>
      </c>
      <c r="H4" s="3540"/>
      <c r="I4" s="3539" t="s">
        <v>519</v>
      </c>
      <c r="J4" s="3540"/>
      <c r="K4" s="842" t="s">
        <v>520</v>
      </c>
      <c r="L4" s="2016"/>
      <c r="M4" s="2017"/>
      <c r="N4" s="2017"/>
      <c r="O4" s="2017"/>
      <c r="P4" s="3543" t="s">
        <v>521</v>
      </c>
      <c r="Q4" s="3544"/>
      <c r="R4" s="3525" t="s">
        <v>517</v>
      </c>
      <c r="S4" s="3526"/>
      <c r="T4" s="3525" t="s">
        <v>518</v>
      </c>
      <c r="U4" s="3526"/>
      <c r="V4" s="3551" t="s">
        <v>519</v>
      </c>
      <c r="W4" s="3551"/>
      <c r="X4" s="1502"/>
      <c r="Y4" s="3525" t="s">
        <v>521</v>
      </c>
      <c r="Z4" s="3526"/>
      <c r="AA4" s="3536" t="s">
        <v>517</v>
      </c>
      <c r="AB4" s="3536" t="s">
        <v>518</v>
      </c>
      <c r="AC4" s="3536" t="s">
        <v>519</v>
      </c>
    </row>
    <row r="5" spans="1:29" ht="15">
      <c r="A5" s="509"/>
      <c r="B5" s="510"/>
      <c r="C5" s="3529" t="s">
        <v>2897</v>
      </c>
      <c r="D5" s="3530"/>
      <c r="E5" s="3552" t="s">
        <v>2898</v>
      </c>
      <c r="F5" s="3553"/>
      <c r="G5" s="3529" t="s">
        <v>2899</v>
      </c>
      <c r="H5" s="3530"/>
      <c r="I5" s="3529" t="s">
        <v>2900</v>
      </c>
      <c r="J5" s="3530"/>
      <c r="K5" s="843"/>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843"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23" t="s">
        <v>524</v>
      </c>
      <c r="Q7" s="3533"/>
      <c r="R7" s="1503" t="s">
        <v>13</v>
      </c>
      <c r="S7" s="1504">
        <f t="shared" ref="S7:S15" si="0">F7</f>
        <v>0</v>
      </c>
      <c r="T7" s="1503" t="s">
        <v>13</v>
      </c>
      <c r="U7" s="1504">
        <f t="shared" ref="U7:U15" si="1">H7</f>
        <v>0</v>
      </c>
      <c r="V7" s="1503" t="s">
        <v>13</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23" t="s">
        <v>527</v>
      </c>
      <c r="Q8" s="3524"/>
      <c r="R8" s="1503" t="s">
        <v>13</v>
      </c>
      <c r="S8" s="1504">
        <f t="shared" si="0"/>
        <v>0</v>
      </c>
      <c r="T8" s="1503" t="s">
        <v>13</v>
      </c>
      <c r="U8" s="1504">
        <f t="shared" si="1"/>
        <v>0</v>
      </c>
      <c r="V8" s="1503" t="s">
        <v>13</v>
      </c>
      <c r="W8" s="1504">
        <f t="shared" si="2"/>
        <v>0</v>
      </c>
      <c r="X8" s="1505"/>
      <c r="Y8" s="3523" t="s">
        <v>527</v>
      </c>
      <c r="Z8" s="3524"/>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58"/>
      <c r="Q11" s="1134" t="str">
        <f t="shared" si="6"/>
        <v>容积率</v>
      </c>
      <c r="R11" s="1503" t="s">
        <v>11</v>
      </c>
      <c r="S11" s="1504" t="e">
        <f t="shared" si="0"/>
        <v>#N/A</v>
      </c>
      <c r="T11" s="1503" t="s">
        <v>11</v>
      </c>
      <c r="U11" s="1504" t="e">
        <f t="shared" si="1"/>
        <v>#N/A</v>
      </c>
      <c r="V11" s="1503" t="s">
        <v>11</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58"/>
      <c r="Q12" s="1134">
        <f t="shared" si="6"/>
        <v>111</v>
      </c>
      <c r="R12" s="1503" t="s">
        <v>11</v>
      </c>
      <c r="S12" s="1504">
        <f t="shared" si="0"/>
        <v>100</v>
      </c>
      <c r="T12" s="1503" t="s">
        <v>11</v>
      </c>
      <c r="U12" s="1504">
        <f t="shared" si="1"/>
        <v>100</v>
      </c>
      <c r="V12" s="1503" t="s">
        <v>11</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58"/>
      <c r="Q13" s="1134">
        <f t="shared" si="6"/>
        <v>111</v>
      </c>
      <c r="R13" s="1503" t="s">
        <v>11</v>
      </c>
      <c r="S13" s="1504">
        <f t="shared" si="0"/>
        <v>100</v>
      </c>
      <c r="T13" s="1503" t="s">
        <v>11</v>
      </c>
      <c r="U13" s="1504">
        <f t="shared" si="1"/>
        <v>100</v>
      </c>
      <c r="V13" s="1503" t="s">
        <v>11</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58"/>
      <c r="Q14" s="1134">
        <f t="shared" si="6"/>
        <v>111</v>
      </c>
      <c r="R14" s="1503" t="s">
        <v>11</v>
      </c>
      <c r="S14" s="1504">
        <f t="shared" si="0"/>
        <v>100</v>
      </c>
      <c r="T14" s="1503" t="s">
        <v>11</v>
      </c>
      <c r="U14" s="1504">
        <f t="shared" si="1"/>
        <v>100</v>
      </c>
      <c r="V14" s="1503" t="s">
        <v>11</v>
      </c>
      <c r="W14" s="1504">
        <f t="shared" si="2"/>
        <v>100</v>
      </c>
      <c r="X14" s="1505"/>
      <c r="Y14" s="3445"/>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54" t="s">
        <v>534</v>
      </c>
      <c r="Q15" s="1507" t="str">
        <f t="shared" si="6"/>
        <v>居住社区成熟度</v>
      </c>
      <c r="R15" s="1508" t="s">
        <v>11</v>
      </c>
      <c r="S15" s="1509">
        <f t="shared" si="0"/>
        <v>100</v>
      </c>
      <c r="T15" s="1508" t="s">
        <v>11</v>
      </c>
      <c r="U15" s="1509">
        <f t="shared" si="1"/>
        <v>100</v>
      </c>
      <c r="V15" s="1508" t="s">
        <v>11</v>
      </c>
      <c r="W15" s="1509">
        <f t="shared" si="2"/>
        <v>100</v>
      </c>
      <c r="X15" s="1502"/>
      <c r="Y15" s="355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55"/>
      <c r="Q16" s="1507"/>
      <c r="R16" s="1508"/>
      <c r="S16" s="1509"/>
      <c r="T16" s="1508"/>
      <c r="U16" s="1509"/>
      <c r="V16" s="1508"/>
      <c r="W16" s="1509"/>
      <c r="X16" s="1502"/>
      <c r="Y16" s="355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55"/>
      <c r="Q17" s="1507" t="str">
        <f>B17</f>
        <v>交通便捷度</v>
      </c>
      <c r="R17" s="1508" t="s">
        <v>11</v>
      </c>
      <c r="S17" s="1509">
        <f>F17</f>
        <v>100</v>
      </c>
      <c r="T17" s="1508" t="s">
        <v>11</v>
      </c>
      <c r="U17" s="1509">
        <f>H17</f>
        <v>100</v>
      </c>
      <c r="V17" s="1508" t="s">
        <v>11</v>
      </c>
      <c r="W17" s="1509">
        <f>J17</f>
        <v>100</v>
      </c>
      <c r="X17" s="1502"/>
      <c r="Y17" s="35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55"/>
      <c r="Q18" s="1507"/>
      <c r="R18" s="1508"/>
      <c r="S18" s="1509"/>
      <c r="T18" s="1508"/>
      <c r="U18" s="1509"/>
      <c r="V18" s="1508"/>
      <c r="W18" s="1509"/>
      <c r="X18" s="1502"/>
      <c r="Y18" s="355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55"/>
      <c r="Q19" s="1507" t="str">
        <f>B19</f>
        <v>公共配套设施</v>
      </c>
      <c r="R19" s="1508" t="s">
        <v>11</v>
      </c>
      <c r="S19" s="1509">
        <f>F19</f>
        <v>100</v>
      </c>
      <c r="T19" s="1508" t="s">
        <v>11</v>
      </c>
      <c r="U19" s="1509">
        <f>H19</f>
        <v>100</v>
      </c>
      <c r="V19" s="1508" t="s">
        <v>11</v>
      </c>
      <c r="W19" s="1509">
        <f>J19</f>
        <v>100</v>
      </c>
      <c r="X19" s="1502"/>
      <c r="Y19" s="355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55"/>
      <c r="Q21" s="2430" t="str">
        <f>B21</f>
        <v>基础设施水平</v>
      </c>
      <c r="R21" s="1508" t="s">
        <v>11</v>
      </c>
      <c r="S21" s="1509">
        <f>F21</f>
        <v>100</v>
      </c>
      <c r="T21" s="1508" t="s">
        <v>11</v>
      </c>
      <c r="U21" s="1509">
        <f>H21</f>
        <v>100</v>
      </c>
      <c r="V21" s="1508" t="s">
        <v>11</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55"/>
      <c r="Q22" s="2430"/>
      <c r="R22" s="1508"/>
      <c r="S22" s="1509"/>
      <c r="T22" s="1508"/>
      <c r="U22" s="1509"/>
      <c r="V22" s="1508"/>
      <c r="W22" s="1509"/>
      <c r="X22" s="2432"/>
      <c r="Y22" s="3555"/>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55"/>
      <c r="Q23" s="1507" t="str">
        <f>B23</f>
        <v>自然及人文环境</v>
      </c>
      <c r="R23" s="1508" t="s">
        <v>11</v>
      </c>
      <c r="S23" s="1509">
        <f>F23</f>
        <v>100</v>
      </c>
      <c r="T23" s="1508" t="s">
        <v>11</v>
      </c>
      <c r="U23" s="1509">
        <f>H23</f>
        <v>100</v>
      </c>
      <c r="V23" s="1508" t="s">
        <v>11</v>
      </c>
      <c r="W23" s="1509">
        <f>J23</f>
        <v>100</v>
      </c>
      <c r="X23" s="1502"/>
      <c r="Y23" s="355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55"/>
      <c r="Q24" s="1507"/>
      <c r="R24" s="1508"/>
      <c r="S24" s="1509"/>
      <c r="T24" s="1508"/>
      <c r="U24" s="1509"/>
      <c r="V24" s="1508"/>
      <c r="W24" s="1509"/>
      <c r="X24" s="1502"/>
      <c r="Y24" s="3555"/>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55"/>
      <c r="Q25" s="1507" t="str">
        <f t="shared" ref="Q25:Q46" si="11">B25</f>
        <v>楼层-1</v>
      </c>
      <c r="R25" s="1508" t="s">
        <v>11</v>
      </c>
      <c r="S25" s="1509">
        <f>F25</f>
        <v>100</v>
      </c>
      <c r="T25" s="1508" t="s">
        <v>11</v>
      </c>
      <c r="U25" s="1509">
        <f>H25</f>
        <v>100</v>
      </c>
      <c r="V25" s="1508" t="s">
        <v>11</v>
      </c>
      <c r="W25" s="1509">
        <f>J25</f>
        <v>100</v>
      </c>
      <c r="X25" s="1502"/>
      <c r="Y25" s="355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55"/>
      <c r="Q26" s="1507" t="str">
        <f t="shared" si="11"/>
        <v>朝向</v>
      </c>
      <c r="R26" s="1508" t="s">
        <v>11</v>
      </c>
      <c r="S26" s="1509">
        <f>F26</f>
        <v>100</v>
      </c>
      <c r="T26" s="1508" t="s">
        <v>11</v>
      </c>
      <c r="U26" s="1509">
        <f>H26</f>
        <v>100</v>
      </c>
      <c r="V26" s="1508" t="s">
        <v>11</v>
      </c>
      <c r="W26" s="1509">
        <f>J26</f>
        <v>100</v>
      </c>
      <c r="X26" s="1502"/>
      <c r="Y26" s="355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55"/>
      <c r="Q27" s="1134" t="str">
        <f t="shared" si="11"/>
        <v>道路级别</v>
      </c>
      <c r="R27" s="1503" t="s">
        <v>11</v>
      </c>
      <c r="S27" s="1504">
        <f>F27</f>
        <v>100</v>
      </c>
      <c r="T27" s="1503" t="s">
        <v>11</v>
      </c>
      <c r="U27" s="1504">
        <f>H27</f>
        <v>100</v>
      </c>
      <c r="V27" s="1503" t="s">
        <v>11</v>
      </c>
      <c r="W27" s="1504">
        <f>J27</f>
        <v>100</v>
      </c>
      <c r="X27" s="1505"/>
      <c r="Y27" s="355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5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5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55"/>
      <c r="Q29" s="1507">
        <f t="shared" si="11"/>
        <v>111</v>
      </c>
      <c r="R29" s="1508" t="s">
        <v>11</v>
      </c>
      <c r="S29" s="1509">
        <f t="shared" si="12"/>
        <v>100</v>
      </c>
      <c r="T29" s="1508" t="s">
        <v>11</v>
      </c>
      <c r="U29" s="1509">
        <f t="shared" si="13"/>
        <v>100</v>
      </c>
      <c r="V29" s="1508" t="s">
        <v>11</v>
      </c>
      <c r="W29" s="1509">
        <f t="shared" si="14"/>
        <v>100</v>
      </c>
      <c r="X29" s="1502"/>
      <c r="Y29" s="355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55"/>
      <c r="Q30" s="1507">
        <f t="shared" si="11"/>
        <v>111</v>
      </c>
      <c r="R30" s="1508" t="s">
        <v>11</v>
      </c>
      <c r="S30" s="1509">
        <f t="shared" si="12"/>
        <v>100</v>
      </c>
      <c r="T30" s="1508" t="s">
        <v>11</v>
      </c>
      <c r="U30" s="1509">
        <f t="shared" si="13"/>
        <v>100</v>
      </c>
      <c r="V30" s="1508" t="s">
        <v>11</v>
      </c>
      <c r="W30" s="1509">
        <f t="shared" si="14"/>
        <v>100</v>
      </c>
      <c r="X30" s="1502"/>
      <c r="Y30" s="355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55"/>
      <c r="Q31" s="1507">
        <f t="shared" si="11"/>
        <v>111</v>
      </c>
      <c r="R31" s="1508" t="s">
        <v>11</v>
      </c>
      <c r="S31" s="1509">
        <f t="shared" si="12"/>
        <v>100</v>
      </c>
      <c r="T31" s="1508" t="s">
        <v>11</v>
      </c>
      <c r="U31" s="1509">
        <f t="shared" si="13"/>
        <v>100</v>
      </c>
      <c r="V31" s="1508" t="s">
        <v>11</v>
      </c>
      <c r="W31" s="1509">
        <f t="shared" si="14"/>
        <v>100</v>
      </c>
      <c r="X31" s="1502"/>
      <c r="Y31" s="3555"/>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56" t="s">
        <v>544</v>
      </c>
      <c r="Q32" s="1507" t="str">
        <f t="shared" si="11"/>
        <v>建筑类型</v>
      </c>
      <c r="R32" s="1508" t="s">
        <v>11</v>
      </c>
      <c r="S32" s="1509">
        <f t="shared" si="12"/>
        <v>100</v>
      </c>
      <c r="T32" s="1508" t="s">
        <v>11</v>
      </c>
      <c r="U32" s="1509">
        <f t="shared" si="13"/>
        <v>100</v>
      </c>
      <c r="V32" s="1508" t="s">
        <v>11</v>
      </c>
      <c r="W32" s="1509">
        <f t="shared" si="14"/>
        <v>100</v>
      </c>
      <c r="X32" s="1502"/>
      <c r="Y32" s="355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57"/>
      <c r="Q33" s="1536" t="str">
        <f t="shared" si="11"/>
        <v>项目建筑规模</v>
      </c>
      <c r="R33" s="1512" t="s">
        <v>11</v>
      </c>
      <c r="S33" s="1513" t="e">
        <f t="shared" si="12"/>
        <v>#N/A</v>
      </c>
      <c r="T33" s="1512" t="s">
        <v>11</v>
      </c>
      <c r="U33" s="1513" t="e">
        <f t="shared" si="13"/>
        <v>#N/A</v>
      </c>
      <c r="V33" s="1512" t="s">
        <v>11</v>
      </c>
      <c r="W33" s="1513" t="e">
        <f t="shared" si="14"/>
        <v>#N/A</v>
      </c>
      <c r="X33" s="1514"/>
      <c r="Y33" s="355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57"/>
      <c r="Q34" s="1507" t="str">
        <f t="shared" si="11"/>
        <v>建筑结构</v>
      </c>
      <c r="R34" s="1508" t="s">
        <v>11</v>
      </c>
      <c r="S34" s="1509">
        <f t="shared" si="12"/>
        <v>100</v>
      </c>
      <c r="T34" s="1508" t="s">
        <v>11</v>
      </c>
      <c r="U34" s="1509">
        <f t="shared" si="13"/>
        <v>100</v>
      </c>
      <c r="V34" s="1508" t="s">
        <v>11</v>
      </c>
      <c r="W34" s="1509">
        <f t="shared" si="14"/>
        <v>100</v>
      </c>
      <c r="X34" s="1502"/>
      <c r="Y34" s="355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57"/>
      <c r="Q35" s="1507" t="str">
        <f t="shared" si="11"/>
        <v>建筑品质</v>
      </c>
      <c r="R35" s="1508" t="s">
        <v>11</v>
      </c>
      <c r="S35" s="1509">
        <f t="shared" si="12"/>
        <v>100</v>
      </c>
      <c r="T35" s="1508" t="s">
        <v>11</v>
      </c>
      <c r="U35" s="1509">
        <f t="shared" si="13"/>
        <v>100</v>
      </c>
      <c r="V35" s="1508" t="s">
        <v>11</v>
      </c>
      <c r="W35" s="1509">
        <f t="shared" si="14"/>
        <v>100</v>
      </c>
      <c r="X35" s="1502"/>
      <c r="Y35" s="355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57"/>
      <c r="Q36" s="1507" t="str">
        <f t="shared" si="11"/>
        <v>公共部分装修</v>
      </c>
      <c r="R36" s="1508" t="s">
        <v>11</v>
      </c>
      <c r="S36" s="1509">
        <f t="shared" si="12"/>
        <v>100</v>
      </c>
      <c r="T36" s="1508" t="s">
        <v>11</v>
      </c>
      <c r="U36" s="1509">
        <f t="shared" si="13"/>
        <v>100</v>
      </c>
      <c r="V36" s="1508" t="s">
        <v>11</v>
      </c>
      <c r="W36" s="1509">
        <f t="shared" si="14"/>
        <v>100</v>
      </c>
      <c r="X36" s="1502"/>
      <c r="Y36" s="355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57"/>
      <c r="Q37" s="1134" t="str">
        <f t="shared" si="11"/>
        <v>成新度</v>
      </c>
      <c r="R37" s="1503" t="s">
        <v>11</v>
      </c>
      <c r="S37" s="1504" t="e">
        <f t="shared" si="12"/>
        <v>#N/A</v>
      </c>
      <c r="T37" s="1503" t="s">
        <v>11</v>
      </c>
      <c r="U37" s="1504" t="e">
        <f t="shared" si="13"/>
        <v>#N/A</v>
      </c>
      <c r="V37" s="1503" t="s">
        <v>11</v>
      </c>
      <c r="W37" s="1504" t="e">
        <f t="shared" si="14"/>
        <v>#N/A</v>
      </c>
      <c r="X37" s="1505"/>
      <c r="Y37" s="355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57" t="s">
        <v>544</v>
      </c>
      <c r="Q38" s="1507" t="str">
        <f t="shared" si="11"/>
        <v>物业管理</v>
      </c>
      <c r="R38" s="1508" t="s">
        <v>11</v>
      </c>
      <c r="S38" s="1509">
        <f t="shared" si="12"/>
        <v>100</v>
      </c>
      <c r="T38" s="1508" t="s">
        <v>11</v>
      </c>
      <c r="U38" s="1509">
        <f t="shared" si="13"/>
        <v>100</v>
      </c>
      <c r="V38" s="1508" t="s">
        <v>11</v>
      </c>
      <c r="W38" s="1509">
        <f t="shared" si="14"/>
        <v>100</v>
      </c>
      <c r="X38" s="1502"/>
      <c r="Y38" s="3557"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57"/>
      <c r="Q39" s="1507" t="str">
        <f t="shared" si="11"/>
        <v>市政基础设施</v>
      </c>
      <c r="R39" s="1508" t="s">
        <v>11</v>
      </c>
      <c r="S39" s="1509">
        <f t="shared" si="12"/>
        <v>100</v>
      </c>
      <c r="T39" s="1508" t="s">
        <v>11</v>
      </c>
      <c r="U39" s="1509">
        <f t="shared" si="13"/>
        <v>100</v>
      </c>
      <c r="V39" s="1508" t="s">
        <v>11</v>
      </c>
      <c r="W39" s="1509">
        <f t="shared" si="14"/>
        <v>100</v>
      </c>
      <c r="X39" s="1502"/>
      <c r="Y39" s="355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57"/>
      <c r="Q40" s="1507" t="str">
        <f t="shared" si="11"/>
        <v>房型</v>
      </c>
      <c r="R40" s="1508" t="s">
        <v>11</v>
      </c>
      <c r="S40" s="1509">
        <f t="shared" si="12"/>
        <v>100</v>
      </c>
      <c r="T40" s="1508" t="s">
        <v>11</v>
      </c>
      <c r="U40" s="1509">
        <f t="shared" si="13"/>
        <v>100</v>
      </c>
      <c r="V40" s="1508" t="s">
        <v>11</v>
      </c>
      <c r="W40" s="1509">
        <f t="shared" si="14"/>
        <v>100</v>
      </c>
      <c r="X40" s="1502"/>
      <c r="Y40" s="355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57"/>
      <c r="Q41" s="1536" t="str">
        <f t="shared" si="11"/>
        <v>单套/主力户型建筑面积</v>
      </c>
      <c r="R41" s="1512" t="s">
        <v>11</v>
      </c>
      <c r="S41" s="1513">
        <f t="shared" si="12"/>
        <v>100</v>
      </c>
      <c r="T41" s="1512" t="s">
        <v>11</v>
      </c>
      <c r="U41" s="1513">
        <f t="shared" si="13"/>
        <v>100</v>
      </c>
      <c r="V41" s="1512" t="s">
        <v>11</v>
      </c>
      <c r="W41" s="1513">
        <f t="shared" si="14"/>
        <v>100</v>
      </c>
      <c r="X41" s="1514"/>
      <c r="Y41" s="355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57"/>
      <c r="Q42" s="1507" t="str">
        <f t="shared" si="11"/>
        <v>内部装修</v>
      </c>
      <c r="R42" s="1508" t="s">
        <v>11</v>
      </c>
      <c r="S42" s="1509">
        <f t="shared" si="12"/>
        <v>100</v>
      </c>
      <c r="T42" s="1508" t="s">
        <v>11</v>
      </c>
      <c r="U42" s="1509">
        <f t="shared" si="13"/>
        <v>100</v>
      </c>
      <c r="V42" s="1508" t="s">
        <v>11</v>
      </c>
      <c r="W42" s="1509">
        <f t="shared" si="14"/>
        <v>100</v>
      </c>
      <c r="X42" s="1502"/>
      <c r="Y42" s="355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57"/>
      <c r="Q43" s="1507" t="str">
        <f t="shared" si="11"/>
        <v>内部装修维护情况</v>
      </c>
      <c r="R43" s="1508" t="s">
        <v>11</v>
      </c>
      <c r="S43" s="1509">
        <f t="shared" si="12"/>
        <v>100</v>
      </c>
      <c r="T43" s="1508" t="s">
        <v>11</v>
      </c>
      <c r="U43" s="1509">
        <f t="shared" si="13"/>
        <v>100</v>
      </c>
      <c r="V43" s="1508" t="s">
        <v>11</v>
      </c>
      <c r="W43" s="1509">
        <f t="shared" si="14"/>
        <v>100</v>
      </c>
      <c r="X43" s="1502"/>
      <c r="Y43" s="355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57"/>
      <c r="Q44" s="1134">
        <f t="shared" si="11"/>
        <v>111</v>
      </c>
      <c r="R44" s="1503" t="s">
        <v>11</v>
      </c>
      <c r="S44" s="1504">
        <f t="shared" si="12"/>
        <v>100</v>
      </c>
      <c r="T44" s="1503" t="s">
        <v>11</v>
      </c>
      <c r="U44" s="1504">
        <f t="shared" si="13"/>
        <v>100</v>
      </c>
      <c r="V44" s="1503" t="s">
        <v>11</v>
      </c>
      <c r="W44" s="1504">
        <f t="shared" si="14"/>
        <v>100</v>
      </c>
      <c r="X44" s="1505"/>
      <c r="Y44" s="355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57"/>
      <c r="Q45" s="1507">
        <f t="shared" si="11"/>
        <v>111</v>
      </c>
      <c r="R45" s="1508" t="s">
        <v>11</v>
      </c>
      <c r="S45" s="1509">
        <f t="shared" si="12"/>
        <v>100</v>
      </c>
      <c r="T45" s="1508" t="s">
        <v>11</v>
      </c>
      <c r="U45" s="1509">
        <f t="shared" si="13"/>
        <v>100</v>
      </c>
      <c r="V45" s="1508" t="s">
        <v>11</v>
      </c>
      <c r="W45" s="1509">
        <f t="shared" si="14"/>
        <v>100</v>
      </c>
      <c r="X45" s="1502"/>
      <c r="Y45" s="355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8"/>
      <c r="Q46" s="1507">
        <f t="shared" si="11"/>
        <v>111</v>
      </c>
      <c r="R46" s="1508" t="s">
        <v>10</v>
      </c>
      <c r="S46" s="1509">
        <f t="shared" si="12"/>
        <v>100</v>
      </c>
      <c r="T46" s="1508" t="s">
        <v>10</v>
      </c>
      <c r="U46" s="1509">
        <f t="shared" si="13"/>
        <v>100</v>
      </c>
      <c r="V46" s="1508" t="s">
        <v>10</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58" t="str">
        <f>A47</f>
        <v>成交单价（元/平方米）</v>
      </c>
      <c r="Q47" s="3558"/>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558" t="str">
        <f>A48</f>
        <v>比较价格（元/平方米）</v>
      </c>
      <c r="Q48" s="3558"/>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64" t="str">
        <f>A49</f>
        <v>估价对象XX用房的比较价格（楼面单价，元/平方米）</v>
      </c>
      <c r="Q49" s="3565"/>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39" t="s">
        <v>516</v>
      </c>
      <c r="D4" s="3540"/>
      <c r="E4" s="3541" t="s">
        <v>517</v>
      </c>
      <c r="F4" s="3542"/>
      <c r="G4" s="3539" t="s">
        <v>518</v>
      </c>
      <c r="H4" s="3540"/>
      <c r="I4" s="3539" t="s">
        <v>519</v>
      </c>
      <c r="J4" s="3540"/>
      <c r="K4" s="508" t="s">
        <v>520</v>
      </c>
      <c r="L4" s="2016"/>
      <c r="M4" s="2017"/>
      <c r="N4" s="2017"/>
      <c r="O4" s="2017"/>
      <c r="P4" s="3543" t="s">
        <v>521</v>
      </c>
      <c r="Q4" s="3544"/>
      <c r="R4" s="3525" t="s">
        <v>517</v>
      </c>
      <c r="S4" s="3526"/>
      <c r="T4" s="3525" t="s">
        <v>518</v>
      </c>
      <c r="U4" s="3526"/>
      <c r="V4" s="3551" t="s">
        <v>519</v>
      </c>
      <c r="W4" s="3551"/>
      <c r="X4" s="1502"/>
      <c r="Y4" s="3525" t="s">
        <v>521</v>
      </c>
      <c r="Z4" s="3526"/>
      <c r="AA4" s="3536" t="s">
        <v>517</v>
      </c>
      <c r="AB4" s="3551" t="s">
        <v>518</v>
      </c>
      <c r="AC4" s="3536" t="s">
        <v>519</v>
      </c>
    </row>
    <row r="5" spans="1:29" ht="15">
      <c r="A5" s="509"/>
      <c r="B5" s="510"/>
      <c r="C5" s="3529" t="s">
        <v>2897</v>
      </c>
      <c r="D5" s="3530"/>
      <c r="E5" s="3552" t="s">
        <v>2898</v>
      </c>
      <c r="F5" s="3553"/>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51"/>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51"/>
      <c r="AC6" s="3538"/>
    </row>
    <row r="7" spans="1:29" s="1203" customFormat="1" ht="15.75" thickBot="1">
      <c r="A7" s="2630"/>
      <c r="B7" s="2637" t="s">
        <v>523</v>
      </c>
      <c r="C7" s="513">
        <f>'数据-取费表'!B2</f>
        <v>44098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23" t="s">
        <v>524</v>
      </c>
      <c r="Q7" s="3533"/>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58"/>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54" t="s">
        <v>534</v>
      </c>
      <c r="Q15" s="1507" t="str">
        <f t="shared" si="6"/>
        <v>商业繁华度</v>
      </c>
      <c r="R15" s="1508" t="s">
        <v>8</v>
      </c>
      <c r="S15" s="1509">
        <f t="shared" si="0"/>
        <v>100</v>
      </c>
      <c r="T15" s="1508" t="s">
        <v>8</v>
      </c>
      <c r="U15" s="1509">
        <f t="shared" si="1"/>
        <v>100</v>
      </c>
      <c r="V15" s="1508" t="s">
        <v>8</v>
      </c>
      <c r="W15" s="1509">
        <f t="shared" si="2"/>
        <v>100</v>
      </c>
      <c r="X15" s="1502"/>
      <c r="Y15" s="355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55"/>
      <c r="Q16" s="1507"/>
      <c r="R16" s="1508"/>
      <c r="S16" s="1509"/>
      <c r="T16" s="1508"/>
      <c r="U16" s="1509"/>
      <c r="V16" s="1508"/>
      <c r="W16" s="1509"/>
      <c r="X16" s="1502"/>
      <c r="Y16" s="355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55"/>
      <c r="Q18" s="1507"/>
      <c r="R18" s="1508"/>
      <c r="S18" s="1509"/>
      <c r="T18" s="1508"/>
      <c r="U18" s="1509"/>
      <c r="V18" s="1508"/>
      <c r="W18" s="1509"/>
      <c r="X18" s="1502"/>
      <c r="Y18" s="355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55"/>
      <c r="Q21" s="2430" t="str">
        <f>B21</f>
        <v>基础设施水平</v>
      </c>
      <c r="R21" s="1508" t="s">
        <v>8</v>
      </c>
      <c r="S21" s="1509">
        <f>F21</f>
        <v>100</v>
      </c>
      <c r="T21" s="1508" t="s">
        <v>8</v>
      </c>
      <c r="U21" s="1509">
        <f>H21</f>
        <v>100</v>
      </c>
      <c r="V21" s="1508" t="s">
        <v>8</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55"/>
      <c r="Q22" s="2430"/>
      <c r="R22" s="1508"/>
      <c r="S22" s="1509"/>
      <c r="T22" s="1508"/>
      <c r="U22" s="1509"/>
      <c r="V22" s="1508"/>
      <c r="W22" s="1509"/>
      <c r="X22" s="2432"/>
      <c r="Y22" s="3555"/>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55"/>
      <c r="Q23" s="1507" t="str">
        <f>B23</f>
        <v>自然及人文环境</v>
      </c>
      <c r="R23" s="1508" t="s">
        <v>8</v>
      </c>
      <c r="S23" s="1509">
        <f>F23</f>
        <v>100</v>
      </c>
      <c r="T23" s="1508" t="s">
        <v>8</v>
      </c>
      <c r="U23" s="1509">
        <f>H23</f>
        <v>100</v>
      </c>
      <c r="V23" s="1508" t="s">
        <v>8</v>
      </c>
      <c r="W23" s="1509">
        <f>J23</f>
        <v>100</v>
      </c>
      <c r="X23" s="1502"/>
      <c r="Y23" s="355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55"/>
      <c r="Q24" s="1507"/>
      <c r="R24" s="1508"/>
      <c r="S24" s="1509"/>
      <c r="T24" s="1508"/>
      <c r="U24" s="1509"/>
      <c r="V24" s="1508"/>
      <c r="W24" s="1509"/>
      <c r="X24" s="1502"/>
      <c r="Y24" s="355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55"/>
      <c r="Q25" s="1507" t="str">
        <f t="shared" ref="Q25:Q46" si="11">B25</f>
        <v>临街状况</v>
      </c>
      <c r="R25" s="1508" t="s">
        <v>8</v>
      </c>
      <c r="S25" s="1509">
        <f>F25</f>
        <v>100</v>
      </c>
      <c r="T25" s="1508" t="s">
        <v>8</v>
      </c>
      <c r="U25" s="1509">
        <f>H25</f>
        <v>100</v>
      </c>
      <c r="V25" s="1508" t="s">
        <v>8</v>
      </c>
      <c r="W25" s="1509">
        <f>J25</f>
        <v>100</v>
      </c>
      <c r="X25" s="1502"/>
      <c r="Y25" s="355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55"/>
      <c r="Q26" s="1507" t="str">
        <f t="shared" si="11"/>
        <v>平面位置/可视性</v>
      </c>
      <c r="R26" s="1508" t="s">
        <v>8</v>
      </c>
      <c r="S26" s="1509">
        <f>F26</f>
        <v>100</v>
      </c>
      <c r="T26" s="1508" t="s">
        <v>8</v>
      </c>
      <c r="U26" s="1509">
        <f>H26</f>
        <v>100</v>
      </c>
      <c r="V26" s="1508" t="s">
        <v>8</v>
      </c>
      <c r="W26" s="1509">
        <f>J26</f>
        <v>100</v>
      </c>
      <c r="X26" s="1502"/>
      <c r="Y26" s="355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55"/>
      <c r="Q27" s="1134" t="str">
        <f t="shared" si="11"/>
        <v>人流量</v>
      </c>
      <c r="R27" s="1503" t="s">
        <v>8</v>
      </c>
      <c r="S27" s="1504">
        <f>F27</f>
        <v>100</v>
      </c>
      <c r="T27" s="1503" t="s">
        <v>8</v>
      </c>
      <c r="U27" s="1504">
        <f>H27</f>
        <v>100</v>
      </c>
      <c r="V27" s="1503" t="s">
        <v>8</v>
      </c>
      <c r="W27" s="1504">
        <f>J27</f>
        <v>100</v>
      </c>
      <c r="X27" s="1505"/>
      <c r="Y27" s="355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5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5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55"/>
      <c r="Q29" s="1507">
        <f t="shared" si="11"/>
        <v>111</v>
      </c>
      <c r="R29" s="1508" t="s">
        <v>8</v>
      </c>
      <c r="S29" s="1509">
        <f t="shared" si="12"/>
        <v>100</v>
      </c>
      <c r="T29" s="1508" t="s">
        <v>8</v>
      </c>
      <c r="U29" s="1509">
        <f t="shared" si="13"/>
        <v>100</v>
      </c>
      <c r="V29" s="1508" t="s">
        <v>8</v>
      </c>
      <c r="W29" s="1509">
        <f t="shared" si="14"/>
        <v>100</v>
      </c>
      <c r="X29" s="1502"/>
      <c r="Y29" s="355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55"/>
      <c r="Q30" s="1507">
        <f t="shared" si="11"/>
        <v>111</v>
      </c>
      <c r="R30" s="1508" t="s">
        <v>8</v>
      </c>
      <c r="S30" s="1509">
        <f t="shared" si="12"/>
        <v>100</v>
      </c>
      <c r="T30" s="1508" t="s">
        <v>8</v>
      </c>
      <c r="U30" s="1509">
        <f t="shared" si="13"/>
        <v>100</v>
      </c>
      <c r="V30" s="1508" t="s">
        <v>8</v>
      </c>
      <c r="W30" s="1509">
        <f t="shared" si="14"/>
        <v>100</v>
      </c>
      <c r="X30" s="1502"/>
      <c r="Y30" s="355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55"/>
      <c r="Q31" s="1507">
        <f t="shared" si="11"/>
        <v>111</v>
      </c>
      <c r="R31" s="1508" t="s">
        <v>8</v>
      </c>
      <c r="S31" s="1509">
        <f t="shared" si="12"/>
        <v>100</v>
      </c>
      <c r="T31" s="1508" t="s">
        <v>8</v>
      </c>
      <c r="U31" s="1509">
        <f t="shared" si="13"/>
        <v>100</v>
      </c>
      <c r="V31" s="1508" t="s">
        <v>8</v>
      </c>
      <c r="W31" s="1509">
        <f t="shared" si="14"/>
        <v>100</v>
      </c>
      <c r="X31" s="1502"/>
      <c r="Y31" s="3555"/>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56" t="s">
        <v>544</v>
      </c>
      <c r="Q32" s="1507" t="str">
        <f t="shared" si="11"/>
        <v>商业类型</v>
      </c>
      <c r="R32" s="1508" t="s">
        <v>8</v>
      </c>
      <c r="S32" s="1509">
        <f t="shared" si="12"/>
        <v>100</v>
      </c>
      <c r="T32" s="1508" t="s">
        <v>8</v>
      </c>
      <c r="U32" s="1509">
        <f t="shared" si="13"/>
        <v>100</v>
      </c>
      <c r="V32" s="1508" t="s">
        <v>8</v>
      </c>
      <c r="W32" s="1509">
        <f t="shared" si="14"/>
        <v>100</v>
      </c>
      <c r="X32" s="1502"/>
      <c r="Y32" s="355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57"/>
      <c r="Q33" s="1536" t="str">
        <f t="shared" si="11"/>
        <v>项目建筑规模</v>
      </c>
      <c r="R33" s="1512" t="s">
        <v>8</v>
      </c>
      <c r="S33" s="1513" t="e">
        <f t="shared" si="12"/>
        <v>#N/A</v>
      </c>
      <c r="T33" s="1512" t="s">
        <v>8</v>
      </c>
      <c r="U33" s="1513" t="e">
        <f t="shared" si="13"/>
        <v>#N/A</v>
      </c>
      <c r="V33" s="1512" t="s">
        <v>8</v>
      </c>
      <c r="W33" s="1513" t="e">
        <f t="shared" si="14"/>
        <v>#N/A</v>
      </c>
      <c r="X33" s="1514"/>
      <c r="Y33" s="355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57"/>
      <c r="Q34" s="1507" t="str">
        <f t="shared" si="11"/>
        <v>建筑结构</v>
      </c>
      <c r="R34" s="1508" t="s">
        <v>8</v>
      </c>
      <c r="S34" s="1509">
        <f t="shared" si="12"/>
        <v>100</v>
      </c>
      <c r="T34" s="1508" t="s">
        <v>8</v>
      </c>
      <c r="U34" s="1509">
        <f t="shared" si="13"/>
        <v>100</v>
      </c>
      <c r="V34" s="1508" t="s">
        <v>8</v>
      </c>
      <c r="W34" s="1509">
        <f t="shared" si="14"/>
        <v>100</v>
      </c>
      <c r="X34" s="1502"/>
      <c r="Y34" s="355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57"/>
      <c r="Q35" s="1507" t="str">
        <f t="shared" si="11"/>
        <v>公共部分装修</v>
      </c>
      <c r="R35" s="1508" t="s">
        <v>8</v>
      </c>
      <c r="S35" s="1509">
        <f t="shared" si="12"/>
        <v>100</v>
      </c>
      <c r="T35" s="1508" t="s">
        <v>8</v>
      </c>
      <c r="U35" s="1509">
        <f t="shared" si="13"/>
        <v>100</v>
      </c>
      <c r="V35" s="1508" t="s">
        <v>8</v>
      </c>
      <c r="W35" s="1509">
        <f t="shared" si="14"/>
        <v>100</v>
      </c>
      <c r="X35" s="1502"/>
      <c r="Y35" s="355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57"/>
      <c r="Q36" s="1507" t="str">
        <f t="shared" si="11"/>
        <v>成新度</v>
      </c>
      <c r="R36" s="1508" t="s">
        <v>8</v>
      </c>
      <c r="S36" s="1509" t="e">
        <f t="shared" si="12"/>
        <v>#N/A</v>
      </c>
      <c r="T36" s="1508" t="s">
        <v>8</v>
      </c>
      <c r="U36" s="1509" t="e">
        <f t="shared" si="13"/>
        <v>#N/A</v>
      </c>
      <c r="V36" s="1508" t="s">
        <v>8</v>
      </c>
      <c r="W36" s="1509" t="e">
        <f t="shared" si="14"/>
        <v>#N/A</v>
      </c>
      <c r="X36" s="1502"/>
      <c r="Y36" s="3557"/>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57"/>
      <c r="Q37" s="1134" t="str">
        <f t="shared" si="11"/>
        <v>市政基础设施</v>
      </c>
      <c r="R37" s="1503" t="s">
        <v>8</v>
      </c>
      <c r="S37" s="1504">
        <f t="shared" si="12"/>
        <v>100</v>
      </c>
      <c r="T37" s="1503" t="s">
        <v>8</v>
      </c>
      <c r="U37" s="1504">
        <f t="shared" si="13"/>
        <v>100</v>
      </c>
      <c r="V37" s="1503" t="s">
        <v>8</v>
      </c>
      <c r="W37" s="1504">
        <f t="shared" si="14"/>
        <v>100</v>
      </c>
      <c r="X37" s="1505"/>
      <c r="Y37" s="355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57" t="s">
        <v>760</v>
      </c>
      <c r="Q38" s="1507" t="str">
        <f t="shared" si="11"/>
        <v>业态</v>
      </c>
      <c r="R38" s="1508" t="s">
        <v>8</v>
      </c>
      <c r="S38" s="1509">
        <f t="shared" si="12"/>
        <v>100</v>
      </c>
      <c r="T38" s="1508" t="s">
        <v>8</v>
      </c>
      <c r="U38" s="1509">
        <f t="shared" si="13"/>
        <v>100</v>
      </c>
      <c r="V38" s="1508" t="s">
        <v>8</v>
      </c>
      <c r="W38" s="1509">
        <f t="shared" si="14"/>
        <v>100</v>
      </c>
      <c r="X38" s="1502"/>
      <c r="Y38" s="355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57"/>
      <c r="Q39" s="1507" t="str">
        <f t="shared" si="11"/>
        <v>层高</v>
      </c>
      <c r="R39" s="1508" t="s">
        <v>8</v>
      </c>
      <c r="S39" s="1509">
        <f t="shared" si="12"/>
        <v>100</v>
      </c>
      <c r="T39" s="1508" t="s">
        <v>8</v>
      </c>
      <c r="U39" s="1509">
        <f t="shared" si="13"/>
        <v>100</v>
      </c>
      <c r="V39" s="1508" t="s">
        <v>8</v>
      </c>
      <c r="W39" s="1509">
        <f t="shared" si="14"/>
        <v>100</v>
      </c>
      <c r="X39" s="1502"/>
      <c r="Y39" s="355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57"/>
      <c r="Q40" s="1507" t="str">
        <f t="shared" si="11"/>
        <v>单套建筑面积</v>
      </c>
      <c r="R40" s="1508" t="s">
        <v>8</v>
      </c>
      <c r="S40" s="1509">
        <f t="shared" si="12"/>
        <v>100</v>
      </c>
      <c r="T40" s="1508" t="s">
        <v>8</v>
      </c>
      <c r="U40" s="1509">
        <f t="shared" si="13"/>
        <v>100</v>
      </c>
      <c r="V40" s="1508" t="s">
        <v>8</v>
      </c>
      <c r="W40" s="1509">
        <f t="shared" si="14"/>
        <v>100</v>
      </c>
      <c r="X40" s="1502"/>
      <c r="Y40" s="355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57"/>
      <c r="Q41" s="1536" t="str">
        <f t="shared" si="11"/>
        <v>进深比</v>
      </c>
      <c r="R41" s="1512" t="s">
        <v>8</v>
      </c>
      <c r="S41" s="1513">
        <f t="shared" si="12"/>
        <v>100</v>
      </c>
      <c r="T41" s="1512" t="s">
        <v>8</v>
      </c>
      <c r="U41" s="1513">
        <f t="shared" si="13"/>
        <v>100</v>
      </c>
      <c r="V41" s="1512" t="s">
        <v>8</v>
      </c>
      <c r="W41" s="1513">
        <f t="shared" si="14"/>
        <v>100</v>
      </c>
      <c r="X41" s="1514"/>
      <c r="Y41" s="355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57"/>
      <c r="Q42" s="1507" t="str">
        <f t="shared" si="11"/>
        <v>内部装修</v>
      </c>
      <c r="R42" s="1508" t="s">
        <v>8</v>
      </c>
      <c r="S42" s="1509">
        <f t="shared" si="12"/>
        <v>100</v>
      </c>
      <c r="T42" s="1508" t="s">
        <v>8</v>
      </c>
      <c r="U42" s="1509">
        <f t="shared" si="13"/>
        <v>100</v>
      </c>
      <c r="V42" s="1508" t="s">
        <v>8</v>
      </c>
      <c r="W42" s="1509">
        <f t="shared" si="14"/>
        <v>100</v>
      </c>
      <c r="X42" s="1502"/>
      <c r="Y42" s="355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57"/>
      <c r="Q43" s="1507" t="str">
        <f t="shared" si="11"/>
        <v>内部装修维护情况</v>
      </c>
      <c r="R43" s="1508" t="s">
        <v>8</v>
      </c>
      <c r="S43" s="1509">
        <f t="shared" si="12"/>
        <v>100</v>
      </c>
      <c r="T43" s="1508" t="s">
        <v>8</v>
      </c>
      <c r="U43" s="1509">
        <f t="shared" si="13"/>
        <v>100</v>
      </c>
      <c r="V43" s="1508" t="s">
        <v>8</v>
      </c>
      <c r="W43" s="1509">
        <f t="shared" si="14"/>
        <v>100</v>
      </c>
      <c r="X43" s="1502"/>
      <c r="Y43" s="355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57"/>
      <c r="Q44" s="1134">
        <f t="shared" si="11"/>
        <v>111</v>
      </c>
      <c r="R44" s="1503" t="s">
        <v>8</v>
      </c>
      <c r="S44" s="1504">
        <f t="shared" si="12"/>
        <v>100</v>
      </c>
      <c r="T44" s="1503" t="s">
        <v>8</v>
      </c>
      <c r="U44" s="1504">
        <f t="shared" si="13"/>
        <v>100</v>
      </c>
      <c r="V44" s="1503" t="s">
        <v>8</v>
      </c>
      <c r="W44" s="1504">
        <f t="shared" si="14"/>
        <v>100</v>
      </c>
      <c r="X44" s="1505"/>
      <c r="Y44" s="355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57"/>
      <c r="Q45" s="1507">
        <f t="shared" si="11"/>
        <v>111</v>
      </c>
      <c r="R45" s="1508" t="s">
        <v>8</v>
      </c>
      <c r="S45" s="1509">
        <f t="shared" si="12"/>
        <v>100</v>
      </c>
      <c r="T45" s="1508" t="s">
        <v>8</v>
      </c>
      <c r="U45" s="1509">
        <f t="shared" si="13"/>
        <v>100</v>
      </c>
      <c r="V45" s="1508" t="s">
        <v>8</v>
      </c>
      <c r="W45" s="1509">
        <f t="shared" si="14"/>
        <v>100</v>
      </c>
      <c r="X45" s="1502"/>
      <c r="Y45" s="355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8"/>
      <c r="Q46" s="1507">
        <f t="shared" si="11"/>
        <v>111</v>
      </c>
      <c r="R46" s="1508" t="s">
        <v>8</v>
      </c>
      <c r="S46" s="1509">
        <f t="shared" si="12"/>
        <v>100</v>
      </c>
      <c r="T46" s="1508" t="s">
        <v>8</v>
      </c>
      <c r="U46" s="1509">
        <f t="shared" si="13"/>
        <v>100</v>
      </c>
      <c r="V46" s="1508" t="s">
        <v>8</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58" t="str">
        <f>A47</f>
        <v>成交单价（元/平方米）</v>
      </c>
      <c r="Q47" s="3558"/>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558" t="str">
        <f>A48</f>
        <v>比较价格（元/平方米）</v>
      </c>
      <c r="Q48" s="3558"/>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64" t="str">
        <f>A49</f>
        <v>估价对象XX用房的比较价格（楼面单价，元/平方米）</v>
      </c>
      <c r="Q49" s="3565"/>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539" t="s">
        <v>516</v>
      </c>
      <c r="D4" s="3540"/>
      <c r="E4" s="3541" t="s">
        <v>517</v>
      </c>
      <c r="F4" s="3542"/>
      <c r="G4" s="3539" t="s">
        <v>518</v>
      </c>
      <c r="H4" s="3540"/>
      <c r="I4" s="3539" t="s">
        <v>519</v>
      </c>
      <c r="J4" s="3540"/>
      <c r="K4" s="508" t="s">
        <v>520</v>
      </c>
      <c r="L4" s="2016"/>
      <c r="M4" s="2017"/>
      <c r="N4" s="2017"/>
      <c r="O4" s="2017"/>
      <c r="P4" s="3620" t="s">
        <v>521</v>
      </c>
      <c r="Q4" s="3544"/>
      <c r="R4" s="3525" t="s">
        <v>517</v>
      </c>
      <c r="S4" s="3526"/>
      <c r="T4" s="3525" t="s">
        <v>518</v>
      </c>
      <c r="U4" s="3526"/>
      <c r="V4" s="3551" t="s">
        <v>519</v>
      </c>
      <c r="W4" s="3551"/>
      <c r="X4" s="1502"/>
      <c r="Y4" s="3525" t="s">
        <v>521</v>
      </c>
      <c r="Z4" s="3526"/>
      <c r="AA4" s="3536" t="s">
        <v>517</v>
      </c>
      <c r="AB4" s="3536" t="s">
        <v>518</v>
      </c>
      <c r="AC4" s="3536" t="s">
        <v>519</v>
      </c>
    </row>
    <row r="5" spans="1:29" ht="15">
      <c r="A5" s="509"/>
      <c r="B5" s="510"/>
      <c r="C5" s="3529" t="s">
        <v>2897</v>
      </c>
      <c r="D5" s="3530"/>
      <c r="E5" s="3552" t="s">
        <v>2898</v>
      </c>
      <c r="F5" s="3553"/>
      <c r="G5" s="3529" t="s">
        <v>2899</v>
      </c>
      <c r="H5" s="3530"/>
      <c r="I5" s="3529" t="s">
        <v>2900</v>
      </c>
      <c r="J5" s="3530"/>
      <c r="K5" s="508"/>
      <c r="L5" s="2016"/>
      <c r="M5" s="2017"/>
      <c r="N5" s="2017"/>
      <c r="O5" s="2017"/>
      <c r="P5" s="3621"/>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622"/>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33" t="s">
        <v>524</v>
      </c>
      <c r="Q7" s="3533"/>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33" t="s">
        <v>527</v>
      </c>
      <c r="Q8" s="3524"/>
      <c r="R8" s="1503" t="s">
        <v>8</v>
      </c>
      <c r="S8" s="1504">
        <f t="shared" si="0"/>
        <v>0</v>
      </c>
      <c r="T8" s="1503" t="s">
        <v>8</v>
      </c>
      <c r="U8" s="1504">
        <f t="shared" si="1"/>
        <v>0</v>
      </c>
      <c r="V8" s="1503" t="s">
        <v>8</v>
      </c>
      <c r="W8" s="1504">
        <f t="shared" si="2"/>
        <v>0</v>
      </c>
      <c r="X8" s="1505"/>
      <c r="Y8" s="3523" t="s">
        <v>527</v>
      </c>
      <c r="Z8" s="3524"/>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58"/>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54" t="s">
        <v>534</v>
      </c>
      <c r="Q15" s="1507" t="str">
        <f t="shared" si="6"/>
        <v>办公集聚程度</v>
      </c>
      <c r="R15" s="1508" t="s">
        <v>8</v>
      </c>
      <c r="S15" s="1509">
        <f t="shared" si="0"/>
        <v>100</v>
      </c>
      <c r="T15" s="1508" t="s">
        <v>8</v>
      </c>
      <c r="U15" s="1509">
        <f t="shared" si="1"/>
        <v>100</v>
      </c>
      <c r="V15" s="1508" t="s">
        <v>8</v>
      </c>
      <c r="W15" s="1509">
        <f t="shared" si="2"/>
        <v>100</v>
      </c>
      <c r="X15" s="1502"/>
      <c r="Y15" s="355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55"/>
      <c r="Q16" s="1507"/>
      <c r="R16" s="1508"/>
      <c r="S16" s="1509"/>
      <c r="T16" s="1508"/>
      <c r="U16" s="1509"/>
      <c r="V16" s="1508"/>
      <c r="W16" s="1509"/>
      <c r="X16" s="1502"/>
      <c r="Y16" s="355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55"/>
      <c r="Q18" s="1507"/>
      <c r="R18" s="1508"/>
      <c r="S18" s="1509"/>
      <c r="T18" s="1508"/>
      <c r="U18" s="1509"/>
      <c r="V18" s="1508"/>
      <c r="W18" s="1509"/>
      <c r="X18" s="1502"/>
      <c r="Y18" s="3555"/>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55"/>
      <c r="Q20" s="1507"/>
      <c r="R20" s="1508"/>
      <c r="S20" s="1509"/>
      <c r="T20" s="1508"/>
      <c r="U20" s="1509"/>
      <c r="V20" s="1508"/>
      <c r="W20" s="1509"/>
      <c r="X20" s="1502"/>
      <c r="Y20" s="3555"/>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55"/>
      <c r="Q21" s="2430" t="str">
        <f>B21</f>
        <v>基础设施水平</v>
      </c>
      <c r="R21" s="1508" t="s">
        <v>8</v>
      </c>
      <c r="S21" s="1509">
        <f>F21</f>
        <v>100</v>
      </c>
      <c r="T21" s="1508" t="s">
        <v>8</v>
      </c>
      <c r="U21" s="1509">
        <f>H21</f>
        <v>100</v>
      </c>
      <c r="V21" s="1508" t="s">
        <v>8</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55"/>
      <c r="Q22" s="2430"/>
      <c r="R22" s="1508"/>
      <c r="S22" s="1509"/>
      <c r="T22" s="1508"/>
      <c r="U22" s="1509"/>
      <c r="V22" s="1508"/>
      <c r="W22" s="1509"/>
      <c r="X22" s="2432"/>
      <c r="Y22" s="3555"/>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55"/>
      <c r="Q23" s="1507" t="str">
        <f>B23</f>
        <v>环境质量</v>
      </c>
      <c r="R23" s="1508" t="s">
        <v>8</v>
      </c>
      <c r="S23" s="1509">
        <f>F23</f>
        <v>100</v>
      </c>
      <c r="T23" s="1508" t="s">
        <v>8</v>
      </c>
      <c r="U23" s="1509">
        <f>H23</f>
        <v>100</v>
      </c>
      <c r="V23" s="1508" t="s">
        <v>8</v>
      </c>
      <c r="W23" s="1509">
        <f>J23</f>
        <v>100</v>
      </c>
      <c r="X23" s="1502"/>
      <c r="Y23" s="355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55"/>
      <c r="Q24" s="1507"/>
      <c r="R24" s="1508"/>
      <c r="S24" s="1509"/>
      <c r="T24" s="1508"/>
      <c r="U24" s="1509"/>
      <c r="V24" s="1508"/>
      <c r="W24" s="1509"/>
      <c r="X24" s="1502"/>
      <c r="Y24" s="355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55"/>
      <c r="Q25" s="1507" t="str">
        <f>B25</f>
        <v>毗邻道路的类型与等级</v>
      </c>
      <c r="R25" s="1508" t="s">
        <v>8</v>
      </c>
      <c r="S25" s="1509">
        <f>F25</f>
        <v>100</v>
      </c>
      <c r="T25" s="1508" t="s">
        <v>8</v>
      </c>
      <c r="U25" s="1509">
        <f>H25</f>
        <v>100</v>
      </c>
      <c r="V25" s="1508" t="s">
        <v>8</v>
      </c>
      <c r="W25" s="1509">
        <f>J25</f>
        <v>100</v>
      </c>
      <c r="X25" s="1502"/>
      <c r="Y25" s="355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55"/>
      <c r="Q26" s="1507"/>
      <c r="R26" s="1508"/>
      <c r="S26" s="1509"/>
      <c r="T26" s="1508"/>
      <c r="U26" s="1509"/>
      <c r="V26" s="1508"/>
      <c r="W26" s="1509"/>
      <c r="X26" s="1502"/>
      <c r="Y26" s="355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55"/>
      <c r="Q27" s="1507" t="str">
        <f t="shared" ref="Q27:Q47" si="11">B27</f>
        <v>楼层</v>
      </c>
      <c r="R27" s="1508" t="s">
        <v>8</v>
      </c>
      <c r="S27" s="1509">
        <f>F27</f>
        <v>100</v>
      </c>
      <c r="T27" s="1508" t="s">
        <v>8</v>
      </c>
      <c r="U27" s="1509">
        <f>H27</f>
        <v>100</v>
      </c>
      <c r="V27" s="1508" t="s">
        <v>8</v>
      </c>
      <c r="W27" s="1509">
        <f>J27</f>
        <v>100</v>
      </c>
      <c r="X27" s="1502"/>
      <c r="Y27" s="355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55"/>
      <c r="Q28" s="1134" t="str">
        <f t="shared" si="11"/>
        <v>朝向</v>
      </c>
      <c r="R28" s="1503" t="s">
        <v>8</v>
      </c>
      <c r="S28" s="1504">
        <f>F28</f>
        <v>100</v>
      </c>
      <c r="T28" s="1503" t="s">
        <v>8</v>
      </c>
      <c r="U28" s="1504">
        <f>H28</f>
        <v>100</v>
      </c>
      <c r="V28" s="1503" t="s">
        <v>8</v>
      </c>
      <c r="W28" s="1504">
        <f>J28</f>
        <v>100</v>
      </c>
      <c r="X28" s="1505"/>
      <c r="Y28" s="355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55"/>
      <c r="Q29" s="1507">
        <f t="shared" si="11"/>
        <v>111</v>
      </c>
      <c r="R29" s="1508" t="s">
        <v>8</v>
      </c>
      <c r="S29" s="1509">
        <f t="shared" ref="S29:S47" si="12">F29</f>
        <v>100</v>
      </c>
      <c r="T29" s="1508" t="s">
        <v>8</v>
      </c>
      <c r="U29" s="1509">
        <f t="shared" ref="U29:U47" si="13">H29</f>
        <v>100</v>
      </c>
      <c r="V29" s="1508" t="s">
        <v>8</v>
      </c>
      <c r="W29" s="1509">
        <f t="shared" ref="W29:W47" si="14">J29</f>
        <v>100</v>
      </c>
      <c r="X29" s="1502"/>
      <c r="Y29" s="355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55"/>
      <c r="Q30" s="1507">
        <f t="shared" si="11"/>
        <v>111</v>
      </c>
      <c r="R30" s="1508" t="s">
        <v>8</v>
      </c>
      <c r="S30" s="1509">
        <f t="shared" si="12"/>
        <v>100</v>
      </c>
      <c r="T30" s="1508" t="s">
        <v>8</v>
      </c>
      <c r="U30" s="1509">
        <f t="shared" si="13"/>
        <v>100</v>
      </c>
      <c r="V30" s="1508" t="s">
        <v>8</v>
      </c>
      <c r="W30" s="1509">
        <f t="shared" si="14"/>
        <v>100</v>
      </c>
      <c r="X30" s="1502"/>
      <c r="Y30" s="355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55"/>
      <c r="Q31" s="1507">
        <f t="shared" si="11"/>
        <v>111</v>
      </c>
      <c r="R31" s="1508" t="s">
        <v>8</v>
      </c>
      <c r="S31" s="1509">
        <f t="shared" si="12"/>
        <v>100</v>
      </c>
      <c r="T31" s="1508" t="s">
        <v>8</v>
      </c>
      <c r="U31" s="1509">
        <f t="shared" si="13"/>
        <v>100</v>
      </c>
      <c r="V31" s="1508" t="s">
        <v>8</v>
      </c>
      <c r="W31" s="1509">
        <f t="shared" si="14"/>
        <v>100</v>
      </c>
      <c r="X31" s="1502"/>
      <c r="Y31" s="355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55"/>
      <c r="Q32" s="1507">
        <f t="shared" si="11"/>
        <v>111</v>
      </c>
      <c r="R32" s="1508" t="s">
        <v>8</v>
      </c>
      <c r="S32" s="1509">
        <f t="shared" si="12"/>
        <v>100</v>
      </c>
      <c r="T32" s="1508" t="s">
        <v>8</v>
      </c>
      <c r="U32" s="1509">
        <f t="shared" si="13"/>
        <v>100</v>
      </c>
      <c r="V32" s="1508" t="s">
        <v>8</v>
      </c>
      <c r="W32" s="1509">
        <f t="shared" si="14"/>
        <v>100</v>
      </c>
      <c r="X32" s="1502"/>
      <c r="Y32" s="3555"/>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56" t="s">
        <v>544</v>
      </c>
      <c r="Q33" s="1507" t="str">
        <f t="shared" si="11"/>
        <v>建筑类型</v>
      </c>
      <c r="R33" s="1508" t="s">
        <v>8</v>
      </c>
      <c r="S33" s="1509">
        <f t="shared" si="12"/>
        <v>100</v>
      </c>
      <c r="T33" s="1508" t="s">
        <v>8</v>
      </c>
      <c r="U33" s="1509">
        <f t="shared" si="13"/>
        <v>100</v>
      </c>
      <c r="V33" s="1508" t="s">
        <v>8</v>
      </c>
      <c r="W33" s="1509">
        <f t="shared" si="14"/>
        <v>100</v>
      </c>
      <c r="X33" s="1502"/>
      <c r="Y33" s="355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57"/>
      <c r="Q34" s="1536" t="str">
        <f t="shared" si="11"/>
        <v>项目建筑规模</v>
      </c>
      <c r="R34" s="1512" t="s">
        <v>8</v>
      </c>
      <c r="S34" s="1513" t="e">
        <f t="shared" si="12"/>
        <v>#N/A</v>
      </c>
      <c r="T34" s="1512" t="s">
        <v>8</v>
      </c>
      <c r="U34" s="1513" t="e">
        <f t="shared" si="13"/>
        <v>#N/A</v>
      </c>
      <c r="V34" s="1512" t="s">
        <v>8</v>
      </c>
      <c r="W34" s="1513" t="e">
        <f t="shared" si="14"/>
        <v>#N/A</v>
      </c>
      <c r="X34" s="1514"/>
      <c r="Y34" s="355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57"/>
      <c r="Q35" s="1507" t="str">
        <f t="shared" si="11"/>
        <v>建筑结构</v>
      </c>
      <c r="R35" s="1508" t="s">
        <v>8</v>
      </c>
      <c r="S35" s="1509">
        <f t="shared" si="12"/>
        <v>100</v>
      </c>
      <c r="T35" s="1508" t="s">
        <v>8</v>
      </c>
      <c r="U35" s="1509">
        <f t="shared" si="13"/>
        <v>100</v>
      </c>
      <c r="V35" s="1508" t="s">
        <v>8</v>
      </c>
      <c r="W35" s="1509">
        <f t="shared" si="14"/>
        <v>100</v>
      </c>
      <c r="X35" s="1502"/>
      <c r="Y35" s="355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57"/>
      <c r="Q36" s="1507" t="str">
        <f t="shared" si="11"/>
        <v>公共部分装修</v>
      </c>
      <c r="R36" s="1508" t="s">
        <v>8</v>
      </c>
      <c r="S36" s="1509">
        <f t="shared" si="12"/>
        <v>100</v>
      </c>
      <c r="T36" s="1508" t="s">
        <v>8</v>
      </c>
      <c r="U36" s="1509">
        <f t="shared" si="13"/>
        <v>100</v>
      </c>
      <c r="V36" s="1508" t="s">
        <v>8</v>
      </c>
      <c r="W36" s="1509">
        <f t="shared" si="14"/>
        <v>100</v>
      </c>
      <c r="X36" s="1502"/>
      <c r="Y36" s="355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57"/>
      <c r="Q37" s="1507" t="str">
        <f t="shared" si="11"/>
        <v>成新度</v>
      </c>
      <c r="R37" s="1508" t="s">
        <v>8</v>
      </c>
      <c r="S37" s="1509" t="e">
        <f t="shared" si="12"/>
        <v>#N/A</v>
      </c>
      <c r="T37" s="1508" t="s">
        <v>8</v>
      </c>
      <c r="U37" s="1509" t="e">
        <f t="shared" si="13"/>
        <v>#N/A</v>
      </c>
      <c r="V37" s="1508" t="s">
        <v>8</v>
      </c>
      <c r="W37" s="1509" t="e">
        <f t="shared" si="14"/>
        <v>#N/A</v>
      </c>
      <c r="X37" s="1502"/>
      <c r="Y37" s="355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57"/>
      <c r="Q38" s="1134" t="str">
        <f t="shared" si="11"/>
        <v>写字楼等级</v>
      </c>
      <c r="R38" s="1503" t="s">
        <v>8</v>
      </c>
      <c r="S38" s="1504">
        <f t="shared" si="12"/>
        <v>100</v>
      </c>
      <c r="T38" s="1503" t="s">
        <v>8</v>
      </c>
      <c r="U38" s="1504">
        <f t="shared" si="13"/>
        <v>100</v>
      </c>
      <c r="V38" s="1503" t="s">
        <v>8</v>
      </c>
      <c r="W38" s="1504">
        <f t="shared" si="14"/>
        <v>100</v>
      </c>
      <c r="X38" s="1505"/>
      <c r="Y38" s="355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57" t="s">
        <v>544</v>
      </c>
      <c r="Q39" s="1507" t="str">
        <f t="shared" si="11"/>
        <v>物业管理</v>
      </c>
      <c r="R39" s="1508" t="s">
        <v>8</v>
      </c>
      <c r="S39" s="1509">
        <f t="shared" si="12"/>
        <v>100</v>
      </c>
      <c r="T39" s="1508" t="s">
        <v>8</v>
      </c>
      <c r="U39" s="1509">
        <f t="shared" si="13"/>
        <v>100</v>
      </c>
      <c r="V39" s="1508" t="s">
        <v>8</v>
      </c>
      <c r="W39" s="1509">
        <f t="shared" si="14"/>
        <v>100</v>
      </c>
      <c r="X39" s="1502"/>
      <c r="Y39" s="3557"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57"/>
      <c r="Q40" s="1507" t="str">
        <f t="shared" si="11"/>
        <v>市政基础设施</v>
      </c>
      <c r="R40" s="1508" t="s">
        <v>8</v>
      </c>
      <c r="S40" s="1509">
        <f t="shared" si="12"/>
        <v>100</v>
      </c>
      <c r="T40" s="1508" t="s">
        <v>8</v>
      </c>
      <c r="U40" s="1509">
        <f t="shared" si="13"/>
        <v>100</v>
      </c>
      <c r="V40" s="1508" t="s">
        <v>8</v>
      </c>
      <c r="W40" s="1509">
        <f t="shared" si="14"/>
        <v>100</v>
      </c>
      <c r="X40" s="1502"/>
      <c r="Y40" s="355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57"/>
      <c r="Q41" s="1507" t="str">
        <f t="shared" si="11"/>
        <v>层高</v>
      </c>
      <c r="R41" s="1508" t="s">
        <v>8</v>
      </c>
      <c r="S41" s="1509">
        <f t="shared" si="12"/>
        <v>100</v>
      </c>
      <c r="T41" s="1508" t="s">
        <v>8</v>
      </c>
      <c r="U41" s="1509">
        <f t="shared" si="13"/>
        <v>100</v>
      </c>
      <c r="V41" s="1508" t="s">
        <v>8</v>
      </c>
      <c r="W41" s="1509">
        <f t="shared" si="14"/>
        <v>100</v>
      </c>
      <c r="X41" s="1502"/>
      <c r="Y41" s="355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57"/>
      <c r="Q42" s="1536" t="str">
        <f t="shared" si="11"/>
        <v>单套建筑面积</v>
      </c>
      <c r="R42" s="1512" t="s">
        <v>8</v>
      </c>
      <c r="S42" s="1513">
        <f t="shared" si="12"/>
        <v>100</v>
      </c>
      <c r="T42" s="1512" t="s">
        <v>8</v>
      </c>
      <c r="U42" s="1513">
        <f t="shared" si="13"/>
        <v>100</v>
      </c>
      <c r="V42" s="1512" t="s">
        <v>8</v>
      </c>
      <c r="W42" s="1513">
        <f t="shared" si="14"/>
        <v>100</v>
      </c>
      <c r="X42" s="1514"/>
      <c r="Y42" s="355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57"/>
      <c r="Q43" s="1507" t="str">
        <f t="shared" si="11"/>
        <v>内部装修</v>
      </c>
      <c r="R43" s="1508" t="s">
        <v>8</v>
      </c>
      <c r="S43" s="1509">
        <f t="shared" si="12"/>
        <v>100</v>
      </c>
      <c r="T43" s="1508" t="s">
        <v>8</v>
      </c>
      <c r="U43" s="1509">
        <f t="shared" si="13"/>
        <v>100</v>
      </c>
      <c r="V43" s="1508" t="s">
        <v>8</v>
      </c>
      <c r="W43" s="1509">
        <f t="shared" si="14"/>
        <v>100</v>
      </c>
      <c r="X43" s="1502"/>
      <c r="Y43" s="355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57"/>
      <c r="Q44" s="1507" t="str">
        <f t="shared" si="11"/>
        <v>内部装修维护情况</v>
      </c>
      <c r="R44" s="1508" t="s">
        <v>8</v>
      </c>
      <c r="S44" s="1509">
        <f t="shared" si="12"/>
        <v>100</v>
      </c>
      <c r="T44" s="1508" t="s">
        <v>8</v>
      </c>
      <c r="U44" s="1509">
        <f t="shared" si="13"/>
        <v>100</v>
      </c>
      <c r="V44" s="1508" t="s">
        <v>8</v>
      </c>
      <c r="W44" s="1509">
        <f t="shared" si="14"/>
        <v>100</v>
      </c>
      <c r="X44" s="1502"/>
      <c r="Y44" s="355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57"/>
      <c r="Q45" s="1134">
        <f t="shared" si="11"/>
        <v>111</v>
      </c>
      <c r="R45" s="1503" t="s">
        <v>8</v>
      </c>
      <c r="S45" s="1504">
        <f t="shared" si="12"/>
        <v>100</v>
      </c>
      <c r="T45" s="1503" t="s">
        <v>8</v>
      </c>
      <c r="U45" s="1504">
        <f t="shared" si="13"/>
        <v>100</v>
      </c>
      <c r="V45" s="1503" t="s">
        <v>8</v>
      </c>
      <c r="W45" s="1504">
        <f t="shared" si="14"/>
        <v>100</v>
      </c>
      <c r="X45" s="1505"/>
      <c r="Y45" s="355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57"/>
      <c r="Q46" s="1507">
        <f t="shared" si="11"/>
        <v>111</v>
      </c>
      <c r="R46" s="1508" t="s">
        <v>8</v>
      </c>
      <c r="S46" s="1509">
        <f t="shared" si="12"/>
        <v>100</v>
      </c>
      <c r="T46" s="1508" t="s">
        <v>8</v>
      </c>
      <c r="U46" s="1509">
        <f t="shared" si="13"/>
        <v>100</v>
      </c>
      <c r="V46" s="1508" t="s">
        <v>8</v>
      </c>
      <c r="W46" s="1509">
        <f t="shared" si="14"/>
        <v>100</v>
      </c>
      <c r="X46" s="1502"/>
      <c r="Y46" s="355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8"/>
      <c r="Q47" s="1507">
        <f t="shared" si="11"/>
        <v>111</v>
      </c>
      <c r="R47" s="1508" t="s">
        <v>8</v>
      </c>
      <c r="S47" s="1509">
        <f t="shared" si="12"/>
        <v>100</v>
      </c>
      <c r="T47" s="1508" t="s">
        <v>8</v>
      </c>
      <c r="U47" s="1509">
        <f t="shared" si="13"/>
        <v>100</v>
      </c>
      <c r="V47" s="1508" t="s">
        <v>8</v>
      </c>
      <c r="W47" s="1509">
        <f t="shared" si="14"/>
        <v>100</v>
      </c>
      <c r="X47" s="1502"/>
      <c r="Y47" s="361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65" t="str">
        <f>A48</f>
        <v>成交单价（元/平方米）</v>
      </c>
      <c r="Q48" s="3558"/>
      <c r="R48" s="3617">
        <f>E48</f>
        <v>0</v>
      </c>
      <c r="S48" s="3617"/>
      <c r="T48" s="3617">
        <f>G48</f>
        <v>0</v>
      </c>
      <c r="U48" s="3617"/>
      <c r="V48" s="3617">
        <f>I48</f>
        <v>0</v>
      </c>
      <c r="W48" s="3617"/>
      <c r="X48" s="1497"/>
      <c r="Y48" s="1516"/>
      <c r="Z48" s="1497"/>
      <c r="AA48" s="1497"/>
      <c r="AB48" s="1497"/>
      <c r="AC48" s="1497"/>
    </row>
    <row r="49" spans="1:29" ht="15.75" thickBot="1">
      <c r="A49" s="609" t="s">
        <v>2740</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565" t="str">
        <f>A49</f>
        <v>比较价格（元/平方米）</v>
      </c>
      <c r="Q49" s="3558"/>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19" t="str">
        <f>A50</f>
        <v>估价对象XX用房的比较价格（楼面单价，元/平方米）</v>
      </c>
      <c r="Q50" s="3565"/>
      <c r="R50" s="3616" t="e">
        <f>IF(F1="售价",ROUND(IF(D49="简单平均",AVERAGE(R49:V49),R49*F49+T49*H49+V49*J49),0),ROUND(IF(D49="简单平均",AVERAGE(R49:V49),R49*F49+T49*H49+V49*J49),1))</f>
        <v>#DIV/0!</v>
      </c>
      <c r="S50" s="3616"/>
      <c r="T50" s="3616"/>
      <c r="U50" s="3616"/>
      <c r="V50" s="3616"/>
      <c r="W50" s="3616"/>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2020-9</v>
      </c>
      <c r="D59" s="2522">
        <f>EDATE(C59,-1)</f>
        <v>44044</v>
      </c>
      <c r="E59" s="2522">
        <f t="shared" ref="E59:O59" si="16">EDATE(D59,-1)</f>
        <v>44013</v>
      </c>
      <c r="F59" s="2522">
        <f t="shared" si="16"/>
        <v>43983</v>
      </c>
      <c r="G59" s="2522">
        <f t="shared" si="16"/>
        <v>43952</v>
      </c>
      <c r="H59" s="2522">
        <f t="shared" si="16"/>
        <v>43922</v>
      </c>
      <c r="I59" s="2522">
        <f t="shared" si="16"/>
        <v>43891</v>
      </c>
      <c r="J59" s="2522">
        <f t="shared" si="16"/>
        <v>43862</v>
      </c>
      <c r="K59" s="2522">
        <f t="shared" si="16"/>
        <v>43831</v>
      </c>
      <c r="L59" s="2522">
        <f t="shared" si="16"/>
        <v>43800</v>
      </c>
      <c r="M59" s="2522">
        <f t="shared" si="16"/>
        <v>43770</v>
      </c>
      <c r="N59" s="2522">
        <f t="shared" si="16"/>
        <v>43739</v>
      </c>
      <c r="O59" s="2522">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539" t="s">
        <v>516</v>
      </c>
      <c r="D4" s="3540"/>
      <c r="E4" s="3541" t="s">
        <v>517</v>
      </c>
      <c r="F4" s="3542"/>
      <c r="G4" s="3539" t="s">
        <v>518</v>
      </c>
      <c r="H4" s="3540"/>
      <c r="I4" s="3539" t="s">
        <v>519</v>
      </c>
      <c r="J4" s="3540"/>
      <c r="K4" s="508" t="s">
        <v>520</v>
      </c>
      <c r="L4" s="2016"/>
      <c r="M4" s="2017"/>
      <c r="N4" s="2017"/>
      <c r="O4" s="2017"/>
      <c r="P4" s="3543" t="s">
        <v>521</v>
      </c>
      <c r="Q4" s="3544"/>
      <c r="R4" s="3525" t="s">
        <v>517</v>
      </c>
      <c r="S4" s="3526"/>
      <c r="T4" s="3525" t="s">
        <v>518</v>
      </c>
      <c r="U4" s="3526"/>
      <c r="V4" s="3551" t="s">
        <v>519</v>
      </c>
      <c r="W4" s="3551"/>
      <c r="X4" s="1502"/>
      <c r="Y4" s="3525" t="s">
        <v>521</v>
      </c>
      <c r="Z4" s="3526"/>
      <c r="AA4" s="3536" t="s">
        <v>517</v>
      </c>
      <c r="AB4" s="3537" t="s">
        <v>518</v>
      </c>
      <c r="AC4" s="3536" t="s">
        <v>519</v>
      </c>
    </row>
    <row r="5" spans="1:29" ht="15">
      <c r="A5" s="509"/>
      <c r="B5" s="510"/>
      <c r="C5" s="3529" t="s">
        <v>2897</v>
      </c>
      <c r="D5" s="3530"/>
      <c r="E5" s="3552" t="s">
        <v>2898</v>
      </c>
      <c r="F5" s="3553"/>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23" t="s">
        <v>524</v>
      </c>
      <c r="Q7" s="3533"/>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58"/>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54" t="s">
        <v>534</v>
      </c>
      <c r="Q15" s="1507" t="str">
        <f t="shared" si="6"/>
        <v>产业集聚程度</v>
      </c>
      <c r="R15" s="1508" t="s">
        <v>8</v>
      </c>
      <c r="S15" s="1509">
        <f t="shared" si="0"/>
        <v>100</v>
      </c>
      <c r="T15" s="1508" t="s">
        <v>8</v>
      </c>
      <c r="U15" s="1509">
        <f t="shared" si="1"/>
        <v>100</v>
      </c>
      <c r="V15" s="1508" t="s">
        <v>8</v>
      </c>
      <c r="W15" s="1509">
        <f t="shared" si="2"/>
        <v>100</v>
      </c>
      <c r="X15" s="1502"/>
      <c r="Y15" s="355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55"/>
      <c r="Q16" s="1507"/>
      <c r="R16" s="1508"/>
      <c r="S16" s="1509"/>
      <c r="T16" s="1508"/>
      <c r="U16" s="1509"/>
      <c r="V16" s="1508"/>
      <c r="W16" s="1509"/>
      <c r="X16" s="1502"/>
      <c r="Y16" s="355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55"/>
      <c r="Q18" s="1507"/>
      <c r="R18" s="1508"/>
      <c r="S18" s="1509"/>
      <c r="T18" s="1508"/>
      <c r="U18" s="1509"/>
      <c r="V18" s="1508"/>
      <c r="W18" s="1509"/>
      <c r="X18" s="1502"/>
      <c r="Y18" s="3555"/>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55"/>
      <c r="Q21" s="2430" t="str">
        <f>B21</f>
        <v>基础设施水平</v>
      </c>
      <c r="R21" s="1508" t="s">
        <v>8</v>
      </c>
      <c r="S21" s="1509">
        <f>F21</f>
        <v>100</v>
      </c>
      <c r="T21" s="1508" t="s">
        <v>8</v>
      </c>
      <c r="U21" s="1509">
        <f>H21</f>
        <v>100</v>
      </c>
      <c r="V21" s="1508" t="s">
        <v>8</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55"/>
      <c r="Q22" s="2430"/>
      <c r="R22" s="1508"/>
      <c r="S22" s="1509"/>
      <c r="T22" s="1508"/>
      <c r="U22" s="1509"/>
      <c r="V22" s="1508"/>
      <c r="W22" s="1509"/>
      <c r="X22" s="2432"/>
      <c r="Y22" s="3555"/>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55"/>
      <c r="Q23" s="1507" t="str">
        <f>B23</f>
        <v>环境质量</v>
      </c>
      <c r="R23" s="1508" t="s">
        <v>8</v>
      </c>
      <c r="S23" s="1509">
        <f>F23</f>
        <v>100</v>
      </c>
      <c r="T23" s="1508" t="s">
        <v>8</v>
      </c>
      <c r="U23" s="1509">
        <f>H23</f>
        <v>100</v>
      </c>
      <c r="V23" s="1508" t="s">
        <v>8</v>
      </c>
      <c r="W23" s="1509">
        <f>J23</f>
        <v>100</v>
      </c>
      <c r="X23" s="1502"/>
      <c r="Y23" s="355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55"/>
      <c r="Q24" s="1507"/>
      <c r="R24" s="1508"/>
      <c r="S24" s="1509"/>
      <c r="T24" s="1508"/>
      <c r="U24" s="1509"/>
      <c r="V24" s="1508"/>
      <c r="W24" s="1509"/>
      <c r="X24" s="1502"/>
      <c r="Y24" s="355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55"/>
      <c r="Q25" s="1507">
        <f>B25</f>
        <v>111</v>
      </c>
      <c r="R25" s="1508" t="s">
        <v>8</v>
      </c>
      <c r="S25" s="1509">
        <f>F25</f>
        <v>100</v>
      </c>
      <c r="T25" s="1508" t="s">
        <v>8</v>
      </c>
      <c r="U25" s="1509">
        <f>H25</f>
        <v>100</v>
      </c>
      <c r="V25" s="1508" t="s">
        <v>8</v>
      </c>
      <c r="W25" s="1509">
        <f>J25</f>
        <v>100</v>
      </c>
      <c r="X25" s="1502"/>
      <c r="Y25" s="355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55"/>
      <c r="Q26" s="1507">
        <f t="shared" ref="Q26:Q40" si="11">B26</f>
        <v>111</v>
      </c>
      <c r="R26" s="1508" t="s">
        <v>8</v>
      </c>
      <c r="S26" s="1509">
        <f>F26</f>
        <v>100</v>
      </c>
      <c r="T26" s="1508" t="s">
        <v>8</v>
      </c>
      <c r="U26" s="1509">
        <f>H26</f>
        <v>100</v>
      </c>
      <c r="V26" s="1508" t="s">
        <v>8</v>
      </c>
      <c r="W26" s="1509">
        <f>J26</f>
        <v>100</v>
      </c>
      <c r="X26" s="1502"/>
      <c r="Y26" s="355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55"/>
      <c r="Q27" s="1134">
        <f t="shared" si="11"/>
        <v>111</v>
      </c>
      <c r="R27" s="1503" t="s">
        <v>8</v>
      </c>
      <c r="S27" s="1504">
        <f>F27</f>
        <v>100</v>
      </c>
      <c r="T27" s="1503" t="s">
        <v>8</v>
      </c>
      <c r="U27" s="1504">
        <f>H27</f>
        <v>100</v>
      </c>
      <c r="V27" s="1503" t="s">
        <v>8</v>
      </c>
      <c r="W27" s="1504">
        <f>J27</f>
        <v>100</v>
      </c>
      <c r="X27" s="1505"/>
      <c r="Y27" s="355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55"/>
      <c r="Q28" s="1507">
        <f t="shared" si="11"/>
        <v>111</v>
      </c>
      <c r="R28" s="1508" t="s">
        <v>8</v>
      </c>
      <c r="S28" s="1509">
        <f t="shared" ref="S28:S40" si="12">F28</f>
        <v>100</v>
      </c>
      <c r="T28" s="1508" t="s">
        <v>8</v>
      </c>
      <c r="U28" s="1509">
        <f t="shared" ref="U28:U40" si="13">H28</f>
        <v>100</v>
      </c>
      <c r="V28" s="1508" t="s">
        <v>8</v>
      </c>
      <c r="W28" s="1509">
        <f t="shared" ref="W28:W40" si="14">J28</f>
        <v>100</v>
      </c>
      <c r="X28" s="1502"/>
      <c r="Y28" s="3555"/>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56" t="s">
        <v>544</v>
      </c>
      <c r="Q29" s="1507" t="str">
        <f t="shared" si="11"/>
        <v>建筑类型</v>
      </c>
      <c r="R29" s="1508" t="s">
        <v>8</v>
      </c>
      <c r="S29" s="1509">
        <f t="shared" si="12"/>
        <v>100</v>
      </c>
      <c r="T29" s="1508" t="s">
        <v>8</v>
      </c>
      <c r="U29" s="1509">
        <f t="shared" si="13"/>
        <v>100</v>
      </c>
      <c r="V29" s="1508" t="s">
        <v>8</v>
      </c>
      <c r="W29" s="1509">
        <f t="shared" si="14"/>
        <v>100</v>
      </c>
      <c r="X29" s="1502"/>
      <c r="Y29" s="355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57"/>
      <c r="Q30" s="1536" t="str">
        <f t="shared" si="11"/>
        <v>项目建筑规模</v>
      </c>
      <c r="R30" s="1512" t="s">
        <v>8</v>
      </c>
      <c r="S30" s="1513" t="e">
        <f t="shared" si="12"/>
        <v>#N/A</v>
      </c>
      <c r="T30" s="1512" t="s">
        <v>8</v>
      </c>
      <c r="U30" s="1513" t="e">
        <f t="shared" si="13"/>
        <v>#N/A</v>
      </c>
      <c r="V30" s="1512" t="s">
        <v>8</v>
      </c>
      <c r="W30" s="1513" t="e">
        <f t="shared" si="14"/>
        <v>#N/A</v>
      </c>
      <c r="X30" s="1514"/>
      <c r="Y30" s="355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57"/>
      <c r="Q31" s="1507" t="str">
        <f t="shared" si="11"/>
        <v>建筑结构</v>
      </c>
      <c r="R31" s="1508" t="s">
        <v>8</v>
      </c>
      <c r="S31" s="1509">
        <f t="shared" si="12"/>
        <v>100</v>
      </c>
      <c r="T31" s="1508" t="s">
        <v>8</v>
      </c>
      <c r="U31" s="1509">
        <f t="shared" si="13"/>
        <v>100</v>
      </c>
      <c r="V31" s="1508" t="s">
        <v>8</v>
      </c>
      <c r="W31" s="1509">
        <f t="shared" si="14"/>
        <v>100</v>
      </c>
      <c r="X31" s="1502"/>
      <c r="Y31" s="355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57"/>
      <c r="Q32" s="1507" t="str">
        <f t="shared" si="11"/>
        <v>公共部分装修</v>
      </c>
      <c r="R32" s="1508" t="s">
        <v>8</v>
      </c>
      <c r="S32" s="1509">
        <f t="shared" si="12"/>
        <v>100</v>
      </c>
      <c r="T32" s="1508" t="s">
        <v>8</v>
      </c>
      <c r="U32" s="1509">
        <f t="shared" si="13"/>
        <v>100</v>
      </c>
      <c r="V32" s="1508" t="s">
        <v>8</v>
      </c>
      <c r="W32" s="1509">
        <f t="shared" si="14"/>
        <v>100</v>
      </c>
      <c r="X32" s="1502"/>
      <c r="Y32" s="355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57"/>
      <c r="Q33" s="1507" t="str">
        <f t="shared" si="11"/>
        <v>成新度</v>
      </c>
      <c r="R33" s="1508" t="s">
        <v>8</v>
      </c>
      <c r="S33" s="1509" t="e">
        <f t="shared" si="12"/>
        <v>#N/A</v>
      </c>
      <c r="T33" s="1508" t="s">
        <v>8</v>
      </c>
      <c r="U33" s="1509" t="e">
        <f t="shared" si="13"/>
        <v>#N/A</v>
      </c>
      <c r="V33" s="1508" t="s">
        <v>8</v>
      </c>
      <c r="W33" s="1509" t="e">
        <f t="shared" si="14"/>
        <v>#N/A</v>
      </c>
      <c r="X33" s="1502"/>
      <c r="Y33" s="355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57"/>
      <c r="Q34" s="1134" t="str">
        <f t="shared" si="11"/>
        <v>物业管理</v>
      </c>
      <c r="R34" s="1503" t="s">
        <v>8</v>
      </c>
      <c r="S34" s="1504">
        <f t="shared" si="12"/>
        <v>100</v>
      </c>
      <c r="T34" s="1503" t="s">
        <v>8</v>
      </c>
      <c r="U34" s="1504">
        <f t="shared" si="13"/>
        <v>100</v>
      </c>
      <c r="V34" s="1503" t="s">
        <v>8</v>
      </c>
      <c r="W34" s="1504">
        <f t="shared" si="14"/>
        <v>100</v>
      </c>
      <c r="X34" s="1505"/>
      <c r="Y34" s="3557"/>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57" t="s">
        <v>544</v>
      </c>
      <c r="Q35" s="1507" t="str">
        <f t="shared" si="11"/>
        <v>市政基础设施</v>
      </c>
      <c r="R35" s="1508" t="s">
        <v>8</v>
      </c>
      <c r="S35" s="1509">
        <f t="shared" si="12"/>
        <v>100</v>
      </c>
      <c r="T35" s="1508" t="s">
        <v>8</v>
      </c>
      <c r="U35" s="1509">
        <f t="shared" si="13"/>
        <v>100</v>
      </c>
      <c r="V35" s="1508" t="s">
        <v>8</v>
      </c>
      <c r="W35" s="1509">
        <f t="shared" si="14"/>
        <v>100</v>
      </c>
      <c r="X35" s="1502"/>
      <c r="Y35" s="355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57"/>
      <c r="Q36" s="1507" t="str">
        <f t="shared" si="11"/>
        <v>内部装修</v>
      </c>
      <c r="R36" s="1508" t="s">
        <v>8</v>
      </c>
      <c r="S36" s="1509">
        <f t="shared" si="12"/>
        <v>100</v>
      </c>
      <c r="T36" s="1508" t="s">
        <v>8</v>
      </c>
      <c r="U36" s="1509">
        <f t="shared" si="13"/>
        <v>100</v>
      </c>
      <c r="V36" s="1508" t="s">
        <v>8</v>
      </c>
      <c r="W36" s="1509">
        <f t="shared" si="14"/>
        <v>100</v>
      </c>
      <c r="X36" s="1502"/>
      <c r="Y36" s="355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57"/>
      <c r="Q37" s="1507" t="str">
        <f t="shared" si="11"/>
        <v>内部装修状况</v>
      </c>
      <c r="R37" s="1508" t="s">
        <v>8</v>
      </c>
      <c r="S37" s="1509">
        <f t="shared" si="12"/>
        <v>100</v>
      </c>
      <c r="T37" s="1508" t="s">
        <v>8</v>
      </c>
      <c r="U37" s="1509">
        <f t="shared" si="13"/>
        <v>100</v>
      </c>
      <c r="V37" s="1508" t="s">
        <v>8</v>
      </c>
      <c r="W37" s="1509">
        <f t="shared" si="14"/>
        <v>100</v>
      </c>
      <c r="X37" s="1502"/>
      <c r="Y37" s="355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57"/>
      <c r="Q38" s="1536">
        <f t="shared" si="11"/>
        <v>111</v>
      </c>
      <c r="R38" s="1512" t="s">
        <v>8</v>
      </c>
      <c r="S38" s="1513">
        <f t="shared" si="12"/>
        <v>100</v>
      </c>
      <c r="T38" s="1512" t="s">
        <v>8</v>
      </c>
      <c r="U38" s="1513">
        <f t="shared" si="13"/>
        <v>100</v>
      </c>
      <c r="V38" s="1512" t="s">
        <v>8</v>
      </c>
      <c r="W38" s="1513">
        <f t="shared" si="14"/>
        <v>100</v>
      </c>
      <c r="X38" s="1514"/>
      <c r="Y38" s="355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57"/>
      <c r="Q39" s="1507">
        <f t="shared" si="11"/>
        <v>111</v>
      </c>
      <c r="R39" s="1508" t="s">
        <v>8</v>
      </c>
      <c r="S39" s="1509">
        <f t="shared" si="12"/>
        <v>100</v>
      </c>
      <c r="T39" s="1508" t="s">
        <v>8</v>
      </c>
      <c r="U39" s="1509">
        <f t="shared" si="13"/>
        <v>100</v>
      </c>
      <c r="V39" s="1508" t="s">
        <v>8</v>
      </c>
      <c r="W39" s="1509">
        <f t="shared" si="14"/>
        <v>100</v>
      </c>
      <c r="X39" s="1502"/>
      <c r="Y39" s="355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8"/>
      <c r="Q40" s="1507">
        <f t="shared" si="11"/>
        <v>111</v>
      </c>
      <c r="R40" s="1508" t="s">
        <v>8</v>
      </c>
      <c r="S40" s="1509">
        <f t="shared" si="12"/>
        <v>100</v>
      </c>
      <c r="T40" s="1508" t="s">
        <v>8</v>
      </c>
      <c r="U40" s="1509">
        <f t="shared" si="13"/>
        <v>100</v>
      </c>
      <c r="V40" s="1508" t="s">
        <v>8</v>
      </c>
      <c r="W40" s="1509">
        <f t="shared" si="14"/>
        <v>100</v>
      </c>
      <c r="X40" s="1502"/>
      <c r="Y40" s="361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58" t="str">
        <f>A41</f>
        <v>成交单价（元/平方米）</v>
      </c>
      <c r="Q41" s="3558"/>
      <c r="R41" s="3617">
        <f>E41</f>
        <v>0</v>
      </c>
      <c r="S41" s="3617"/>
      <c r="T41" s="3617">
        <f>G41</f>
        <v>0</v>
      </c>
      <c r="U41" s="3617"/>
      <c r="V41" s="3617">
        <f>I41</f>
        <v>0</v>
      </c>
      <c r="W41" s="3617"/>
      <c r="X41" s="1497"/>
      <c r="Y41" s="1516"/>
      <c r="Z41" s="1497"/>
      <c r="AA41" s="1497"/>
      <c r="AB41" s="1497"/>
      <c r="AC41" s="1497"/>
    </row>
    <row r="42" spans="1:29" ht="15.75" thickBot="1">
      <c r="A42" s="609" t="s">
        <v>2740</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558" t="str">
        <f>A42</f>
        <v>比较价格（元/平方米）</v>
      </c>
      <c r="Q42" s="3558"/>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64" t="str">
        <f>A43</f>
        <v>估价对象XX用房的比较价格（楼面单价，元/平方米）</v>
      </c>
      <c r="Q43" s="3565"/>
      <c r="R43" s="3616" t="e">
        <f>IF(F1="售价",ROUND(IF(D42="简单平均",AVERAGE(R42:V42),R42*F42+T42*H42+V42*J42),0),ROUND(IF(D42="简单平均",AVERAGE(R42:V42),R42*F42+T42*H42+V42*J42),1))</f>
        <v>#DIV/0!</v>
      </c>
      <c r="S43" s="3616"/>
      <c r="T43" s="3616"/>
      <c r="U43" s="3616"/>
      <c r="V43" s="3616"/>
      <c r="W43" s="3616"/>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2020-9</v>
      </c>
      <c r="D52" s="2522">
        <f>EDATE(C52,-1)</f>
        <v>44044</v>
      </c>
      <c r="E52" s="2522">
        <f t="shared" ref="E52:O52" si="16">EDATE(D52,-1)</f>
        <v>44013</v>
      </c>
      <c r="F52" s="2522">
        <f t="shared" si="16"/>
        <v>43983</v>
      </c>
      <c r="G52" s="2522">
        <f t="shared" si="16"/>
        <v>43952</v>
      </c>
      <c r="H52" s="2522">
        <f t="shared" si="16"/>
        <v>43922</v>
      </c>
      <c r="I52" s="2522">
        <f t="shared" si="16"/>
        <v>43891</v>
      </c>
      <c r="J52" s="2522">
        <f t="shared" si="16"/>
        <v>43862</v>
      </c>
      <c r="K52" s="2522">
        <f t="shared" si="16"/>
        <v>43831</v>
      </c>
      <c r="L52" s="2522">
        <f t="shared" si="16"/>
        <v>43800</v>
      </c>
      <c r="M52" s="2522">
        <f t="shared" si="16"/>
        <v>43770</v>
      </c>
      <c r="N52" s="2522">
        <f t="shared" si="16"/>
        <v>43739</v>
      </c>
      <c r="O52" s="2522">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39" t="s">
        <v>792</v>
      </c>
      <c r="D4" s="3540"/>
      <c r="E4" s="3539" t="s">
        <v>793</v>
      </c>
      <c r="F4" s="3540"/>
      <c r="G4" s="3539" t="s">
        <v>794</v>
      </c>
      <c r="H4" s="3540"/>
      <c r="I4" s="3539" t="s">
        <v>795</v>
      </c>
      <c r="J4" s="3540"/>
      <c r="K4" s="508" t="s">
        <v>796</v>
      </c>
      <c r="L4" s="2016"/>
      <c r="M4" s="2017"/>
      <c r="N4" s="2017"/>
      <c r="O4" s="2017"/>
      <c r="P4" s="3543" t="s">
        <v>797</v>
      </c>
      <c r="Q4" s="3544"/>
      <c r="R4" s="3525" t="s">
        <v>793</v>
      </c>
      <c r="S4" s="3526"/>
      <c r="T4" s="3525" t="s">
        <v>794</v>
      </c>
      <c r="U4" s="3526"/>
      <c r="V4" s="3551" t="s">
        <v>795</v>
      </c>
      <c r="W4" s="3551"/>
      <c r="X4" s="1502"/>
      <c r="Y4" s="3525" t="s">
        <v>797</v>
      </c>
      <c r="Z4" s="3526"/>
      <c r="AA4" s="3536" t="s">
        <v>793</v>
      </c>
      <c r="AB4" s="3537" t="s">
        <v>794</v>
      </c>
      <c r="AC4" s="3536" t="s">
        <v>795</v>
      </c>
    </row>
    <row r="5" spans="1:29" ht="15">
      <c r="A5" s="509"/>
      <c r="B5" s="510"/>
      <c r="C5" s="3529" t="s">
        <v>2897</v>
      </c>
      <c r="D5" s="3530"/>
      <c r="E5" s="3529" t="s">
        <v>2898</v>
      </c>
      <c r="F5" s="3530"/>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69" t="s">
        <v>2901</v>
      </c>
      <c r="F6" s="3570"/>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23" t="s">
        <v>524</v>
      </c>
      <c r="Q7" s="3533"/>
      <c r="R7" s="1503" t="s">
        <v>8</v>
      </c>
      <c r="S7" s="1504">
        <f t="shared" ref="S7:S14" si="0">F7</f>
        <v>0</v>
      </c>
      <c r="T7" s="1503" t="s">
        <v>8</v>
      </c>
      <c r="U7" s="1504">
        <f t="shared" ref="U7:U14" si="1">H7</f>
        <v>0</v>
      </c>
      <c r="V7" s="1503" t="s">
        <v>8</v>
      </c>
      <c r="W7" s="1504">
        <f t="shared" ref="W7:W14"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58"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58"/>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54" t="s">
        <v>534</v>
      </c>
      <c r="Q14" s="1507" t="str">
        <f t="shared" si="6"/>
        <v>交通便捷度</v>
      </c>
      <c r="R14" s="1508" t="s">
        <v>8</v>
      </c>
      <c r="S14" s="1509">
        <f t="shared" si="0"/>
        <v>100</v>
      </c>
      <c r="T14" s="1508" t="s">
        <v>8</v>
      </c>
      <c r="U14" s="1509">
        <f t="shared" si="1"/>
        <v>100</v>
      </c>
      <c r="V14" s="1508" t="s">
        <v>8</v>
      </c>
      <c r="W14" s="1509">
        <f t="shared" si="2"/>
        <v>100</v>
      </c>
      <c r="X14" s="1502"/>
      <c r="Y14" s="355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55"/>
      <c r="Q15" s="1507"/>
      <c r="R15" s="1508"/>
      <c r="S15" s="1509"/>
      <c r="T15" s="1508"/>
      <c r="U15" s="1509"/>
      <c r="V15" s="1508"/>
      <c r="W15" s="1509"/>
      <c r="X15" s="1502"/>
      <c r="Y15" s="3555"/>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55"/>
      <c r="Q16" s="1507" t="str">
        <f>B16</f>
        <v>公共配套设施</v>
      </c>
      <c r="R16" s="1508" t="s">
        <v>8</v>
      </c>
      <c r="S16" s="1509">
        <f>F16</f>
        <v>100</v>
      </c>
      <c r="T16" s="1508" t="s">
        <v>8</v>
      </c>
      <c r="U16" s="1509">
        <f>H16</f>
        <v>100</v>
      </c>
      <c r="V16" s="1508" t="s">
        <v>8</v>
      </c>
      <c r="W16" s="1509">
        <f>J16</f>
        <v>100</v>
      </c>
      <c r="X16" s="1502"/>
      <c r="Y16" s="355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55"/>
      <c r="Q17" s="1507"/>
      <c r="R17" s="1508"/>
      <c r="S17" s="1509"/>
      <c r="T17" s="1508"/>
      <c r="U17" s="1509"/>
      <c r="V17" s="1508"/>
      <c r="W17" s="1509"/>
      <c r="X17" s="1502"/>
      <c r="Y17" s="3555"/>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55"/>
      <c r="Q18" s="2430" t="str">
        <f>B18</f>
        <v>基础设施水平</v>
      </c>
      <c r="R18" s="1508" t="s">
        <v>8</v>
      </c>
      <c r="S18" s="1509">
        <f>F18</f>
        <v>100</v>
      </c>
      <c r="T18" s="1508" t="s">
        <v>8</v>
      </c>
      <c r="U18" s="1509">
        <f>H18</f>
        <v>100</v>
      </c>
      <c r="V18" s="1508" t="s">
        <v>8</v>
      </c>
      <c r="W18" s="1509">
        <f>J18</f>
        <v>100</v>
      </c>
      <c r="X18" s="2432"/>
      <c r="Y18" s="3555"/>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55"/>
      <c r="Q19" s="2430"/>
      <c r="R19" s="1508"/>
      <c r="S19" s="1509"/>
      <c r="T19" s="1508"/>
      <c r="U19" s="1509"/>
      <c r="V19" s="1508"/>
      <c r="W19" s="1509"/>
      <c r="X19" s="2432"/>
      <c r="Y19" s="3555"/>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55"/>
      <c r="Q20" s="1507" t="str">
        <f>B20</f>
        <v>自然及人文环境</v>
      </c>
      <c r="R20" s="1508" t="s">
        <v>8</v>
      </c>
      <c r="S20" s="1509">
        <f>F20</f>
        <v>100</v>
      </c>
      <c r="T20" s="1508" t="s">
        <v>8</v>
      </c>
      <c r="U20" s="1509">
        <f>H20</f>
        <v>100</v>
      </c>
      <c r="V20" s="1508" t="s">
        <v>8</v>
      </c>
      <c r="W20" s="1509">
        <f>J20</f>
        <v>100</v>
      </c>
      <c r="X20" s="1502"/>
      <c r="Y20" s="355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55"/>
      <c r="Q21" s="1507"/>
      <c r="R21" s="1508"/>
      <c r="S21" s="1509"/>
      <c r="T21" s="1508"/>
      <c r="U21" s="1509"/>
      <c r="V21" s="1508"/>
      <c r="W21" s="1509"/>
      <c r="X21" s="1502"/>
      <c r="Y21" s="355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55"/>
      <c r="Q22" s="1507" t="str">
        <f>B22</f>
        <v>楼层</v>
      </c>
      <c r="R22" s="1508" t="s">
        <v>8</v>
      </c>
      <c r="S22" s="1509">
        <f>F22</f>
        <v>100</v>
      </c>
      <c r="T22" s="1508" t="s">
        <v>8</v>
      </c>
      <c r="U22" s="1509">
        <f>H22</f>
        <v>100</v>
      </c>
      <c r="V22" s="1508" t="s">
        <v>8</v>
      </c>
      <c r="W22" s="1509">
        <f>J22</f>
        <v>100</v>
      </c>
      <c r="X22" s="1502"/>
      <c r="Y22" s="355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55"/>
      <c r="Q23" s="1507">
        <f>B23</f>
        <v>111</v>
      </c>
      <c r="R23" s="1508" t="s">
        <v>8</v>
      </c>
      <c r="S23" s="1509">
        <f>F23</f>
        <v>100</v>
      </c>
      <c r="T23" s="1508" t="s">
        <v>8</v>
      </c>
      <c r="U23" s="1509">
        <f>H23</f>
        <v>100</v>
      </c>
      <c r="V23" s="1508" t="s">
        <v>8</v>
      </c>
      <c r="W23" s="1509">
        <f>J23</f>
        <v>100</v>
      </c>
      <c r="X23" s="1502"/>
      <c r="Y23" s="355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55"/>
      <c r="Q24" s="1507">
        <f t="shared" ref="Q24:Q36" si="11">B24</f>
        <v>111</v>
      </c>
      <c r="R24" s="1508" t="s">
        <v>8</v>
      </c>
      <c r="S24" s="1509">
        <f>F24</f>
        <v>100</v>
      </c>
      <c r="T24" s="1508" t="s">
        <v>8</v>
      </c>
      <c r="U24" s="1509">
        <f>H24</f>
        <v>100</v>
      </c>
      <c r="V24" s="1508" t="s">
        <v>8</v>
      </c>
      <c r="W24" s="1509">
        <f>J24</f>
        <v>100</v>
      </c>
      <c r="X24" s="1502"/>
      <c r="Y24" s="355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55"/>
      <c r="Q25" s="1134">
        <f t="shared" si="11"/>
        <v>111</v>
      </c>
      <c r="R25" s="1503" t="s">
        <v>8</v>
      </c>
      <c r="S25" s="1504">
        <f>F25</f>
        <v>100</v>
      </c>
      <c r="T25" s="1503" t="s">
        <v>8</v>
      </c>
      <c r="U25" s="1504">
        <f>H25</f>
        <v>100</v>
      </c>
      <c r="V25" s="1503" t="s">
        <v>8</v>
      </c>
      <c r="W25" s="1504">
        <f>J25</f>
        <v>100</v>
      </c>
      <c r="X25" s="1505"/>
      <c r="Y25" s="3555"/>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5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5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57"/>
      <c r="Q27" s="1536" t="str">
        <f t="shared" si="11"/>
        <v>项目停车位配比</v>
      </c>
      <c r="R27" s="1512" t="s">
        <v>8</v>
      </c>
      <c r="S27" s="1513">
        <f t="shared" si="12"/>
        <v>100</v>
      </c>
      <c r="T27" s="1512" t="s">
        <v>8</v>
      </c>
      <c r="U27" s="1513">
        <f t="shared" si="13"/>
        <v>100</v>
      </c>
      <c r="V27" s="1512" t="s">
        <v>8</v>
      </c>
      <c r="W27" s="1513">
        <f t="shared" si="14"/>
        <v>100</v>
      </c>
      <c r="X27" s="1514"/>
      <c r="Y27" s="355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57"/>
      <c r="Q28" s="1507" t="str">
        <f t="shared" si="11"/>
        <v>公共部分装修</v>
      </c>
      <c r="R28" s="1508" t="s">
        <v>8</v>
      </c>
      <c r="S28" s="1509">
        <f t="shared" si="12"/>
        <v>100</v>
      </c>
      <c r="T28" s="1508" t="s">
        <v>8</v>
      </c>
      <c r="U28" s="1509">
        <f t="shared" si="13"/>
        <v>100</v>
      </c>
      <c r="V28" s="1508" t="s">
        <v>8</v>
      </c>
      <c r="W28" s="1509">
        <f t="shared" si="14"/>
        <v>100</v>
      </c>
      <c r="X28" s="1502"/>
      <c r="Y28" s="355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57"/>
      <c r="Q29" s="1507" t="str">
        <f t="shared" si="11"/>
        <v>成新率</v>
      </c>
      <c r="R29" s="1508" t="s">
        <v>8</v>
      </c>
      <c r="S29" s="1509" t="e">
        <f t="shared" si="12"/>
        <v>#N/A</v>
      </c>
      <c r="T29" s="1508" t="s">
        <v>8</v>
      </c>
      <c r="U29" s="1509" t="e">
        <f t="shared" si="13"/>
        <v>#N/A</v>
      </c>
      <c r="V29" s="1508" t="s">
        <v>8</v>
      </c>
      <c r="W29" s="1509" t="e">
        <f t="shared" si="14"/>
        <v>#N/A</v>
      </c>
      <c r="X29" s="1502"/>
      <c r="Y29" s="355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57"/>
      <c r="Q30" s="1507" t="str">
        <f t="shared" si="11"/>
        <v>物业等级</v>
      </c>
      <c r="R30" s="1508" t="s">
        <v>8</v>
      </c>
      <c r="S30" s="1509">
        <f t="shared" si="12"/>
        <v>100</v>
      </c>
      <c r="T30" s="1508" t="s">
        <v>8</v>
      </c>
      <c r="U30" s="1509">
        <f t="shared" si="13"/>
        <v>100</v>
      </c>
      <c r="V30" s="1508" t="s">
        <v>8</v>
      </c>
      <c r="W30" s="1509">
        <f t="shared" si="14"/>
        <v>100</v>
      </c>
      <c r="X30" s="1502"/>
      <c r="Y30" s="355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57"/>
      <c r="Q31" s="1134" t="str">
        <f t="shared" si="11"/>
        <v>停车位面积</v>
      </c>
      <c r="R31" s="1503" t="s">
        <v>8</v>
      </c>
      <c r="S31" s="1504" t="e">
        <f t="shared" si="12"/>
        <v>#N/A</v>
      </c>
      <c r="T31" s="1503" t="s">
        <v>8</v>
      </c>
      <c r="U31" s="1504" t="e">
        <f t="shared" si="13"/>
        <v>#N/A</v>
      </c>
      <c r="V31" s="1503" t="s">
        <v>8</v>
      </c>
      <c r="W31" s="1504" t="e">
        <f t="shared" si="14"/>
        <v>#N/A</v>
      </c>
      <c r="X31" s="1505"/>
      <c r="Y31" s="355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57" t="s">
        <v>544</v>
      </c>
      <c r="Q32" s="1507" t="str">
        <f t="shared" si="11"/>
        <v>车位类型</v>
      </c>
      <c r="R32" s="1508" t="s">
        <v>8</v>
      </c>
      <c r="S32" s="1509">
        <f t="shared" si="12"/>
        <v>100</v>
      </c>
      <c r="T32" s="1508" t="s">
        <v>8</v>
      </c>
      <c r="U32" s="1509">
        <f t="shared" si="13"/>
        <v>100</v>
      </c>
      <c r="V32" s="1508" t="s">
        <v>8</v>
      </c>
      <c r="W32" s="1509">
        <f t="shared" si="14"/>
        <v>100</v>
      </c>
      <c r="X32" s="1502"/>
      <c r="Y32" s="355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57"/>
      <c r="Q33" s="1507" t="str">
        <f t="shared" si="11"/>
        <v>是否直接入户</v>
      </c>
      <c r="R33" s="1508" t="s">
        <v>8</v>
      </c>
      <c r="S33" s="1509">
        <f t="shared" si="12"/>
        <v>100</v>
      </c>
      <c r="T33" s="1508" t="s">
        <v>8</v>
      </c>
      <c r="U33" s="1509">
        <f t="shared" si="13"/>
        <v>100</v>
      </c>
      <c r="V33" s="1508" t="s">
        <v>8</v>
      </c>
      <c r="W33" s="1509">
        <f t="shared" si="14"/>
        <v>100</v>
      </c>
      <c r="X33" s="1502"/>
      <c r="Y33" s="355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57"/>
      <c r="Q34" s="1507">
        <f t="shared" si="11"/>
        <v>111</v>
      </c>
      <c r="R34" s="1508" t="s">
        <v>8</v>
      </c>
      <c r="S34" s="1509">
        <f t="shared" si="12"/>
        <v>100</v>
      </c>
      <c r="T34" s="1508" t="s">
        <v>8</v>
      </c>
      <c r="U34" s="1509">
        <f t="shared" si="13"/>
        <v>100</v>
      </c>
      <c r="V34" s="1508" t="s">
        <v>8</v>
      </c>
      <c r="W34" s="1509">
        <f t="shared" si="14"/>
        <v>100</v>
      </c>
      <c r="X34" s="1502"/>
      <c r="Y34" s="355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57"/>
      <c r="Q35" s="1536">
        <f t="shared" si="11"/>
        <v>111</v>
      </c>
      <c r="R35" s="1512" t="s">
        <v>8</v>
      </c>
      <c r="S35" s="1513">
        <f t="shared" si="12"/>
        <v>100</v>
      </c>
      <c r="T35" s="1512" t="s">
        <v>8</v>
      </c>
      <c r="U35" s="1513">
        <f t="shared" si="13"/>
        <v>100</v>
      </c>
      <c r="V35" s="1512" t="s">
        <v>8</v>
      </c>
      <c r="W35" s="1513">
        <f t="shared" si="14"/>
        <v>100</v>
      </c>
      <c r="X35" s="1514"/>
      <c r="Y35" s="355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57"/>
      <c r="Q36" s="1507">
        <f t="shared" si="11"/>
        <v>111</v>
      </c>
      <c r="R36" s="1508" t="s">
        <v>8</v>
      </c>
      <c r="S36" s="1509">
        <f t="shared" si="12"/>
        <v>100</v>
      </c>
      <c r="T36" s="1508" t="s">
        <v>8</v>
      </c>
      <c r="U36" s="1509">
        <f t="shared" si="13"/>
        <v>100</v>
      </c>
      <c r="V36" s="1508" t="s">
        <v>8</v>
      </c>
      <c r="W36" s="1509">
        <f t="shared" si="14"/>
        <v>100</v>
      </c>
      <c r="X36" s="1502"/>
      <c r="Y36" s="3557"/>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558" t="str">
        <f>A37</f>
        <v>成交单价</v>
      </c>
      <c r="Q37" s="3558"/>
      <c r="R37" s="3617">
        <f>E37</f>
        <v>0</v>
      </c>
      <c r="S37" s="3617"/>
      <c r="T37" s="3617">
        <f>G37</f>
        <v>0</v>
      </c>
      <c r="U37" s="3617"/>
      <c r="V37" s="3617">
        <f>I37</f>
        <v>0</v>
      </c>
      <c r="W37" s="3617"/>
      <c r="X37" s="1497"/>
      <c r="Y37" s="1516"/>
      <c r="Z37" s="1497"/>
      <c r="AA37" s="1497"/>
      <c r="AB37" s="1497"/>
      <c r="AC37" s="1497"/>
    </row>
    <row r="38" spans="1:29" ht="15.75" thickBot="1">
      <c r="A38" s="609" t="s">
        <v>2740</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558" t="str">
        <f>A38</f>
        <v>比较价格（元/平方米）</v>
      </c>
      <c r="Q38" s="3558"/>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64" t="str">
        <f>A39</f>
        <v>估价对象XX用房的比较价格（楼面单价，元/平方米）</v>
      </c>
      <c r="Q39" s="3565"/>
      <c r="R39" s="3616" t="e">
        <f>IF(F1="售价",ROUND(IF(D38="简单平均",AVERAGE(R38:W38),R38*F38+T38*H38+V38*J38),0),ROUND(IF(D38="简单平均",AVERAGE(R38:V38),R38*F38+T38*H38+V38*J38),1))</f>
        <v>#DIV/0!</v>
      </c>
      <c r="S39" s="3616"/>
      <c r="T39" s="3616"/>
      <c r="U39" s="3616"/>
      <c r="V39" s="3616"/>
      <c r="W39" s="3616"/>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2020-9</v>
      </c>
      <c r="D48" s="2522">
        <f>EDATE(C48,-1)</f>
        <v>44044</v>
      </c>
      <c r="E48" s="2522">
        <f t="shared" ref="E48:O48" si="16">EDATE(D48,-1)</f>
        <v>44013</v>
      </c>
      <c r="F48" s="2522">
        <f t="shared" si="16"/>
        <v>43983</v>
      </c>
      <c r="G48" s="2522">
        <f t="shared" si="16"/>
        <v>43952</v>
      </c>
      <c r="H48" s="2522">
        <f t="shared" si="16"/>
        <v>43922</v>
      </c>
      <c r="I48" s="2522">
        <f t="shared" si="16"/>
        <v>43891</v>
      </c>
      <c r="J48" s="2522">
        <f t="shared" si="16"/>
        <v>43862</v>
      </c>
      <c r="K48" s="2522">
        <f t="shared" si="16"/>
        <v>43831</v>
      </c>
      <c r="L48" s="2522">
        <f t="shared" si="16"/>
        <v>43800</v>
      </c>
      <c r="M48" s="2522">
        <f t="shared" si="16"/>
        <v>43770</v>
      </c>
      <c r="N48" s="2522">
        <f t="shared" si="16"/>
        <v>43739</v>
      </c>
      <c r="O48" s="2522">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39" t="s">
        <v>792</v>
      </c>
      <c r="D4" s="3540"/>
      <c r="E4" s="3541" t="s">
        <v>793</v>
      </c>
      <c r="F4" s="3542"/>
      <c r="G4" s="3539" t="s">
        <v>794</v>
      </c>
      <c r="H4" s="3540"/>
      <c r="I4" s="3539" t="s">
        <v>795</v>
      </c>
      <c r="J4" s="3540"/>
      <c r="K4" s="508" t="s">
        <v>796</v>
      </c>
      <c r="L4" s="2016"/>
      <c r="M4" s="2017"/>
      <c r="N4" s="2017"/>
      <c r="O4" s="2017"/>
      <c r="P4" s="3543" t="s">
        <v>797</v>
      </c>
      <c r="Q4" s="3544"/>
      <c r="R4" s="3525" t="s">
        <v>793</v>
      </c>
      <c r="S4" s="3526"/>
      <c r="T4" s="3525" t="s">
        <v>794</v>
      </c>
      <c r="U4" s="3526"/>
      <c r="V4" s="3551" t="s">
        <v>795</v>
      </c>
      <c r="W4" s="3551"/>
      <c r="X4" s="1502"/>
      <c r="Y4" s="3525" t="s">
        <v>797</v>
      </c>
      <c r="Z4" s="3526"/>
      <c r="AA4" s="3536" t="s">
        <v>793</v>
      </c>
      <c r="AB4" s="3537" t="s">
        <v>794</v>
      </c>
      <c r="AC4" s="3536" t="s">
        <v>795</v>
      </c>
    </row>
    <row r="5" spans="1:29" ht="15">
      <c r="A5" s="509"/>
      <c r="B5" s="510"/>
      <c r="C5" s="3529" t="s">
        <v>2897</v>
      </c>
      <c r="D5" s="3530"/>
      <c r="E5" s="3552" t="s">
        <v>2898</v>
      </c>
      <c r="F5" s="3553"/>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23" t="s">
        <v>524</v>
      </c>
      <c r="Q7" s="3533"/>
      <c r="R7" s="1503" t="s">
        <v>8</v>
      </c>
      <c r="S7" s="1504">
        <f t="shared" ref="S7:S14" si="0">F7</f>
        <v>0</v>
      </c>
      <c r="T7" s="1503" t="s">
        <v>8</v>
      </c>
      <c r="U7" s="1504">
        <f t="shared" ref="U7:U14" si="1">H7</f>
        <v>0</v>
      </c>
      <c r="V7" s="1503" t="s">
        <v>8</v>
      </c>
      <c r="W7" s="1504">
        <f t="shared" ref="W7:W14"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58"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58"/>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54" t="s">
        <v>534</v>
      </c>
      <c r="Q14" s="1507" t="str">
        <f t="shared" si="6"/>
        <v>交通便捷度</v>
      </c>
      <c r="R14" s="1508" t="s">
        <v>8</v>
      </c>
      <c r="S14" s="1509">
        <f t="shared" si="0"/>
        <v>100</v>
      </c>
      <c r="T14" s="1508" t="s">
        <v>8</v>
      </c>
      <c r="U14" s="1509">
        <f t="shared" si="1"/>
        <v>100</v>
      </c>
      <c r="V14" s="1508" t="s">
        <v>8</v>
      </c>
      <c r="W14" s="1509">
        <f t="shared" si="2"/>
        <v>100</v>
      </c>
      <c r="X14" s="1502"/>
      <c r="Y14" s="355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55"/>
      <c r="Q15" s="1507"/>
      <c r="R15" s="1508"/>
      <c r="S15" s="1509"/>
      <c r="T15" s="1508"/>
      <c r="U15" s="1509"/>
      <c r="V15" s="1508"/>
      <c r="W15" s="1509"/>
      <c r="X15" s="1502"/>
      <c r="Y15" s="3555"/>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55"/>
      <c r="Q16" s="1507" t="str">
        <f>B16</f>
        <v>公共配套设施</v>
      </c>
      <c r="R16" s="1508" t="s">
        <v>8</v>
      </c>
      <c r="S16" s="1509">
        <f>F16</f>
        <v>100</v>
      </c>
      <c r="T16" s="1508" t="s">
        <v>8</v>
      </c>
      <c r="U16" s="1509">
        <f>H16</f>
        <v>100</v>
      </c>
      <c r="V16" s="1508" t="s">
        <v>8</v>
      </c>
      <c r="W16" s="1509">
        <f>J16</f>
        <v>100</v>
      </c>
      <c r="X16" s="1502"/>
      <c r="Y16" s="355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55"/>
      <c r="Q17" s="1507"/>
      <c r="R17" s="1508"/>
      <c r="S17" s="1509"/>
      <c r="T17" s="1508"/>
      <c r="U17" s="1509"/>
      <c r="V17" s="1508"/>
      <c r="W17" s="1509"/>
      <c r="X17" s="1502"/>
      <c r="Y17" s="3555"/>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55"/>
      <c r="Q18" s="2430" t="str">
        <f>B18</f>
        <v>基础设施水平</v>
      </c>
      <c r="R18" s="1508" t="s">
        <v>8</v>
      </c>
      <c r="S18" s="1509">
        <f>F18</f>
        <v>100</v>
      </c>
      <c r="T18" s="1508" t="s">
        <v>8</v>
      </c>
      <c r="U18" s="1509">
        <f>H18</f>
        <v>100</v>
      </c>
      <c r="V18" s="1508" t="s">
        <v>8</v>
      </c>
      <c r="W18" s="1509">
        <f>J18</f>
        <v>100</v>
      </c>
      <c r="X18" s="2432"/>
      <c r="Y18" s="3555"/>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55"/>
      <c r="Q19" s="2430"/>
      <c r="R19" s="1508"/>
      <c r="S19" s="1509"/>
      <c r="T19" s="1508"/>
      <c r="U19" s="1509"/>
      <c r="V19" s="1508"/>
      <c r="W19" s="1509"/>
      <c r="X19" s="2432"/>
      <c r="Y19" s="3555"/>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55"/>
      <c r="Q20" s="1507" t="str">
        <f>B20</f>
        <v>自然及人文环境</v>
      </c>
      <c r="R20" s="1508" t="s">
        <v>8</v>
      </c>
      <c r="S20" s="1509">
        <f>F20</f>
        <v>100</v>
      </c>
      <c r="T20" s="1508" t="s">
        <v>8</v>
      </c>
      <c r="U20" s="1509">
        <f>H20</f>
        <v>100</v>
      </c>
      <c r="V20" s="1508" t="s">
        <v>8</v>
      </c>
      <c r="W20" s="1509">
        <f>J20</f>
        <v>100</v>
      </c>
      <c r="X20" s="1502"/>
      <c r="Y20" s="355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55"/>
      <c r="Q21" s="1507"/>
      <c r="R21" s="1508"/>
      <c r="S21" s="1509"/>
      <c r="T21" s="1508"/>
      <c r="U21" s="1509"/>
      <c r="V21" s="1508"/>
      <c r="W21" s="1509"/>
      <c r="X21" s="1502"/>
      <c r="Y21" s="355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55"/>
      <c r="Q22" s="1507" t="str">
        <f>B22</f>
        <v>楼层</v>
      </c>
      <c r="R22" s="1508" t="s">
        <v>8</v>
      </c>
      <c r="S22" s="1509">
        <f>F22</f>
        <v>100</v>
      </c>
      <c r="T22" s="1508" t="s">
        <v>8</v>
      </c>
      <c r="U22" s="1509">
        <f>H22</f>
        <v>100</v>
      </c>
      <c r="V22" s="1508" t="s">
        <v>8</v>
      </c>
      <c r="W22" s="1509">
        <f>J22</f>
        <v>100</v>
      </c>
      <c r="X22" s="1502"/>
      <c r="Y22" s="355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55"/>
      <c r="Q23" s="1507">
        <f>B23</f>
        <v>111</v>
      </c>
      <c r="R23" s="1508" t="s">
        <v>8</v>
      </c>
      <c r="S23" s="1509">
        <f>F23</f>
        <v>100</v>
      </c>
      <c r="T23" s="1508" t="s">
        <v>8</v>
      </c>
      <c r="U23" s="1509">
        <f>H23</f>
        <v>100</v>
      </c>
      <c r="V23" s="1508" t="s">
        <v>8</v>
      </c>
      <c r="W23" s="1509">
        <f>J23</f>
        <v>100</v>
      </c>
      <c r="X23" s="1502"/>
      <c r="Y23" s="355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55"/>
      <c r="Q24" s="1507">
        <f t="shared" ref="Q24:Q34" si="11">B24</f>
        <v>111</v>
      </c>
      <c r="R24" s="1508" t="s">
        <v>8</v>
      </c>
      <c r="S24" s="1509">
        <f>F24</f>
        <v>100</v>
      </c>
      <c r="T24" s="1508" t="s">
        <v>8</v>
      </c>
      <c r="U24" s="1509">
        <f>H24</f>
        <v>100</v>
      </c>
      <c r="V24" s="1508" t="s">
        <v>8</v>
      </c>
      <c r="W24" s="1509">
        <f>J24</f>
        <v>100</v>
      </c>
      <c r="X24" s="1502"/>
      <c r="Y24" s="355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55"/>
      <c r="Q25" s="1134">
        <f t="shared" si="11"/>
        <v>111</v>
      </c>
      <c r="R25" s="1503" t="s">
        <v>8</v>
      </c>
      <c r="S25" s="1504">
        <f>F25</f>
        <v>100</v>
      </c>
      <c r="T25" s="1503" t="s">
        <v>8</v>
      </c>
      <c r="U25" s="1504">
        <f>H25</f>
        <v>100</v>
      </c>
      <c r="V25" s="1503" t="s">
        <v>8</v>
      </c>
      <c r="W25" s="1504">
        <f>J25</f>
        <v>100</v>
      </c>
      <c r="X25" s="1505"/>
      <c r="Y25" s="3555"/>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5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5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57"/>
      <c r="Q27" s="1536" t="str">
        <f t="shared" si="11"/>
        <v>成新率</v>
      </c>
      <c r="R27" s="1512" t="s">
        <v>8</v>
      </c>
      <c r="S27" s="1513" t="e">
        <f t="shared" si="12"/>
        <v>#N/A</v>
      </c>
      <c r="T27" s="1512" t="s">
        <v>8</v>
      </c>
      <c r="U27" s="1513" t="e">
        <f t="shared" si="13"/>
        <v>#N/A</v>
      </c>
      <c r="V27" s="1512" t="s">
        <v>8</v>
      </c>
      <c r="W27" s="1513" t="e">
        <f t="shared" si="14"/>
        <v>#N/A</v>
      </c>
      <c r="X27" s="1514"/>
      <c r="Y27" s="355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57"/>
      <c r="Q28" s="1507" t="str">
        <f t="shared" si="11"/>
        <v>物业等级</v>
      </c>
      <c r="R28" s="1508" t="s">
        <v>8</v>
      </c>
      <c r="S28" s="1509">
        <f t="shared" si="12"/>
        <v>100</v>
      </c>
      <c r="T28" s="1508" t="s">
        <v>8</v>
      </c>
      <c r="U28" s="1509">
        <f t="shared" si="13"/>
        <v>100</v>
      </c>
      <c r="V28" s="1508" t="s">
        <v>8</v>
      </c>
      <c r="W28" s="1509">
        <f t="shared" si="14"/>
        <v>100</v>
      </c>
      <c r="X28" s="1502"/>
      <c r="Y28" s="355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57"/>
      <c r="Q29" s="1507" t="str">
        <f t="shared" si="11"/>
        <v>有无电梯</v>
      </c>
      <c r="R29" s="1508" t="s">
        <v>8</v>
      </c>
      <c r="S29" s="1509">
        <f t="shared" si="12"/>
        <v>100</v>
      </c>
      <c r="T29" s="1508" t="s">
        <v>8</v>
      </c>
      <c r="U29" s="1509">
        <f t="shared" si="13"/>
        <v>100</v>
      </c>
      <c r="V29" s="1508" t="s">
        <v>8</v>
      </c>
      <c r="W29" s="1509">
        <f t="shared" si="14"/>
        <v>100</v>
      </c>
      <c r="X29" s="1502"/>
      <c r="Y29" s="355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57"/>
      <c r="Q30" s="1507" t="str">
        <f t="shared" si="11"/>
        <v>建筑面积</v>
      </c>
      <c r="R30" s="1508" t="s">
        <v>8</v>
      </c>
      <c r="S30" s="1509" t="e">
        <f t="shared" si="12"/>
        <v>#N/A</v>
      </c>
      <c r="T30" s="1508" t="s">
        <v>8</v>
      </c>
      <c r="U30" s="1509" t="e">
        <f t="shared" si="13"/>
        <v>#N/A</v>
      </c>
      <c r="V30" s="1508" t="s">
        <v>8</v>
      </c>
      <c r="W30" s="1509" t="e">
        <f t="shared" si="14"/>
        <v>#N/A</v>
      </c>
      <c r="X30" s="1502"/>
      <c r="Y30" s="355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57"/>
      <c r="Q31" s="1134" t="str">
        <f t="shared" si="11"/>
        <v>是否封闭</v>
      </c>
      <c r="R31" s="1503" t="s">
        <v>8</v>
      </c>
      <c r="S31" s="1504">
        <f t="shared" si="12"/>
        <v>100</v>
      </c>
      <c r="T31" s="1503" t="s">
        <v>8</v>
      </c>
      <c r="U31" s="1504">
        <f t="shared" si="13"/>
        <v>100</v>
      </c>
      <c r="V31" s="1503" t="s">
        <v>8</v>
      </c>
      <c r="W31" s="1504">
        <f t="shared" si="14"/>
        <v>100</v>
      </c>
      <c r="X31" s="1505"/>
      <c r="Y31" s="355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57" t="s">
        <v>544</v>
      </c>
      <c r="Q32" s="1507">
        <f t="shared" si="11"/>
        <v>111</v>
      </c>
      <c r="R32" s="1508" t="s">
        <v>8</v>
      </c>
      <c r="S32" s="1509">
        <f t="shared" si="12"/>
        <v>100</v>
      </c>
      <c r="T32" s="1508" t="s">
        <v>8</v>
      </c>
      <c r="U32" s="1509">
        <f t="shared" si="13"/>
        <v>100</v>
      </c>
      <c r="V32" s="1508" t="s">
        <v>8</v>
      </c>
      <c r="W32" s="1509">
        <f t="shared" si="14"/>
        <v>100</v>
      </c>
      <c r="X32" s="1502"/>
      <c r="Y32" s="355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57"/>
      <c r="Q33" s="1507">
        <f t="shared" si="11"/>
        <v>111</v>
      </c>
      <c r="R33" s="1508" t="s">
        <v>8</v>
      </c>
      <c r="S33" s="1509">
        <f t="shared" si="12"/>
        <v>100</v>
      </c>
      <c r="T33" s="1508" t="s">
        <v>8</v>
      </c>
      <c r="U33" s="1509">
        <f t="shared" si="13"/>
        <v>100</v>
      </c>
      <c r="V33" s="1508" t="s">
        <v>8</v>
      </c>
      <c r="W33" s="1509">
        <f t="shared" si="14"/>
        <v>100</v>
      </c>
      <c r="X33" s="1502"/>
      <c r="Y33" s="355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57"/>
      <c r="Q34" s="1507">
        <f t="shared" si="11"/>
        <v>111</v>
      </c>
      <c r="R34" s="1508" t="s">
        <v>8</v>
      </c>
      <c r="S34" s="1509">
        <f t="shared" si="12"/>
        <v>100</v>
      </c>
      <c r="T34" s="1508" t="s">
        <v>8</v>
      </c>
      <c r="U34" s="1509">
        <f t="shared" si="13"/>
        <v>100</v>
      </c>
      <c r="V34" s="1508" t="s">
        <v>8</v>
      </c>
      <c r="W34" s="1509">
        <f t="shared" si="14"/>
        <v>100</v>
      </c>
      <c r="X34" s="1502"/>
      <c r="Y34" s="3557"/>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58" t="str">
        <f>A35</f>
        <v>成交单价（元/平方米）</v>
      </c>
      <c r="Q35" s="3558"/>
      <c r="R35" s="3617">
        <f>E35</f>
        <v>0</v>
      </c>
      <c r="S35" s="3617"/>
      <c r="T35" s="3617">
        <f>G35</f>
        <v>0</v>
      </c>
      <c r="U35" s="3617"/>
      <c r="V35" s="3617">
        <f>I35</f>
        <v>0</v>
      </c>
      <c r="W35" s="3617"/>
      <c r="X35" s="1497"/>
      <c r="Y35" s="1516"/>
      <c r="Z35" s="1497"/>
      <c r="AA35" s="1497"/>
      <c r="AB35" s="1497"/>
      <c r="AC35" s="1497"/>
    </row>
    <row r="36" spans="1:29" ht="15.75" thickBot="1">
      <c r="A36" s="609" t="s">
        <v>2740</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558" t="str">
        <f>A36</f>
        <v>比较价格（元/平方米）</v>
      </c>
      <c r="Q36" s="3558"/>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64" t="str">
        <f>A37</f>
        <v>估价对象XX用房的比较价格（楼面单价，元/平方米）</v>
      </c>
      <c r="Q37" s="3565"/>
      <c r="R37" s="3616" t="e">
        <f>IF(F1="售价",ROUND(IF(D36="简单平均",AVERAGE(R36:W36),R36*F36+T36*H36+V36*J36),0),ROUND(IF(D36="简单平均",AVERAGE(R36:V36),R36*F36+T36*H36+V36*J36),1))</f>
        <v>#DIV/0!</v>
      </c>
      <c r="S37" s="3616"/>
      <c r="T37" s="3616"/>
      <c r="U37" s="3616"/>
      <c r="V37" s="3616"/>
      <c r="W37" s="3616"/>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2020-9</v>
      </c>
      <c r="D46" s="2522">
        <f>EDATE(C46,-1)</f>
        <v>44044</v>
      </c>
      <c r="E46" s="2522">
        <f t="shared" ref="E46:O46" si="16">EDATE(D46,-1)</f>
        <v>44013</v>
      </c>
      <c r="F46" s="2522">
        <f t="shared" si="16"/>
        <v>43983</v>
      </c>
      <c r="G46" s="2522">
        <f t="shared" si="16"/>
        <v>43952</v>
      </c>
      <c r="H46" s="2522">
        <f t="shared" si="16"/>
        <v>43922</v>
      </c>
      <c r="I46" s="2522">
        <f t="shared" si="16"/>
        <v>43891</v>
      </c>
      <c r="J46" s="2522">
        <f t="shared" si="16"/>
        <v>43862</v>
      </c>
      <c r="K46" s="2522">
        <f t="shared" si="16"/>
        <v>43831</v>
      </c>
      <c r="L46" s="2522">
        <f t="shared" si="16"/>
        <v>43800</v>
      </c>
      <c r="M46" s="2522">
        <f t="shared" si="16"/>
        <v>43770</v>
      </c>
      <c r="N46" s="2522">
        <f t="shared" si="16"/>
        <v>43739</v>
      </c>
      <c r="O46" s="2522">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93.75">
      <c r="A7" s="2591" t="s">
        <v>2728</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2729</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626" t="s">
        <v>2291</v>
      </c>
      <c r="D1" s="3627"/>
      <c r="E1" s="3627"/>
      <c r="F1" s="3627"/>
      <c r="G1" s="3627"/>
      <c r="H1" s="3627"/>
      <c r="I1" s="3627"/>
      <c r="J1" s="3627"/>
      <c r="K1" s="3627"/>
      <c r="L1" s="3627"/>
      <c r="M1" s="3627"/>
      <c r="N1" s="3627"/>
      <c r="O1" s="3627"/>
      <c r="P1" s="3627"/>
      <c r="Q1" s="3627"/>
      <c r="R1" s="3627"/>
      <c r="S1" s="3628"/>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23" t="s">
        <v>20</v>
      </c>
      <c r="D22" s="3624"/>
      <c r="E22" s="3624"/>
      <c r="F22" s="3624"/>
      <c r="G22" s="3624"/>
      <c r="H22" s="3624"/>
      <c r="I22" s="3624"/>
      <c r="J22" s="3624"/>
      <c r="K22" s="3624"/>
      <c r="L22" s="3624"/>
      <c r="M22" s="3624"/>
      <c r="N22" s="3624"/>
      <c r="O22" s="3624"/>
      <c r="P22" s="3624"/>
      <c r="Q22" s="3625"/>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44098</v>
      </c>
      <c r="H1" s="2656">
        <f>IF(C1&gt;C13,0,MATCH(C1,C$13:C$100,-1))+IF(SUMIF(C13:C100,C1,D13:D100)=0,13,12)</f>
        <v>13</v>
      </c>
      <c r="I1" s="2656">
        <f ca="1">MATCH(C2,H3:H7,1)+IF(SUMIF(H3:H7,C2,I3:I7)=0,2,1)</f>
        <v>4</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1</v>
      </c>
      <c r="D2" s="2718" t="s">
        <v>2768</v>
      </c>
      <c r="E2" s="2721">
        <f ca="1">INDIRECT("I"&amp;$I$1)/100</f>
        <v>4.3499999999999997E-2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42301</v>
      </c>
      <c r="D13" s="2704">
        <v>4.3499999999999996</v>
      </c>
      <c r="E13" s="2704">
        <v>4.3499999999999996</v>
      </c>
      <c r="F13" s="2704">
        <v>4.75</v>
      </c>
      <c r="G13" s="2704">
        <v>4.75</v>
      </c>
      <c r="H13" s="2704">
        <v>4.9000000000000004</v>
      </c>
      <c r="I13" s="2704">
        <v>2.75</v>
      </c>
      <c r="J13" s="2704">
        <v>3.25</v>
      </c>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2797</v>
      </c>
      <c r="J55" s="2708" t="s">
        <v>2797</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8" sqref="F18"/>
    </sheetView>
  </sheetViews>
  <sheetFormatPr defaultColWidth="9" defaultRowHeight="20.25" customHeight="1"/>
  <cols>
    <col min="1" max="1" width="14.25" style="3284" customWidth="1"/>
    <col min="2" max="2" width="18.75" style="3284" customWidth="1"/>
    <col min="3" max="5" width="14.25" style="3284" customWidth="1"/>
    <col min="6" max="6" width="11" style="3284" customWidth="1"/>
    <col min="7" max="7" width="9" style="3284"/>
    <col min="8" max="8" width="13.75" style="3284" customWidth="1"/>
    <col min="9" max="256" width="9" style="3284"/>
    <col min="257" max="257" width="14.25" style="3284" customWidth="1"/>
    <col min="258" max="258" width="18.75" style="3284" customWidth="1"/>
    <col min="259" max="261" width="14.25" style="3284" customWidth="1"/>
    <col min="262" max="262" width="11" style="3284" customWidth="1"/>
    <col min="263" max="263" width="9" style="3284"/>
    <col min="264" max="264" width="13.75" style="3284" customWidth="1"/>
    <col min="265" max="512" width="9" style="3284"/>
    <col min="513" max="513" width="14.25" style="3284" customWidth="1"/>
    <col min="514" max="514" width="18.75" style="3284" customWidth="1"/>
    <col min="515" max="517" width="14.25" style="3284" customWidth="1"/>
    <col min="518" max="518" width="11" style="3284" customWidth="1"/>
    <col min="519" max="519" width="9" style="3284"/>
    <col min="520" max="520" width="13.75" style="3284" customWidth="1"/>
    <col min="521" max="768" width="9" style="3284"/>
    <col min="769" max="769" width="14.25" style="3284" customWidth="1"/>
    <col min="770" max="770" width="18.75" style="3284" customWidth="1"/>
    <col min="771" max="773" width="14.25" style="3284" customWidth="1"/>
    <col min="774" max="774" width="11" style="3284" customWidth="1"/>
    <col min="775" max="775" width="9" style="3284"/>
    <col min="776" max="776" width="13.75" style="3284" customWidth="1"/>
    <col min="777" max="1024" width="9" style="3284"/>
    <col min="1025" max="1025" width="14.25" style="3284" customWidth="1"/>
    <col min="1026" max="1026" width="18.75" style="3284" customWidth="1"/>
    <col min="1027" max="1029" width="14.25" style="3284" customWidth="1"/>
    <col min="1030" max="1030" width="11" style="3284" customWidth="1"/>
    <col min="1031" max="1031" width="9" style="3284"/>
    <col min="1032" max="1032" width="13.75" style="3284" customWidth="1"/>
    <col min="1033" max="1280" width="9" style="3284"/>
    <col min="1281" max="1281" width="14.25" style="3284" customWidth="1"/>
    <col min="1282" max="1282" width="18.75" style="3284" customWidth="1"/>
    <col min="1283" max="1285" width="14.25" style="3284" customWidth="1"/>
    <col min="1286" max="1286" width="11" style="3284" customWidth="1"/>
    <col min="1287" max="1287" width="9" style="3284"/>
    <col min="1288" max="1288" width="13.75" style="3284" customWidth="1"/>
    <col min="1289" max="1536" width="9" style="3284"/>
    <col min="1537" max="1537" width="14.25" style="3284" customWidth="1"/>
    <col min="1538" max="1538" width="18.75" style="3284" customWidth="1"/>
    <col min="1539" max="1541" width="14.25" style="3284" customWidth="1"/>
    <col min="1542" max="1542" width="11" style="3284" customWidth="1"/>
    <col min="1543" max="1543" width="9" style="3284"/>
    <col min="1544" max="1544" width="13.75" style="3284" customWidth="1"/>
    <col min="1545" max="1792" width="9" style="3284"/>
    <col min="1793" max="1793" width="14.25" style="3284" customWidth="1"/>
    <col min="1794" max="1794" width="18.75" style="3284" customWidth="1"/>
    <col min="1795" max="1797" width="14.25" style="3284" customWidth="1"/>
    <col min="1798" max="1798" width="11" style="3284" customWidth="1"/>
    <col min="1799" max="1799" width="9" style="3284"/>
    <col min="1800" max="1800" width="13.75" style="3284" customWidth="1"/>
    <col min="1801" max="2048" width="9" style="3284"/>
    <col min="2049" max="2049" width="14.25" style="3284" customWidth="1"/>
    <col min="2050" max="2050" width="18.75" style="3284" customWidth="1"/>
    <col min="2051" max="2053" width="14.25" style="3284" customWidth="1"/>
    <col min="2054" max="2054" width="11" style="3284" customWidth="1"/>
    <col min="2055" max="2055" width="9" style="3284"/>
    <col min="2056" max="2056" width="13.75" style="3284" customWidth="1"/>
    <col min="2057" max="2304" width="9" style="3284"/>
    <col min="2305" max="2305" width="14.25" style="3284" customWidth="1"/>
    <col min="2306" max="2306" width="18.75" style="3284" customWidth="1"/>
    <col min="2307" max="2309" width="14.25" style="3284" customWidth="1"/>
    <col min="2310" max="2310" width="11" style="3284" customWidth="1"/>
    <col min="2311" max="2311" width="9" style="3284"/>
    <col min="2312" max="2312" width="13.75" style="3284" customWidth="1"/>
    <col min="2313" max="2560" width="9" style="3284"/>
    <col min="2561" max="2561" width="14.25" style="3284" customWidth="1"/>
    <col min="2562" max="2562" width="18.75" style="3284" customWidth="1"/>
    <col min="2563" max="2565" width="14.25" style="3284" customWidth="1"/>
    <col min="2566" max="2566" width="11" style="3284" customWidth="1"/>
    <col min="2567" max="2567" width="9" style="3284"/>
    <col min="2568" max="2568" width="13.75" style="3284" customWidth="1"/>
    <col min="2569" max="2816" width="9" style="3284"/>
    <col min="2817" max="2817" width="14.25" style="3284" customWidth="1"/>
    <col min="2818" max="2818" width="18.75" style="3284" customWidth="1"/>
    <col min="2819" max="2821" width="14.25" style="3284" customWidth="1"/>
    <col min="2822" max="2822" width="11" style="3284" customWidth="1"/>
    <col min="2823" max="2823" width="9" style="3284"/>
    <col min="2824" max="2824" width="13.75" style="3284" customWidth="1"/>
    <col min="2825" max="3072" width="9" style="3284"/>
    <col min="3073" max="3073" width="14.25" style="3284" customWidth="1"/>
    <col min="3074" max="3074" width="18.75" style="3284" customWidth="1"/>
    <col min="3075" max="3077" width="14.25" style="3284" customWidth="1"/>
    <col min="3078" max="3078" width="11" style="3284" customWidth="1"/>
    <col min="3079" max="3079" width="9" style="3284"/>
    <col min="3080" max="3080" width="13.75" style="3284" customWidth="1"/>
    <col min="3081" max="3328" width="9" style="3284"/>
    <col min="3329" max="3329" width="14.25" style="3284" customWidth="1"/>
    <col min="3330" max="3330" width="18.75" style="3284" customWidth="1"/>
    <col min="3331" max="3333" width="14.25" style="3284" customWidth="1"/>
    <col min="3334" max="3334" width="11" style="3284" customWidth="1"/>
    <col min="3335" max="3335" width="9" style="3284"/>
    <col min="3336" max="3336" width="13.75" style="3284" customWidth="1"/>
    <col min="3337" max="3584" width="9" style="3284"/>
    <col min="3585" max="3585" width="14.25" style="3284" customWidth="1"/>
    <col min="3586" max="3586" width="18.75" style="3284" customWidth="1"/>
    <col min="3587" max="3589" width="14.25" style="3284" customWidth="1"/>
    <col min="3590" max="3590" width="11" style="3284" customWidth="1"/>
    <col min="3591" max="3591" width="9" style="3284"/>
    <col min="3592" max="3592" width="13.75" style="3284" customWidth="1"/>
    <col min="3593" max="3840" width="9" style="3284"/>
    <col min="3841" max="3841" width="14.25" style="3284" customWidth="1"/>
    <col min="3842" max="3842" width="18.75" style="3284" customWidth="1"/>
    <col min="3843" max="3845" width="14.25" style="3284" customWidth="1"/>
    <col min="3846" max="3846" width="11" style="3284" customWidth="1"/>
    <col min="3847" max="3847" width="9" style="3284"/>
    <col min="3848" max="3848" width="13.75" style="3284" customWidth="1"/>
    <col min="3849" max="4096" width="9" style="3284"/>
    <col min="4097" max="4097" width="14.25" style="3284" customWidth="1"/>
    <col min="4098" max="4098" width="18.75" style="3284" customWidth="1"/>
    <col min="4099" max="4101" width="14.25" style="3284" customWidth="1"/>
    <col min="4102" max="4102" width="11" style="3284" customWidth="1"/>
    <col min="4103" max="4103" width="9" style="3284"/>
    <col min="4104" max="4104" width="13.75" style="3284" customWidth="1"/>
    <col min="4105" max="4352" width="9" style="3284"/>
    <col min="4353" max="4353" width="14.25" style="3284" customWidth="1"/>
    <col min="4354" max="4354" width="18.75" style="3284" customWidth="1"/>
    <col min="4355" max="4357" width="14.25" style="3284" customWidth="1"/>
    <col min="4358" max="4358" width="11" style="3284" customWidth="1"/>
    <col min="4359" max="4359" width="9" style="3284"/>
    <col min="4360" max="4360" width="13.75" style="3284" customWidth="1"/>
    <col min="4361" max="4608" width="9" style="3284"/>
    <col min="4609" max="4609" width="14.25" style="3284" customWidth="1"/>
    <col min="4610" max="4610" width="18.75" style="3284" customWidth="1"/>
    <col min="4611" max="4613" width="14.25" style="3284" customWidth="1"/>
    <col min="4614" max="4614" width="11" style="3284" customWidth="1"/>
    <col min="4615" max="4615" width="9" style="3284"/>
    <col min="4616" max="4616" width="13.75" style="3284" customWidth="1"/>
    <col min="4617" max="4864" width="9" style="3284"/>
    <col min="4865" max="4865" width="14.25" style="3284" customWidth="1"/>
    <col min="4866" max="4866" width="18.75" style="3284" customWidth="1"/>
    <col min="4867" max="4869" width="14.25" style="3284" customWidth="1"/>
    <col min="4870" max="4870" width="11" style="3284" customWidth="1"/>
    <col min="4871" max="4871" width="9" style="3284"/>
    <col min="4872" max="4872" width="13.75" style="3284" customWidth="1"/>
    <col min="4873" max="5120" width="9" style="3284"/>
    <col min="5121" max="5121" width="14.25" style="3284" customWidth="1"/>
    <col min="5122" max="5122" width="18.75" style="3284" customWidth="1"/>
    <col min="5123" max="5125" width="14.25" style="3284" customWidth="1"/>
    <col min="5126" max="5126" width="11" style="3284" customWidth="1"/>
    <col min="5127" max="5127" width="9" style="3284"/>
    <col min="5128" max="5128" width="13.75" style="3284" customWidth="1"/>
    <col min="5129" max="5376" width="9" style="3284"/>
    <col min="5377" max="5377" width="14.25" style="3284" customWidth="1"/>
    <col min="5378" max="5378" width="18.75" style="3284" customWidth="1"/>
    <col min="5379" max="5381" width="14.25" style="3284" customWidth="1"/>
    <col min="5382" max="5382" width="11" style="3284" customWidth="1"/>
    <col min="5383" max="5383" width="9" style="3284"/>
    <col min="5384" max="5384" width="13.75" style="3284" customWidth="1"/>
    <col min="5385" max="5632" width="9" style="3284"/>
    <col min="5633" max="5633" width="14.25" style="3284" customWidth="1"/>
    <col min="5634" max="5634" width="18.75" style="3284" customWidth="1"/>
    <col min="5635" max="5637" width="14.25" style="3284" customWidth="1"/>
    <col min="5638" max="5638" width="11" style="3284" customWidth="1"/>
    <col min="5639" max="5639" width="9" style="3284"/>
    <col min="5640" max="5640" width="13.75" style="3284" customWidth="1"/>
    <col min="5641" max="5888" width="9" style="3284"/>
    <col min="5889" max="5889" width="14.25" style="3284" customWidth="1"/>
    <col min="5890" max="5890" width="18.75" style="3284" customWidth="1"/>
    <col min="5891" max="5893" width="14.25" style="3284" customWidth="1"/>
    <col min="5894" max="5894" width="11" style="3284" customWidth="1"/>
    <col min="5895" max="5895" width="9" style="3284"/>
    <col min="5896" max="5896" width="13.75" style="3284" customWidth="1"/>
    <col min="5897" max="6144" width="9" style="3284"/>
    <col min="6145" max="6145" width="14.25" style="3284" customWidth="1"/>
    <col min="6146" max="6146" width="18.75" style="3284" customWidth="1"/>
    <col min="6147" max="6149" width="14.25" style="3284" customWidth="1"/>
    <col min="6150" max="6150" width="11" style="3284" customWidth="1"/>
    <col min="6151" max="6151" width="9" style="3284"/>
    <col min="6152" max="6152" width="13.75" style="3284" customWidth="1"/>
    <col min="6153" max="6400" width="9" style="3284"/>
    <col min="6401" max="6401" width="14.25" style="3284" customWidth="1"/>
    <col min="6402" max="6402" width="18.75" style="3284" customWidth="1"/>
    <col min="6403" max="6405" width="14.25" style="3284" customWidth="1"/>
    <col min="6406" max="6406" width="11" style="3284" customWidth="1"/>
    <col min="6407" max="6407" width="9" style="3284"/>
    <col min="6408" max="6408" width="13.75" style="3284" customWidth="1"/>
    <col min="6409" max="6656" width="9" style="3284"/>
    <col min="6657" max="6657" width="14.25" style="3284" customWidth="1"/>
    <col min="6658" max="6658" width="18.75" style="3284" customWidth="1"/>
    <col min="6659" max="6661" width="14.25" style="3284" customWidth="1"/>
    <col min="6662" max="6662" width="11" style="3284" customWidth="1"/>
    <col min="6663" max="6663" width="9" style="3284"/>
    <col min="6664" max="6664" width="13.75" style="3284" customWidth="1"/>
    <col min="6665" max="6912" width="9" style="3284"/>
    <col min="6913" max="6913" width="14.25" style="3284" customWidth="1"/>
    <col min="6914" max="6914" width="18.75" style="3284" customWidth="1"/>
    <col min="6915" max="6917" width="14.25" style="3284" customWidth="1"/>
    <col min="6918" max="6918" width="11" style="3284" customWidth="1"/>
    <col min="6919" max="6919" width="9" style="3284"/>
    <col min="6920" max="6920" width="13.75" style="3284" customWidth="1"/>
    <col min="6921" max="7168" width="9" style="3284"/>
    <col min="7169" max="7169" width="14.25" style="3284" customWidth="1"/>
    <col min="7170" max="7170" width="18.75" style="3284" customWidth="1"/>
    <col min="7171" max="7173" width="14.25" style="3284" customWidth="1"/>
    <col min="7174" max="7174" width="11" style="3284" customWidth="1"/>
    <col min="7175" max="7175" width="9" style="3284"/>
    <col min="7176" max="7176" width="13.75" style="3284" customWidth="1"/>
    <col min="7177" max="7424" width="9" style="3284"/>
    <col min="7425" max="7425" width="14.25" style="3284" customWidth="1"/>
    <col min="7426" max="7426" width="18.75" style="3284" customWidth="1"/>
    <col min="7427" max="7429" width="14.25" style="3284" customWidth="1"/>
    <col min="7430" max="7430" width="11" style="3284" customWidth="1"/>
    <col min="7431" max="7431" width="9" style="3284"/>
    <col min="7432" max="7432" width="13.75" style="3284" customWidth="1"/>
    <col min="7433" max="7680" width="9" style="3284"/>
    <col min="7681" max="7681" width="14.25" style="3284" customWidth="1"/>
    <col min="7682" max="7682" width="18.75" style="3284" customWidth="1"/>
    <col min="7683" max="7685" width="14.25" style="3284" customWidth="1"/>
    <col min="7686" max="7686" width="11" style="3284" customWidth="1"/>
    <col min="7687" max="7687" width="9" style="3284"/>
    <col min="7688" max="7688" width="13.75" style="3284" customWidth="1"/>
    <col min="7689" max="7936" width="9" style="3284"/>
    <col min="7937" max="7937" width="14.25" style="3284" customWidth="1"/>
    <col min="7938" max="7938" width="18.75" style="3284" customWidth="1"/>
    <col min="7939" max="7941" width="14.25" style="3284" customWidth="1"/>
    <col min="7942" max="7942" width="11" style="3284" customWidth="1"/>
    <col min="7943" max="7943" width="9" style="3284"/>
    <col min="7944" max="7944" width="13.75" style="3284" customWidth="1"/>
    <col min="7945" max="8192" width="9" style="3284"/>
    <col min="8193" max="8193" width="14.25" style="3284" customWidth="1"/>
    <col min="8194" max="8194" width="18.75" style="3284" customWidth="1"/>
    <col min="8195" max="8197" width="14.25" style="3284" customWidth="1"/>
    <col min="8198" max="8198" width="11" style="3284" customWidth="1"/>
    <col min="8199" max="8199" width="9" style="3284"/>
    <col min="8200" max="8200" width="13.75" style="3284" customWidth="1"/>
    <col min="8201" max="8448" width="9" style="3284"/>
    <col min="8449" max="8449" width="14.25" style="3284" customWidth="1"/>
    <col min="8450" max="8450" width="18.75" style="3284" customWidth="1"/>
    <col min="8451" max="8453" width="14.25" style="3284" customWidth="1"/>
    <col min="8454" max="8454" width="11" style="3284" customWidth="1"/>
    <col min="8455" max="8455" width="9" style="3284"/>
    <col min="8456" max="8456" width="13.75" style="3284" customWidth="1"/>
    <col min="8457" max="8704" width="9" style="3284"/>
    <col min="8705" max="8705" width="14.25" style="3284" customWidth="1"/>
    <col min="8706" max="8706" width="18.75" style="3284" customWidth="1"/>
    <col min="8707" max="8709" width="14.25" style="3284" customWidth="1"/>
    <col min="8710" max="8710" width="11" style="3284" customWidth="1"/>
    <col min="8711" max="8711" width="9" style="3284"/>
    <col min="8712" max="8712" width="13.75" style="3284" customWidth="1"/>
    <col min="8713" max="8960" width="9" style="3284"/>
    <col min="8961" max="8961" width="14.25" style="3284" customWidth="1"/>
    <col min="8962" max="8962" width="18.75" style="3284" customWidth="1"/>
    <col min="8963" max="8965" width="14.25" style="3284" customWidth="1"/>
    <col min="8966" max="8966" width="11" style="3284" customWidth="1"/>
    <col min="8967" max="8967" width="9" style="3284"/>
    <col min="8968" max="8968" width="13.75" style="3284" customWidth="1"/>
    <col min="8969" max="9216" width="9" style="3284"/>
    <col min="9217" max="9217" width="14.25" style="3284" customWidth="1"/>
    <col min="9218" max="9218" width="18.75" style="3284" customWidth="1"/>
    <col min="9219" max="9221" width="14.25" style="3284" customWidth="1"/>
    <col min="9222" max="9222" width="11" style="3284" customWidth="1"/>
    <col min="9223" max="9223" width="9" style="3284"/>
    <col min="9224" max="9224" width="13.75" style="3284" customWidth="1"/>
    <col min="9225" max="9472" width="9" style="3284"/>
    <col min="9473" max="9473" width="14.25" style="3284" customWidth="1"/>
    <col min="9474" max="9474" width="18.75" style="3284" customWidth="1"/>
    <col min="9475" max="9477" width="14.25" style="3284" customWidth="1"/>
    <col min="9478" max="9478" width="11" style="3284" customWidth="1"/>
    <col min="9479" max="9479" width="9" style="3284"/>
    <col min="9480" max="9480" width="13.75" style="3284" customWidth="1"/>
    <col min="9481" max="9728" width="9" style="3284"/>
    <col min="9729" max="9729" width="14.25" style="3284" customWidth="1"/>
    <col min="9730" max="9730" width="18.75" style="3284" customWidth="1"/>
    <col min="9731" max="9733" width="14.25" style="3284" customWidth="1"/>
    <col min="9734" max="9734" width="11" style="3284" customWidth="1"/>
    <col min="9735" max="9735" width="9" style="3284"/>
    <col min="9736" max="9736" width="13.75" style="3284" customWidth="1"/>
    <col min="9737" max="9984" width="9" style="3284"/>
    <col min="9985" max="9985" width="14.25" style="3284" customWidth="1"/>
    <col min="9986" max="9986" width="18.75" style="3284" customWidth="1"/>
    <col min="9987" max="9989" width="14.25" style="3284" customWidth="1"/>
    <col min="9990" max="9990" width="11" style="3284" customWidth="1"/>
    <col min="9991" max="9991" width="9" style="3284"/>
    <col min="9992" max="9992" width="13.75" style="3284" customWidth="1"/>
    <col min="9993" max="10240" width="9" style="3284"/>
    <col min="10241" max="10241" width="14.25" style="3284" customWidth="1"/>
    <col min="10242" max="10242" width="18.75" style="3284" customWidth="1"/>
    <col min="10243" max="10245" width="14.25" style="3284" customWidth="1"/>
    <col min="10246" max="10246" width="11" style="3284" customWidth="1"/>
    <col min="10247" max="10247" width="9" style="3284"/>
    <col min="10248" max="10248" width="13.75" style="3284" customWidth="1"/>
    <col min="10249" max="10496" width="9" style="3284"/>
    <col min="10497" max="10497" width="14.25" style="3284" customWidth="1"/>
    <col min="10498" max="10498" width="18.75" style="3284" customWidth="1"/>
    <col min="10499" max="10501" width="14.25" style="3284" customWidth="1"/>
    <col min="10502" max="10502" width="11" style="3284" customWidth="1"/>
    <col min="10503" max="10503" width="9" style="3284"/>
    <col min="10504" max="10504" width="13.75" style="3284" customWidth="1"/>
    <col min="10505" max="10752" width="9" style="3284"/>
    <col min="10753" max="10753" width="14.25" style="3284" customWidth="1"/>
    <col min="10754" max="10754" width="18.75" style="3284" customWidth="1"/>
    <col min="10755" max="10757" width="14.25" style="3284" customWidth="1"/>
    <col min="10758" max="10758" width="11" style="3284" customWidth="1"/>
    <col min="10759" max="10759" width="9" style="3284"/>
    <col min="10760" max="10760" width="13.75" style="3284" customWidth="1"/>
    <col min="10761" max="11008" width="9" style="3284"/>
    <col min="11009" max="11009" width="14.25" style="3284" customWidth="1"/>
    <col min="11010" max="11010" width="18.75" style="3284" customWidth="1"/>
    <col min="11011" max="11013" width="14.25" style="3284" customWidth="1"/>
    <col min="11014" max="11014" width="11" style="3284" customWidth="1"/>
    <col min="11015" max="11015" width="9" style="3284"/>
    <col min="11016" max="11016" width="13.75" style="3284" customWidth="1"/>
    <col min="11017" max="11264" width="9" style="3284"/>
    <col min="11265" max="11265" width="14.25" style="3284" customWidth="1"/>
    <col min="11266" max="11266" width="18.75" style="3284" customWidth="1"/>
    <col min="11267" max="11269" width="14.25" style="3284" customWidth="1"/>
    <col min="11270" max="11270" width="11" style="3284" customWidth="1"/>
    <col min="11271" max="11271" width="9" style="3284"/>
    <col min="11272" max="11272" width="13.75" style="3284" customWidth="1"/>
    <col min="11273" max="11520" width="9" style="3284"/>
    <col min="11521" max="11521" width="14.25" style="3284" customWidth="1"/>
    <col min="11522" max="11522" width="18.75" style="3284" customWidth="1"/>
    <col min="11523" max="11525" width="14.25" style="3284" customWidth="1"/>
    <col min="11526" max="11526" width="11" style="3284" customWidth="1"/>
    <col min="11527" max="11527" width="9" style="3284"/>
    <col min="11528" max="11528" width="13.75" style="3284" customWidth="1"/>
    <col min="11529" max="11776" width="9" style="3284"/>
    <col min="11777" max="11777" width="14.25" style="3284" customWidth="1"/>
    <col min="11778" max="11778" width="18.75" style="3284" customWidth="1"/>
    <col min="11779" max="11781" width="14.25" style="3284" customWidth="1"/>
    <col min="11782" max="11782" width="11" style="3284" customWidth="1"/>
    <col min="11783" max="11783" width="9" style="3284"/>
    <col min="11784" max="11784" width="13.75" style="3284" customWidth="1"/>
    <col min="11785" max="12032" width="9" style="3284"/>
    <col min="12033" max="12033" width="14.25" style="3284" customWidth="1"/>
    <col min="12034" max="12034" width="18.75" style="3284" customWidth="1"/>
    <col min="12035" max="12037" width="14.25" style="3284" customWidth="1"/>
    <col min="12038" max="12038" width="11" style="3284" customWidth="1"/>
    <col min="12039" max="12039" width="9" style="3284"/>
    <col min="12040" max="12040" width="13.75" style="3284" customWidth="1"/>
    <col min="12041" max="12288" width="9" style="3284"/>
    <col min="12289" max="12289" width="14.25" style="3284" customWidth="1"/>
    <col min="12290" max="12290" width="18.75" style="3284" customWidth="1"/>
    <col min="12291" max="12293" width="14.25" style="3284" customWidth="1"/>
    <col min="12294" max="12294" width="11" style="3284" customWidth="1"/>
    <col min="12295" max="12295" width="9" style="3284"/>
    <col min="12296" max="12296" width="13.75" style="3284" customWidth="1"/>
    <col min="12297" max="12544" width="9" style="3284"/>
    <col min="12545" max="12545" width="14.25" style="3284" customWidth="1"/>
    <col min="12546" max="12546" width="18.75" style="3284" customWidth="1"/>
    <col min="12547" max="12549" width="14.25" style="3284" customWidth="1"/>
    <col min="12550" max="12550" width="11" style="3284" customWidth="1"/>
    <col min="12551" max="12551" width="9" style="3284"/>
    <col min="12552" max="12552" width="13.75" style="3284" customWidth="1"/>
    <col min="12553" max="12800" width="9" style="3284"/>
    <col min="12801" max="12801" width="14.25" style="3284" customWidth="1"/>
    <col min="12802" max="12802" width="18.75" style="3284" customWidth="1"/>
    <col min="12803" max="12805" width="14.25" style="3284" customWidth="1"/>
    <col min="12806" max="12806" width="11" style="3284" customWidth="1"/>
    <col min="12807" max="12807" width="9" style="3284"/>
    <col min="12808" max="12808" width="13.75" style="3284" customWidth="1"/>
    <col min="12809" max="13056" width="9" style="3284"/>
    <col min="13057" max="13057" width="14.25" style="3284" customWidth="1"/>
    <col min="13058" max="13058" width="18.75" style="3284" customWidth="1"/>
    <col min="13059" max="13061" width="14.25" style="3284" customWidth="1"/>
    <col min="13062" max="13062" width="11" style="3284" customWidth="1"/>
    <col min="13063" max="13063" width="9" style="3284"/>
    <col min="13064" max="13064" width="13.75" style="3284" customWidth="1"/>
    <col min="13065" max="13312" width="9" style="3284"/>
    <col min="13313" max="13313" width="14.25" style="3284" customWidth="1"/>
    <col min="13314" max="13314" width="18.75" style="3284" customWidth="1"/>
    <col min="13315" max="13317" width="14.25" style="3284" customWidth="1"/>
    <col min="13318" max="13318" width="11" style="3284" customWidth="1"/>
    <col min="13319" max="13319" width="9" style="3284"/>
    <col min="13320" max="13320" width="13.75" style="3284" customWidth="1"/>
    <col min="13321" max="13568" width="9" style="3284"/>
    <col min="13569" max="13569" width="14.25" style="3284" customWidth="1"/>
    <col min="13570" max="13570" width="18.75" style="3284" customWidth="1"/>
    <col min="13571" max="13573" width="14.25" style="3284" customWidth="1"/>
    <col min="13574" max="13574" width="11" style="3284" customWidth="1"/>
    <col min="13575" max="13575" width="9" style="3284"/>
    <col min="13576" max="13576" width="13.75" style="3284" customWidth="1"/>
    <col min="13577" max="13824" width="9" style="3284"/>
    <col min="13825" max="13825" width="14.25" style="3284" customWidth="1"/>
    <col min="13826" max="13826" width="18.75" style="3284" customWidth="1"/>
    <col min="13827" max="13829" width="14.25" style="3284" customWidth="1"/>
    <col min="13830" max="13830" width="11" style="3284" customWidth="1"/>
    <col min="13831" max="13831" width="9" style="3284"/>
    <col min="13832" max="13832" width="13.75" style="3284" customWidth="1"/>
    <col min="13833" max="14080" width="9" style="3284"/>
    <col min="14081" max="14081" width="14.25" style="3284" customWidth="1"/>
    <col min="14082" max="14082" width="18.75" style="3284" customWidth="1"/>
    <col min="14083" max="14085" width="14.25" style="3284" customWidth="1"/>
    <col min="14086" max="14086" width="11" style="3284" customWidth="1"/>
    <col min="14087" max="14087" width="9" style="3284"/>
    <col min="14088" max="14088" width="13.75" style="3284" customWidth="1"/>
    <col min="14089" max="14336" width="9" style="3284"/>
    <col min="14337" max="14337" width="14.25" style="3284" customWidth="1"/>
    <col min="14338" max="14338" width="18.75" style="3284" customWidth="1"/>
    <col min="14339" max="14341" width="14.25" style="3284" customWidth="1"/>
    <col min="14342" max="14342" width="11" style="3284" customWidth="1"/>
    <col min="14343" max="14343" width="9" style="3284"/>
    <col min="14344" max="14344" width="13.75" style="3284" customWidth="1"/>
    <col min="14345" max="14592" width="9" style="3284"/>
    <col min="14593" max="14593" width="14.25" style="3284" customWidth="1"/>
    <col min="14594" max="14594" width="18.75" style="3284" customWidth="1"/>
    <col min="14595" max="14597" width="14.25" style="3284" customWidth="1"/>
    <col min="14598" max="14598" width="11" style="3284" customWidth="1"/>
    <col min="14599" max="14599" width="9" style="3284"/>
    <col min="14600" max="14600" width="13.75" style="3284" customWidth="1"/>
    <col min="14601" max="14848" width="9" style="3284"/>
    <col min="14849" max="14849" width="14.25" style="3284" customWidth="1"/>
    <col min="14850" max="14850" width="18.75" style="3284" customWidth="1"/>
    <col min="14851" max="14853" width="14.25" style="3284" customWidth="1"/>
    <col min="14854" max="14854" width="11" style="3284" customWidth="1"/>
    <col min="14855" max="14855" width="9" style="3284"/>
    <col min="14856" max="14856" width="13.75" style="3284" customWidth="1"/>
    <col min="14857" max="15104" width="9" style="3284"/>
    <col min="15105" max="15105" width="14.25" style="3284" customWidth="1"/>
    <col min="15106" max="15106" width="18.75" style="3284" customWidth="1"/>
    <col min="15107" max="15109" width="14.25" style="3284" customWidth="1"/>
    <col min="15110" max="15110" width="11" style="3284" customWidth="1"/>
    <col min="15111" max="15111" width="9" style="3284"/>
    <col min="15112" max="15112" width="13.75" style="3284" customWidth="1"/>
    <col min="15113" max="15360" width="9" style="3284"/>
    <col min="15361" max="15361" width="14.25" style="3284" customWidth="1"/>
    <col min="15362" max="15362" width="18.75" style="3284" customWidth="1"/>
    <col min="15363" max="15365" width="14.25" style="3284" customWidth="1"/>
    <col min="15366" max="15366" width="11" style="3284" customWidth="1"/>
    <col min="15367" max="15367" width="9" style="3284"/>
    <col min="15368" max="15368" width="13.75" style="3284" customWidth="1"/>
    <col min="15369" max="15616" width="9" style="3284"/>
    <col min="15617" max="15617" width="14.25" style="3284" customWidth="1"/>
    <col min="15618" max="15618" width="18.75" style="3284" customWidth="1"/>
    <col min="15619" max="15621" width="14.25" style="3284" customWidth="1"/>
    <col min="15622" max="15622" width="11" style="3284" customWidth="1"/>
    <col min="15623" max="15623" width="9" style="3284"/>
    <col min="15624" max="15624" width="13.75" style="3284" customWidth="1"/>
    <col min="15625" max="15872" width="9" style="3284"/>
    <col min="15873" max="15873" width="14.25" style="3284" customWidth="1"/>
    <col min="15874" max="15874" width="18.75" style="3284" customWidth="1"/>
    <col min="15875" max="15877" width="14.25" style="3284" customWidth="1"/>
    <col min="15878" max="15878" width="11" style="3284" customWidth="1"/>
    <col min="15879" max="15879" width="9" style="3284"/>
    <col min="15880" max="15880" width="13.75" style="3284" customWidth="1"/>
    <col min="15881" max="16128" width="9" style="3284"/>
    <col min="16129" max="16129" width="14.25" style="3284" customWidth="1"/>
    <col min="16130" max="16130" width="18.75" style="3284" customWidth="1"/>
    <col min="16131" max="16133" width="14.25" style="3284" customWidth="1"/>
    <col min="16134" max="16134" width="11" style="3284" customWidth="1"/>
    <col min="16135" max="16135" width="9" style="3284"/>
    <col min="16136" max="16136" width="13.75" style="3284" customWidth="1"/>
    <col min="16137" max="16384" width="9" style="3284"/>
  </cols>
  <sheetData>
    <row r="1" spans="1:7" ht="15" thickBot="1">
      <c r="A1" s="3282" t="s">
        <v>3081</v>
      </c>
      <c r="B1" s="3283"/>
    </row>
    <row r="2" spans="1:7" ht="27">
      <c r="A2" s="3285" t="s">
        <v>3082</v>
      </c>
      <c r="B2" s="3286" t="s">
        <v>3083</v>
      </c>
      <c r="C2" s="3287" t="s">
        <v>3084</v>
      </c>
      <c r="D2" s="3286" t="s">
        <v>3085</v>
      </c>
      <c r="E2" s="3288" t="s">
        <v>3086</v>
      </c>
    </row>
    <row r="3" spans="1:7" ht="14.25">
      <c r="A3" s="3289">
        <v>40</v>
      </c>
      <c r="B3" s="3290">
        <v>46375</v>
      </c>
      <c r="C3" s="3291">
        <f>ROUNDDOWN(MIN((B3-$B$1)/365,A3),2)</f>
        <v>40</v>
      </c>
      <c r="D3" s="3292">
        <f>IF(ISERROR(ROUND(POWER(1+E3,A3-C3)*(POWER(1+E3,C3)-1)/(POWER(1+E3,A3)-1),3)),0,ROUND(POWER(1+E3,A3-C3)*(POWER(1+E3,C3)-1)/(POWER(1+E3,A3)-1),3))</f>
        <v>1</v>
      </c>
      <c r="E3" s="3293">
        <v>0.04</v>
      </c>
    </row>
    <row r="4" spans="1:7" ht="14.25">
      <c r="A4" s="3289">
        <v>50</v>
      </c>
      <c r="B4" s="3290">
        <v>50028</v>
      </c>
      <c r="C4" s="3291">
        <f>ROUNDDOWN(MIN((B4-$B$1)/365,A4),2)</f>
        <v>50</v>
      </c>
      <c r="D4" s="3292">
        <f>IF(ISERROR(ROUND(POWER(1+E4,A4-C4)*(POWER(1+E4,C4)-1)/(POWER(1+E4,A4)-1),3)),0,ROUND(POWER(1+E4,A4-C4)*(POWER(1+E4,C4)-1)/(POWER(1+E4,A4)-1),3))</f>
        <v>1</v>
      </c>
      <c r="E4" s="3293">
        <v>0.04</v>
      </c>
    </row>
    <row r="5" spans="1:7" ht="15" thickBot="1">
      <c r="A5" s="3294">
        <v>70</v>
      </c>
      <c r="B5" s="3295">
        <v>57333</v>
      </c>
      <c r="C5" s="3296">
        <f>ROUNDDOWN(MIN((B5-$B$1)/365,A5),2)</f>
        <v>70</v>
      </c>
      <c r="D5" s="3297">
        <f>IF(ISERROR(ROUND(POWER(1+E5,A5-C5)*(POWER(1+E5,C5)-1)/(POWER(1+E5,A5)-1),3)),0,ROUND(POWER(1+E5,A5-C5)*(POWER(1+E5,C5)-1)/(POWER(1+E5,A5)-1),3))</f>
        <v>1</v>
      </c>
      <c r="E5" s="3298">
        <v>0.04</v>
      </c>
    </row>
    <row r="7" spans="1:7" s="3301" customFormat="1" ht="14.25" thickBot="1">
      <c r="A7" s="3299" t="s">
        <v>3087</v>
      </c>
      <c r="B7" s="3300"/>
    </row>
    <row r="8" spans="1:7" ht="14.25" thickBot="1">
      <c r="A8" s="3629" t="s">
        <v>3088</v>
      </c>
      <c r="B8" s="3630"/>
      <c r="C8" s="3302"/>
      <c r="D8" s="3303" t="s">
        <v>3086</v>
      </c>
      <c r="E8" s="3302"/>
      <c r="F8" s="3304" t="s">
        <v>3085</v>
      </c>
    </row>
    <row r="9" spans="1:7" ht="14.25">
      <c r="A9" s="3305" t="s">
        <v>3089</v>
      </c>
      <c r="B9" s="3306">
        <v>50</v>
      </c>
      <c r="C9" s="3307" t="s">
        <v>3090</v>
      </c>
      <c r="D9" s="3308">
        <f>'数据-取费表'!H6</f>
        <v>4.4999999999999998E-2</v>
      </c>
      <c r="E9" s="3307" t="s">
        <v>3091</v>
      </c>
      <c r="F9" s="3309">
        <f>1-(1/(POWER(1+D9,B9)))</f>
        <v>0.88929035003434787</v>
      </c>
    </row>
    <row r="10" spans="1:7" ht="15" thickBot="1">
      <c r="A10" s="3310" t="s">
        <v>3092</v>
      </c>
      <c r="B10" s="3311">
        <v>20</v>
      </c>
      <c r="C10" s="3312" t="s">
        <v>3093</v>
      </c>
      <c r="D10" s="3313">
        <f>D9</f>
        <v>4.4999999999999998E-2</v>
      </c>
      <c r="E10" s="3312" t="s">
        <v>3094</v>
      </c>
      <c r="F10" s="3314">
        <f>1-(1/(POWER(1+D10,B10)))</f>
        <v>0.58535714031541541</v>
      </c>
      <c r="G10" s="3284">
        <f>ROUND(F10/F9,3)</f>
        <v>0.65800000000000003</v>
      </c>
    </row>
    <row r="11" spans="1:7" ht="15" thickBot="1">
      <c r="A11" s="3315" t="s">
        <v>3095</v>
      </c>
      <c r="B11" s="3316"/>
      <c r="C11" s="3316"/>
      <c r="D11" s="3316"/>
      <c r="E11" s="3316"/>
      <c r="F11" s="3316"/>
      <c r="G11" s="3284">
        <f>G10/'数据-取费表'!G16</f>
        <v>0.84250960307298339</v>
      </c>
    </row>
    <row r="12" spans="1:7" ht="14.25">
      <c r="A12" s="3305" t="s">
        <v>3096</v>
      </c>
      <c r="B12" s="3317">
        <v>5000</v>
      </c>
      <c r="E12" s="3318"/>
      <c r="F12" s="3318"/>
    </row>
    <row r="13" spans="1:7" ht="15" thickBot="1">
      <c r="A13" s="3310" t="s">
        <v>3097</v>
      </c>
      <c r="B13" s="3319">
        <f>ROUND(B12*F10/F9,2)</f>
        <v>3291.15</v>
      </c>
      <c r="E13" s="3318"/>
      <c r="F13" s="3318"/>
    </row>
    <row r="14" spans="1:7" ht="14.25" thickBot="1">
      <c r="A14" s="3315" t="s">
        <v>3098</v>
      </c>
      <c r="B14" s="3320"/>
    </row>
    <row r="15" spans="1:7" ht="14.25">
      <c r="A15" s="3307" t="s">
        <v>3097</v>
      </c>
      <c r="B15" s="3321">
        <v>4810</v>
      </c>
    </row>
    <row r="16" spans="1:7" ht="15" thickBot="1">
      <c r="A16" s="3312" t="s">
        <v>3096</v>
      </c>
      <c r="B16" s="3322">
        <f>ROUND(B15*F9/F10,2)</f>
        <v>7307.48</v>
      </c>
    </row>
  </sheetData>
  <mergeCells count="1">
    <mergeCell ref="A8:B8"/>
  </mergeCells>
  <phoneticPr fontId="228"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8" t="s">
        <v>2026</v>
      </c>
      <c r="B1" s="3328"/>
      <c r="C1" s="3328"/>
      <c r="D1" s="3328"/>
      <c r="E1" s="3328"/>
      <c r="F1" s="3328"/>
      <c r="G1" s="3328"/>
      <c r="H1" s="3328"/>
      <c r="I1" s="3328"/>
      <c r="J1" s="3328"/>
      <c r="K1" s="3328"/>
      <c r="L1" s="3328"/>
      <c r="M1" s="3328"/>
      <c r="N1" s="3328"/>
      <c r="O1" s="3328"/>
      <c r="P1" s="3328"/>
      <c r="Q1" s="3328"/>
      <c r="R1" s="3328"/>
    </row>
    <row r="2" spans="1:18">
      <c r="A2" s="1723" t="s">
        <v>2028</v>
      </c>
      <c r="B2" s="1723"/>
      <c r="C2" s="1723"/>
      <c r="D2" s="1723"/>
      <c r="E2" s="1723"/>
      <c r="F2" s="1723"/>
      <c r="G2" s="1723"/>
      <c r="H2" s="1723"/>
      <c r="I2" s="1724"/>
      <c r="J2" s="1724"/>
      <c r="K2" s="1725" t="str">
        <f>"估价期日："&amp;TEXT(项目基本情况!D3,"yyyy年m月d日;;")</f>
        <v>估价期日：2020年9月24日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29" t="s">
        <v>2017</v>
      </c>
      <c r="B3" s="3329" t="s">
        <v>2711</v>
      </c>
      <c r="C3" s="3330" t="s">
        <v>2018</v>
      </c>
      <c r="D3" s="3329" t="s">
        <v>2715</v>
      </c>
      <c r="E3" s="3324" t="s">
        <v>2019</v>
      </c>
      <c r="F3" s="3324"/>
      <c r="G3" s="3324"/>
      <c r="H3" s="3324" t="s">
        <v>2020</v>
      </c>
      <c r="I3" s="3324"/>
      <c r="J3" s="3324"/>
      <c r="K3" s="3330" t="s">
        <v>2021</v>
      </c>
      <c r="L3" s="3330" t="s">
        <v>2022</v>
      </c>
      <c r="M3" s="3329" t="s">
        <v>2712</v>
      </c>
      <c r="N3" s="3331" t="str">
        <f>"（分摊）"&amp;项目基本情况!B16&amp;"国有建设用地使用权面积/㎡"</f>
        <v>（分摊）出让国有建设用地使用权面积/㎡</v>
      </c>
      <c r="O3" s="3329" t="s">
        <v>2051</v>
      </c>
      <c r="P3" s="3330" t="s">
        <v>2031</v>
      </c>
      <c r="Q3" s="3330" t="s">
        <v>2052</v>
      </c>
      <c r="R3" s="3330" t="s">
        <v>2023</v>
      </c>
    </row>
    <row r="4" spans="1:18" ht="36.75" customHeight="1">
      <c r="A4" s="3329"/>
      <c r="B4" s="3329"/>
      <c r="C4" s="3330"/>
      <c r="D4" s="3329"/>
      <c r="E4" s="2492" t="s">
        <v>2030</v>
      </c>
      <c r="F4" s="2492" t="s">
        <v>2724</v>
      </c>
      <c r="G4" s="2492" t="s">
        <v>2024</v>
      </c>
      <c r="H4" s="2492" t="s">
        <v>2025</v>
      </c>
      <c r="I4" s="2492" t="s">
        <v>2725</v>
      </c>
      <c r="J4" s="2492" t="s">
        <v>2024</v>
      </c>
      <c r="K4" s="3330"/>
      <c r="L4" s="3330"/>
      <c r="M4" s="3329"/>
      <c r="N4" s="3331"/>
      <c r="O4" s="3329"/>
      <c r="P4" s="3330"/>
      <c r="Q4" s="3330"/>
      <c r="R4" s="3330"/>
    </row>
    <row r="5" spans="1:18" ht="135" customHeight="1">
      <c r="A5" s="1858" t="s">
        <v>2635</v>
      </c>
      <c r="B5" s="2585" t="s">
        <v>2633</v>
      </c>
      <c r="C5" s="2491">
        <v>22</v>
      </c>
      <c r="D5" s="2490" t="s">
        <v>2634</v>
      </c>
      <c r="E5" s="1726" t="str">
        <f>项目基本情况!B12</f>
        <v>工业</v>
      </c>
      <c r="F5" s="2490">
        <v>258</v>
      </c>
      <c r="G5" s="1726">
        <f>项目基本情况!B13</f>
        <v>0</v>
      </c>
      <c r="H5" s="2490">
        <v>1.5</v>
      </c>
      <c r="I5" s="2490">
        <v>1.5</v>
      </c>
      <c r="J5" s="2490">
        <v>1.5</v>
      </c>
      <c r="K5" s="1726" t="str">
        <f>"红线外"&amp;项目基本情况!T40&amp;"、宗地红线内"&amp;项目基本情况!B35</f>
        <v>红线外五通、宗地红线内</v>
      </c>
      <c r="L5" s="1726" t="str">
        <f>"红线外"&amp;项目基本情况!T40&amp;"、宗地红线内场地"&amp;项目基本情况!D36</f>
        <v>红线外五通、宗地红线内场地</v>
      </c>
      <c r="M5" s="1726">
        <f>IF(项目基本情况!B16="出让",项目基本情况!D20,"——")</f>
        <v>0</v>
      </c>
      <c r="N5" s="1726">
        <f>项目基本情况!C22</f>
        <v>6316</v>
      </c>
      <c r="O5" s="1726">
        <f>项目基本情况!C21</f>
        <v>5000</v>
      </c>
      <c r="P5" s="1726">
        <f ca="1">结果表!E42</f>
        <v>1539</v>
      </c>
      <c r="Q5" s="1726">
        <f ca="1">结果表!D42</f>
        <v>1944</v>
      </c>
      <c r="R5" s="1727">
        <f ca="1">结果表!C42</f>
        <v>972</v>
      </c>
    </row>
    <row r="6" spans="1:18">
      <c r="A6" s="3325" t="str">
        <f>IF(项目基本情况!B9="市场价格","——","抵押价格")</f>
        <v>抵押价格</v>
      </c>
      <c r="B6" s="3326"/>
      <c r="C6" s="3326"/>
      <c r="D6" s="3326"/>
      <c r="E6" s="3326"/>
      <c r="F6" s="3326"/>
      <c r="G6" s="3326"/>
      <c r="H6" s="3326"/>
      <c r="I6" s="3326"/>
      <c r="J6" s="3326"/>
      <c r="K6" s="3326"/>
      <c r="L6" s="3326"/>
      <c r="M6" s="3326"/>
      <c r="N6" s="3326"/>
      <c r="O6" s="3326"/>
      <c r="P6" s="3326"/>
      <c r="Q6" s="3327"/>
      <c r="R6" s="1728">
        <f ca="1">结果表!O39</f>
        <v>972</v>
      </c>
    </row>
    <row r="7" spans="1:18">
      <c r="A7" s="3325" t="str">
        <f>IF(项目基本情况!B9="市场价格","——",IF(项目基本情况!E8="已注销及未注销","抵押担保权已注销时的抵押价格","——"))</f>
        <v>——</v>
      </c>
      <c r="B7" s="3326"/>
      <c r="C7" s="3326"/>
      <c r="D7" s="3326"/>
      <c r="E7" s="3326"/>
      <c r="F7" s="3326"/>
      <c r="G7" s="3326"/>
      <c r="H7" s="3326"/>
      <c r="I7" s="3326"/>
      <c r="J7" s="3326"/>
      <c r="K7" s="3326"/>
      <c r="L7" s="3326"/>
      <c r="M7" s="3326"/>
      <c r="N7" s="3326"/>
      <c r="O7" s="3326"/>
      <c r="P7" s="3326"/>
      <c r="Q7" s="3327"/>
      <c r="R7" s="1728" t="str">
        <f>结果表!O40</f>
        <v>——</v>
      </c>
    </row>
    <row r="8" spans="1:18">
      <c r="A8" s="3325" t="str">
        <f>IF(项目基本情况!B9="市场价格","——",项目基本情况!E9)</f>
        <v>——</v>
      </c>
      <c r="B8" s="3326"/>
      <c r="C8" s="3326"/>
      <c r="D8" s="3326"/>
      <c r="E8" s="3326"/>
      <c r="F8" s="3326"/>
      <c r="G8" s="3326"/>
      <c r="H8" s="3326"/>
      <c r="I8" s="3326"/>
      <c r="J8" s="3326"/>
      <c r="K8" s="3326"/>
      <c r="L8" s="3326"/>
      <c r="M8" s="3326"/>
      <c r="N8" s="3326"/>
      <c r="O8" s="3326"/>
      <c r="P8" s="3326"/>
      <c r="Q8" s="3327"/>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33" t="s">
        <v>2053</v>
      </c>
      <c r="B1" s="3333"/>
      <c r="C1" s="3333"/>
      <c r="D1" s="3333"/>
    </row>
    <row r="2" spans="1:4" ht="47.25" customHeight="1">
      <c r="A2" s="3334" t="str">
        <f>"1.权利限制："&amp;项目基本情况!L24&amp;"未设定租赁等其他他项权利。"</f>
        <v>1.权利限制：根据估价对象《不动产权证书》——、《国有土地使用权》复印件，截至估价期日，估价对象抵押权未见登记。未设定租赁等其他他项权利。</v>
      </c>
      <c r="B2" s="3334"/>
      <c r="C2" s="3334"/>
      <c r="D2" s="3334"/>
    </row>
    <row r="3" spans="1:4" ht="48" customHeight="1">
      <c r="A3" s="3333"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333"/>
      <c r="C3" s="3333"/>
      <c r="D3" s="3333"/>
    </row>
    <row r="4" spans="1:4" ht="36.75" customHeight="1">
      <c r="A4" s="3333" t="str">
        <f>"3.估价规划限制条件：详见"&amp;项目基本情况!E21&amp;"。"</f>
        <v>3.估价规划限制条件：详见《建设工程规划许可证》[]、《出让合同》[]。</v>
      </c>
      <c r="B4" s="3333"/>
      <c r="C4" s="3333"/>
      <c r="D4" s="3333"/>
    </row>
    <row r="5" spans="1:4">
      <c r="A5" s="3332" t="s">
        <v>2054</v>
      </c>
      <c r="B5" s="3332"/>
      <c r="C5" s="3332"/>
      <c r="D5" s="3332"/>
    </row>
    <row r="6" spans="1:4">
      <c r="A6" s="3333" t="s">
        <v>2032</v>
      </c>
      <c r="B6" s="3333"/>
      <c r="C6" s="3333"/>
      <c r="D6" s="3333"/>
    </row>
    <row r="7" spans="1:4" ht="33" customHeight="1">
      <c r="A7" s="3333" t="s">
        <v>2555</v>
      </c>
      <c r="B7" s="3333"/>
      <c r="C7" s="3333"/>
      <c r="D7" s="3333"/>
    </row>
    <row r="8" spans="1:4" ht="32.25" customHeight="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3"/>
      <c r="C8" s="3333"/>
      <c r="D8" s="3333"/>
    </row>
    <row r="9" spans="1:4" ht="33.75" customHeight="1">
      <c r="A9" s="33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3"/>
      <c r="C9" s="3333"/>
      <c r="D9" s="3333"/>
    </row>
    <row r="10" spans="1:4">
      <c r="A10" s="3333" t="str">
        <f>IF(项目基本情况!B8="抵押","4.估价师所知悉的法定优先受偿款情况为：","——")</f>
        <v>4.估价师所知悉的法定优先受偿款情况为：</v>
      </c>
      <c r="B10" s="3333"/>
      <c r="C10" s="3333"/>
      <c r="D10" s="3333"/>
    </row>
    <row r="11" spans="1:4" ht="37.5" customHeight="1">
      <c r="A11" s="3335" t="str">
        <f>IF(项目基本情况!B8="抵押","（1）"&amp;CONCATENATE(项目基本情况!L24,项目基本情况!L25,项目基本情况!L26),"——")</f>
        <v>（1）根据估价对象《不动产权证书》——、《国有土地使用权》复印件，截至估价期日，估价对象抵押权未见登记。</v>
      </c>
      <c r="B11" s="3335"/>
      <c r="C11" s="3335"/>
      <c r="D11" s="3335"/>
    </row>
    <row r="12" spans="1:4" ht="168" customHeight="1">
      <c r="A12" s="3332" t="s">
        <v>2056</v>
      </c>
      <c r="B12" s="3332"/>
      <c r="C12" s="3332"/>
      <c r="D12" s="3332"/>
    </row>
    <row r="13" spans="1:4">
      <c r="A13" s="3336" t="s">
        <v>2726</v>
      </c>
      <c r="B13" s="3336"/>
      <c r="C13" s="3336"/>
      <c r="D13" s="3336"/>
    </row>
    <row r="14" spans="1:4">
      <c r="A14" s="3335" t="str">
        <f>IF(项目基本情况!B8="抵押","综上，"&amp;结果表!K47,"——")</f>
        <v>综上，本次评估不存在估价师知悉的法定优先受偿款</v>
      </c>
      <c r="B14" s="3335"/>
      <c r="C14" s="3335"/>
      <c r="D14" s="3335"/>
    </row>
    <row r="15" spans="1:4" ht="58.5" customHeight="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3"/>
      <c r="C15" s="3333"/>
      <c r="D15" s="3333"/>
    </row>
    <row r="16" spans="1:4" ht="70.5" customHeight="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3"/>
      <c r="C16" s="3333"/>
      <c r="D16" s="3333"/>
    </row>
    <row r="17" spans="1:4">
      <c r="A17" s="3333" t="s">
        <v>2682</v>
      </c>
      <c r="B17" s="3333"/>
      <c r="C17" s="3333"/>
      <c r="D17" s="3333"/>
    </row>
    <row r="18" spans="1:4">
      <c r="A18" s="3333" t="s">
        <v>2674</v>
      </c>
      <c r="B18" s="3333"/>
      <c r="C18" s="3333"/>
      <c r="D18" s="3333"/>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33" t="s">
        <v>2679</v>
      </c>
      <c r="B23" s="3333"/>
      <c r="C23" s="3333"/>
      <c r="D23" s="3333"/>
    </row>
    <row r="24" spans="1:4">
      <c r="A24" s="2586" t="s">
        <v>2675</v>
      </c>
      <c r="B24" s="2586" t="s">
        <v>2680</v>
      </c>
      <c r="C24" s="2586" t="s">
        <v>2677</v>
      </c>
      <c r="D24" s="2586" t="s">
        <v>2678</v>
      </c>
    </row>
    <row r="25" spans="1:4">
      <c r="A25" s="2589" t="s">
        <v>2681</v>
      </c>
      <c r="B25" s="2586" t="s">
        <v>943</v>
      </c>
      <c r="C25" s="2588"/>
      <c r="D25" s="1716" t="s">
        <v>2684</v>
      </c>
    </row>
    <row r="29" spans="1:4">
      <c r="D29" s="2587" t="s">
        <v>2027</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4" t="s">
        <v>53</v>
      </c>
      <c r="B15" s="3345" t="s">
        <v>838</v>
      </c>
      <c r="C15" s="3341"/>
    </row>
    <row r="16" spans="1:7" ht="14.25">
      <c r="A16" s="3344"/>
      <c r="B16" s="3342" t="s">
        <v>54</v>
      </c>
      <c r="C16" s="1155" t="s">
        <v>53</v>
      </c>
    </row>
    <row r="17" spans="1:3" ht="14.25">
      <c r="A17" s="3344"/>
      <c r="B17" s="3342"/>
      <c r="C17" s="1155" t="s">
        <v>55</v>
      </c>
    </row>
    <row r="18" spans="1:3" ht="14.25">
      <c r="A18" s="3344"/>
      <c r="B18" s="3342"/>
      <c r="C18" s="1155" t="s">
        <v>56</v>
      </c>
    </row>
    <row r="19" spans="1:3" ht="14.25">
      <c r="A19" s="3344"/>
      <c r="B19" s="3340" t="s">
        <v>57</v>
      </c>
      <c r="C19" s="3341"/>
    </row>
    <row r="20" spans="1:3" ht="14.25">
      <c r="A20" s="1156" t="s">
        <v>58</v>
      </c>
      <c r="B20" s="1157"/>
      <c r="C20" s="1158"/>
    </row>
    <row r="21" spans="1:3" ht="14.25">
      <c r="A21" s="3343" t="s">
        <v>59</v>
      </c>
      <c r="B21" s="3340" t="s">
        <v>60</v>
      </c>
      <c r="C21" s="3341"/>
    </row>
    <row r="22" spans="1:3" ht="14.25">
      <c r="A22" s="3343"/>
      <c r="B22" s="3340" t="s">
        <v>61</v>
      </c>
      <c r="C22" s="3341"/>
    </row>
    <row r="23" spans="1:3" ht="14.25">
      <c r="A23" s="3343"/>
      <c r="B23" s="3340" t="s">
        <v>62</v>
      </c>
      <c r="C23" s="3341"/>
    </row>
    <row r="24" spans="1:3" ht="14.25">
      <c r="A24" s="3343"/>
      <c r="B24" s="3346" t="s">
        <v>63</v>
      </c>
      <c r="C24" s="1159" t="s">
        <v>829</v>
      </c>
    </row>
    <row r="25" spans="1:3" ht="14.25">
      <c r="A25" s="3343"/>
      <c r="B25" s="3347"/>
      <c r="C25" s="1159" t="s">
        <v>830</v>
      </c>
    </row>
    <row r="26" spans="1:3" ht="14.25">
      <c r="A26" s="3343"/>
      <c r="B26" s="3347"/>
      <c r="C26" s="1159" t="s">
        <v>831</v>
      </c>
    </row>
    <row r="27" spans="1:3" ht="14.25">
      <c r="A27" s="3343"/>
      <c r="B27" s="3347"/>
      <c r="C27" s="1159" t="s">
        <v>832</v>
      </c>
    </row>
    <row r="28" spans="1:3" ht="14.25">
      <c r="A28" s="3343"/>
      <c r="B28" s="3347"/>
      <c r="C28" s="1159" t="s">
        <v>833</v>
      </c>
    </row>
    <row r="29" spans="1:3" ht="14.25">
      <c r="A29" s="3343"/>
      <c r="B29" s="3347"/>
      <c r="C29" s="1159" t="s">
        <v>834</v>
      </c>
    </row>
    <row r="30" spans="1:3" ht="14.25">
      <c r="A30" s="3343"/>
      <c r="B30" s="3347"/>
      <c r="C30" s="1159" t="s">
        <v>835</v>
      </c>
    </row>
    <row r="31" spans="1:3" ht="14.25">
      <c r="A31" s="3343"/>
      <c r="B31" s="3347"/>
      <c r="C31" s="1159" t="s">
        <v>836</v>
      </c>
    </row>
    <row r="32" spans="1:3" ht="14.25">
      <c r="A32" s="3343"/>
      <c r="B32" s="3347"/>
      <c r="C32" s="1159" t="s">
        <v>1637</v>
      </c>
    </row>
    <row r="33" spans="1:3" ht="14.25">
      <c r="A33" s="3343"/>
      <c r="B33" s="3337" t="s">
        <v>1643</v>
      </c>
      <c r="C33" s="1159" t="s">
        <v>1638</v>
      </c>
    </row>
    <row r="34" spans="1:3" ht="14.25">
      <c r="A34" s="3343"/>
      <c r="B34" s="3338"/>
      <c r="C34" s="1164" t="s">
        <v>1639</v>
      </c>
    </row>
    <row r="35" spans="1:3" ht="14.25">
      <c r="A35" s="3343"/>
      <c r="B35" s="3338"/>
      <c r="C35" s="1165" t="s">
        <v>1640</v>
      </c>
    </row>
    <row r="36" spans="1:3" ht="14.25">
      <c r="A36" s="3343"/>
      <c r="B36" s="3338"/>
      <c r="C36" s="1165" t="s">
        <v>1641</v>
      </c>
    </row>
    <row r="37" spans="1:3" ht="14.25">
      <c r="A37" s="3343"/>
      <c r="B37" s="333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44098</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2960</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51" t="s">
        <v>1915</v>
      </c>
      <c r="B17" s="3352"/>
      <c r="C17" s="3352"/>
      <c r="D17" s="3352"/>
      <c r="E17" s="3352"/>
      <c r="F17" s="3352"/>
      <c r="G17" s="3035"/>
    </row>
    <row r="18" spans="1:7" ht="20.25" customHeight="1">
      <c r="A18" s="3348" t="s">
        <v>1916</v>
      </c>
      <c r="B18" s="3348"/>
      <c r="C18" s="3349"/>
      <c r="D18" s="3350" t="s">
        <v>1917</v>
      </c>
      <c r="E18" s="3348"/>
      <c r="F18" s="3348"/>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2959</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2975</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盛嘉优时影院管理（北京）有限公司拟使用北京市北京市通州区中关村科技园通州园光机电一体化产业基地嘉创五路3号出让国有建设用地使用权作为抵押担保物，向中行西城办理贷款手续。中行西城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1974</v>
      </c>
      <c r="B52" s="1687" t="s">
        <v>1975</v>
      </c>
      <c r="C52" s="1685" t="s">
        <v>1976</v>
      </c>
      <c r="D52" s="1685" t="s">
        <v>1977</v>
      </c>
      <c r="E52" s="1686"/>
    </row>
    <row r="53" spans="1:5">
      <c r="A53" s="3353" t="s">
        <v>1978</v>
      </c>
      <c r="B53" s="1685" t="s">
        <v>1984</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c r="D53" s="1686"/>
      <c r="E53" s="1686"/>
    </row>
    <row r="54" spans="1:5">
      <c r="A54" s="3353"/>
      <c r="B54" s="1685" t="s">
        <v>1985</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53"/>
      <c r="B55" s="1685" t="s">
        <v>1979</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53"/>
      <c r="B56" s="1685" t="s">
        <v>1980</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53"/>
      <c r="B57" s="1685" t="s">
        <v>1981</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不动产收益法</vt:lpstr>
      <vt:lpstr>比较法-工业</vt:lpstr>
      <vt:lpstr>Sheet1</vt:lpstr>
      <vt:lpstr>剩余法-现房</vt:lpstr>
      <vt:lpstr>比较法-住宅、综合</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2020-09-24T08:54:47Z</dcterms:modified>
</cp:coreProperties>
</file>