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车库)" sheetId="80" r:id="rId45"/>
    <sheet name="收益法 (地下商业)" sheetId="81" r:id="rId46"/>
    <sheet name="Sheet1" sheetId="78" r:id="rId47"/>
    <sheet name="土地案例" sheetId="79"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(车库)'!$A$1:$AK$69</definedName>
    <definedName name="_xlnm.Print_Area" localSheetId="45">'收益法 (地下商业)'!$A$1:$AK$69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15" i="74" l="1"/>
  <c r="B15" i="74"/>
  <c r="H39" i="78" l="1"/>
  <c r="U8" i="1" l="1"/>
  <c r="H37" i="78" l="1"/>
  <c r="H31" i="78" l="1"/>
  <c r="H30" i="78" l="1"/>
  <c r="H36" i="78"/>
  <c r="K7" i="78" l="1"/>
  <c r="K6" i="78"/>
  <c r="J7" i="78"/>
  <c r="J6" i="78"/>
  <c r="H5" i="78"/>
  <c r="H4" i="78"/>
  <c r="H3" i="78"/>
  <c r="I4" i="78" l="1"/>
  <c r="C11" i="39" s="1"/>
  <c r="AL16" i="3"/>
  <c r="AL15" i="3"/>
  <c r="AL14" i="3"/>
  <c r="AL13" i="3"/>
  <c r="Q72" i="81" l="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F21" i="80"/>
  <c r="F20" i="80"/>
  <c r="M19" i="80"/>
  <c r="F18" i="80"/>
  <c r="F17" i="80"/>
  <c r="F15" i="80"/>
  <c r="V24" i="1"/>
  <c r="V23" i="1"/>
  <c r="V22" i="1"/>
  <c r="V21" i="1"/>
  <c r="V20" i="1"/>
  <c r="W24" i="1"/>
  <c r="W25" i="1"/>
  <c r="V25" i="1" s="1"/>
  <c r="D24" i="81" l="1"/>
  <c r="P61" i="81"/>
  <c r="D22" i="81"/>
  <c r="D23" i="80"/>
  <c r="D22" i="80"/>
  <c r="D24" i="80"/>
  <c r="P61" i="80"/>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M18" i="3"/>
  <c r="G21" i="6" s="1"/>
  <c r="K17" i="3"/>
  <c r="G20" i="6" s="1"/>
  <c r="I16" i="3"/>
  <c r="F19" i="6" s="1"/>
  <c r="I15" i="3"/>
  <c r="I14" i="3"/>
  <c r="I13" i="3"/>
  <c r="I21" i="78"/>
  <c r="J20" i="78"/>
  <c r="I20" i="78"/>
  <c r="I23" i="78" s="1"/>
  <c r="AN19" i="3" l="1"/>
  <c r="H6" i="78"/>
  <c r="A3" i="3" s="1"/>
  <c r="E85" i="78"/>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X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38" i="71"/>
  <c r="E39" i="71" s="1"/>
  <c r="U39" i="71" s="1"/>
  <c r="E42" i="71"/>
  <c r="E43" i="71"/>
  <c r="U43" i="71" s="1"/>
  <c r="E46" i="71"/>
  <c r="E47" i="71" s="1"/>
  <c r="U47" i="71" s="1"/>
  <c r="Q48" i="71"/>
  <c r="U51" i="71"/>
  <c r="E50" i="71"/>
  <c r="Q11" i="71"/>
  <c r="AB3" i="71" s="1"/>
  <c r="C38" i="71"/>
  <c r="D37" i="71"/>
  <c r="C42" i="71"/>
  <c r="D41" i="71"/>
  <c r="C46" i="71"/>
  <c r="D45" i="71"/>
  <c r="Q50"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10" i="71"/>
  <c r="E11" i="71"/>
  <c r="E10" i="71" s="1"/>
  <c r="E9" i="71"/>
  <c r="AA3" i="71"/>
  <c r="AA8" i="71"/>
  <c r="AA9" i="71"/>
  <c r="AA10" i="71"/>
  <c r="AA11" i="71"/>
  <c r="D11" i="71"/>
  <c r="U11" i="71" s="1"/>
  <c r="C49" i="71"/>
  <c r="O50" i="71"/>
  <c r="D50" i="71"/>
  <c r="C47" i="71"/>
  <c r="D46" i="71"/>
  <c r="D66" i="71"/>
  <c r="C65" i="71"/>
  <c r="D65" i="71" s="1"/>
  <c r="D58" i="71"/>
  <c r="C57" i="71"/>
  <c r="D57" i="71"/>
  <c r="D70" i="71"/>
  <c r="C69" i="71"/>
  <c r="D69" i="71" s="1"/>
  <c r="D62" i="71"/>
  <c r="C61" i="71"/>
  <c r="D61" i="71"/>
  <c r="D54" i="71"/>
  <c r="C53" i="71"/>
  <c r="D53" i="71" s="1"/>
  <c r="C43" i="71"/>
  <c r="D42" i="71"/>
  <c r="C39" i="71"/>
  <c r="D38" i="71"/>
  <c r="P50" i="71"/>
  <c r="E49" i="71"/>
  <c r="P48" i="71" s="1"/>
  <c r="C23" i="71"/>
  <c r="D22" i="71"/>
  <c r="C19" i="71"/>
  <c r="D18" i="71"/>
  <c r="C15" i="71"/>
  <c r="D14" i="71"/>
  <c r="C9" i="71"/>
  <c r="D9" i="71"/>
  <c r="D10" i="71"/>
  <c r="V11" i="71"/>
  <c r="P49" i="71"/>
  <c r="O49" i="71"/>
  <c r="D49" i="71"/>
  <c r="O48" i="71"/>
  <c r="T15" i="71"/>
  <c r="D15" i="71"/>
  <c r="T19" i="71"/>
  <c r="D19" i="71"/>
  <c r="T23" i="71"/>
  <c r="D23"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BR5" i="3"/>
  <c r="G28" i="6" s="1"/>
  <c r="AZ384" i="3"/>
  <c r="AZ392" i="3"/>
  <c r="AZ396" i="3"/>
  <c r="AZ394" i="3"/>
  <c r="AZ499" i="3"/>
  <c r="AZ509" i="3"/>
  <c r="E8" i="6"/>
  <c r="F27" i="6" s="1"/>
  <c r="G509" i="3"/>
  <c r="BL493" i="3"/>
  <c r="AZ491" i="3"/>
  <c r="AZ390" i="3"/>
  <c r="AZ493" i="3"/>
  <c r="U36" i="40"/>
  <c r="N4" i="43"/>
  <c r="F36" i="43"/>
  <c r="F81" i="43"/>
  <c r="H83" i="43" s="1"/>
  <c r="H113" i="43"/>
  <c r="F48" i="43"/>
  <c r="H52" i="43"/>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C7" i="40"/>
  <c r="C63" i="40"/>
  <c r="C65" i="40" s="1"/>
  <c r="M47" i="9"/>
  <c r="G19" i="43"/>
  <c r="C46" i="36"/>
  <c r="C59" i="34"/>
  <c r="D59" i="34" s="1"/>
  <c r="C52" i="37"/>
  <c r="D52" i="37" s="1"/>
  <c r="A4" i="51"/>
  <c r="B6" i="72" s="1"/>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0" i="49"/>
  <c r="AQ13" i="1"/>
  <c r="AZ13" i="3"/>
  <c r="M6" i="1"/>
  <c r="O6" i="1" s="1"/>
  <c r="P6" i="1" s="1"/>
  <c r="E63" i="39"/>
  <c r="T11" i="1"/>
  <c r="AQ9" i="1"/>
  <c r="AR11" i="1"/>
  <c r="E59" i="40"/>
  <c r="T9" i="1"/>
  <c r="T13" i="1"/>
  <c r="E16" i="6"/>
  <c r="C77" i="9"/>
  <c r="C74" i="9" s="1"/>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J59" i="9"/>
  <c r="J61" i="9" s="1"/>
  <c r="I106" i="43"/>
  <c r="D103" i="43"/>
  <c r="D107" i="43"/>
  <c r="C5" i="43"/>
  <c r="E58" i="21"/>
  <c r="F58" i="21" s="1"/>
  <c r="E48" i="35"/>
  <c r="F48" i="35" s="1"/>
  <c r="G48" i="35" s="1"/>
  <c r="H48" i="35" s="1"/>
  <c r="I48" i="35" s="1"/>
  <c r="D63" i="40"/>
  <c r="E63" i="40" s="1"/>
  <c r="E65" i="40" s="1"/>
  <c r="AP7" i="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G58" i="21"/>
  <c r="H58" i="21" s="1"/>
  <c r="I58" i="21" s="1"/>
  <c r="W11" i="37"/>
  <c r="W11" i="34"/>
  <c r="AC11" i="34"/>
  <c r="C13" i="12"/>
  <c r="F63" i="40"/>
  <c r="F65" i="40" s="1"/>
  <c r="AG6" i="1"/>
  <c r="H109" i="9"/>
  <c r="D124" i="9" s="1"/>
  <c r="D16" i="53"/>
  <c r="B34" i="72" s="1"/>
  <c r="J7" i="33"/>
  <c r="W7" i="33"/>
  <c r="F7" i="33"/>
  <c r="S7" i="33"/>
  <c r="H7" i="33"/>
  <c r="AB7" i="33"/>
  <c r="T48" i="33" s="1"/>
  <c r="G48" i="33" s="1"/>
  <c r="AA7" i="33"/>
  <c r="R48" i="33"/>
  <c r="R49" i="33" s="1"/>
  <c r="C48" i="33" s="1"/>
  <c r="U7" i="33"/>
  <c r="AC7" i="33"/>
  <c r="V48" i="33" s="1"/>
  <c r="I48" i="33" s="1"/>
  <c r="D59" i="9"/>
  <c r="M55" i="9" s="1"/>
  <c r="AD3" i="71"/>
  <c r="P21" i="43"/>
  <c r="P22" i="43"/>
  <c r="P23" i="43"/>
  <c r="B71" i="39" s="1"/>
  <c r="P24" i="43"/>
  <c r="B66" i="40" s="1"/>
  <c r="P25" i="43"/>
  <c r="F6" i="15"/>
  <c r="J15" i="15"/>
  <c r="D2" i="33"/>
  <c r="F43" i="67"/>
  <c r="M9" i="15"/>
  <c r="E12" i="76"/>
  <c r="M29" i="67"/>
  <c r="M29" i="15"/>
  <c r="M26" i="67"/>
  <c r="D7" i="73"/>
  <c r="F7" i="15"/>
  <c r="D35" i="9"/>
  <c r="B10" i="76"/>
  <c r="D9" i="69"/>
  <c r="E8" i="76"/>
  <c r="M28" i="15"/>
  <c r="D6" i="73"/>
  <c r="B8" i="76"/>
  <c r="M6" i="67"/>
  <c r="E7" i="76"/>
  <c r="D34" i="9"/>
  <c r="F26" i="67"/>
  <c r="E10" i="76"/>
  <c r="L48" i="15"/>
  <c r="M24" i="67"/>
  <c r="E2" i="69"/>
  <c r="F7" i="67"/>
  <c r="M23" i="15"/>
  <c r="B9" i="76"/>
  <c r="F3" i="73"/>
  <c r="E13" i="76"/>
  <c r="F4" i="73"/>
  <c r="E9" i="76"/>
  <c r="D2" i="34"/>
  <c r="F38" i="67"/>
  <c r="F36" i="67"/>
  <c r="C76" i="67"/>
  <c r="D5" i="73"/>
  <c r="D2" i="37"/>
  <c r="AO12" i="1"/>
  <c r="AO13" i="1"/>
  <c r="F9" i="15"/>
  <c r="B13" i="76"/>
  <c r="L48" i="67"/>
  <c r="F5" i="73"/>
  <c r="F38" i="15"/>
  <c r="F37" i="67"/>
  <c r="F40" i="15"/>
  <c r="M27" i="67"/>
  <c r="F7" i="73"/>
  <c r="F40" i="67"/>
  <c r="F6" i="67"/>
  <c r="F16" i="15"/>
  <c r="M24" i="15"/>
  <c r="D3" i="73"/>
  <c r="M8" i="67"/>
  <c r="F43" i="15"/>
  <c r="F37" i="15"/>
  <c r="M27" i="15"/>
  <c r="M6" i="15"/>
  <c r="D2" i="35"/>
  <c r="L47" i="67"/>
  <c r="F8" i="15"/>
  <c r="D4" i="73"/>
  <c r="F6" i="73"/>
  <c r="D2" i="21"/>
  <c r="F42" i="15"/>
  <c r="AO9" i="1"/>
  <c r="B7" i="76"/>
  <c r="B12" i="76"/>
  <c r="F20" i="31"/>
  <c r="L47" i="15"/>
  <c r="F42" i="67"/>
  <c r="M9" i="67"/>
  <c r="AO11" i="1"/>
  <c r="AO10" i="1"/>
  <c r="M22" i="67"/>
  <c r="M22" i="15"/>
  <c r="F13" i="15"/>
  <c r="D2" i="36"/>
  <c r="B11" i="76"/>
  <c r="E11" i="76"/>
  <c r="F8" i="67"/>
  <c r="F36" i="15"/>
  <c r="M28" i="67"/>
  <c r="E2" i="68"/>
  <c r="M8" i="15"/>
  <c r="M23" i="67"/>
  <c r="F26" i="15"/>
  <c r="J15" i="67"/>
  <c r="F16" i="67"/>
  <c r="M26" i="15"/>
  <c r="C76" i="15"/>
  <c r="F9" i="67"/>
  <c r="F13" i="67"/>
  <c r="F31" i="67"/>
  <c r="E11" i="49" l="1"/>
  <c r="B7" i="49"/>
  <c r="E4" i="4" s="1"/>
  <c r="B5" i="62" s="1"/>
  <c r="B73" i="72" s="1"/>
  <c r="D104" i="43"/>
  <c r="I103" i="43"/>
  <c r="I102" i="43"/>
  <c r="AZ557" i="3"/>
  <c r="AB31" i="21"/>
  <c r="U31" i="21"/>
  <c r="AC45" i="21"/>
  <c r="W45" i="21"/>
  <c r="AC9" i="34"/>
  <c r="W9" i="34"/>
  <c r="W24" i="35"/>
  <c r="AC24" i="35"/>
  <c r="W34" i="35"/>
  <c r="AC34" i="35"/>
  <c r="AB36" i="35"/>
  <c r="U36" i="35"/>
  <c r="S32" i="36"/>
  <c r="AA32" i="36"/>
  <c r="U23" i="21"/>
  <c r="C49" i="33"/>
  <c r="H110" i="9"/>
  <c r="D18" i="53" s="1"/>
  <c r="B35" i="72" s="1"/>
  <c r="G63" i="40"/>
  <c r="D68" i="39"/>
  <c r="D9" i="53"/>
  <c r="B25" i="72" s="1"/>
  <c r="B24" i="72"/>
  <c r="AZ585" i="3"/>
  <c r="S12" i="34"/>
  <c r="AA12" i="34"/>
  <c r="AB34" i="36"/>
  <c r="U34" i="36"/>
  <c r="AB33" i="36"/>
  <c r="U33" i="36"/>
  <c r="F53" i="9"/>
  <c r="F28" i="81"/>
  <c r="C28" i="81" s="1"/>
  <c r="F28" i="80"/>
  <c r="C28" i="80" s="1"/>
  <c r="F32" i="81"/>
  <c r="F60" i="81" s="1"/>
  <c r="M18" i="81"/>
  <c r="F32" i="80"/>
  <c r="F60" i="80" s="1"/>
  <c r="M18" i="80"/>
  <c r="F38" i="40"/>
  <c r="J38" i="40"/>
  <c r="H38" i="40"/>
  <c r="AZ398" i="3"/>
  <c r="AZ405" i="3"/>
  <c r="AZ407" i="3"/>
  <c r="AZ410" i="3"/>
  <c r="AZ415" i="3"/>
  <c r="AZ420" i="3"/>
  <c r="AZ426" i="3"/>
  <c r="AZ431" i="3"/>
  <c r="AZ448" i="3"/>
  <c r="AZ452" i="3"/>
  <c r="AZ461" i="3"/>
  <c r="AZ463" i="3"/>
  <c r="AZ468" i="3"/>
  <c r="AZ470" i="3"/>
  <c r="AZ479" i="3"/>
  <c r="AZ485" i="3"/>
  <c r="AZ385" i="3"/>
  <c r="AZ210" i="3"/>
  <c r="AZ225" i="3"/>
  <c r="F29" i="6"/>
  <c r="S44" i="34"/>
  <c r="U13" i="33"/>
  <c r="AB45" i="33"/>
  <c r="AA14" i="34"/>
  <c r="AB46" i="34"/>
  <c r="W11" i="36"/>
  <c r="AB11" i="35"/>
  <c r="U46" i="33"/>
  <c r="U30" i="35"/>
  <c r="H9" i="34"/>
  <c r="F34" i="35"/>
  <c r="H34" i="35"/>
  <c r="J36" i="35"/>
  <c r="J39" i="40"/>
  <c r="H39" i="40"/>
  <c r="AZ439" i="3"/>
  <c r="AZ489" i="3"/>
  <c r="AZ316" i="3"/>
  <c r="AZ332" i="3"/>
  <c r="AZ397" i="3"/>
  <c r="AZ220" i="3"/>
  <c r="AZ201" i="3"/>
  <c r="AZ207" i="3"/>
  <c r="AZ23" i="3"/>
  <c r="AZ27" i="3"/>
  <c r="AZ52" i="3"/>
  <c r="AZ56" i="3"/>
  <c r="AZ73" i="3"/>
  <c r="BL15" i="3"/>
  <c r="AZ15" i="3" s="1"/>
  <c r="AZ5" i="3" s="1"/>
  <c r="AY6" i="3" s="1"/>
  <c r="C10" i="39"/>
  <c r="F8" i="1"/>
  <c r="G8" i="1" s="1"/>
  <c r="AZ264" i="3"/>
  <c r="AZ270" i="3"/>
  <c r="AZ277" i="3"/>
  <c r="AZ298" i="3"/>
  <c r="AZ301" i="3"/>
  <c r="AZ122" i="3"/>
  <c r="AZ125" i="3"/>
  <c r="AZ64" i="3"/>
  <c r="BL19" i="3"/>
  <c r="J51" i="81"/>
  <c r="J51" i="80"/>
  <c r="BA18" i="3"/>
  <c r="AZ90" i="3"/>
  <c r="AZ92" i="3"/>
  <c r="AZ96" i="3"/>
  <c r="AZ112" i="3"/>
  <c r="D25" i="71"/>
  <c r="C26" i="71"/>
  <c r="C30" i="71"/>
  <c r="D30" i="71" s="1"/>
  <c r="D29" i="71"/>
  <c r="C34" i="71"/>
  <c r="D33" i="71"/>
  <c r="G1" i="81"/>
  <c r="G1" i="80"/>
  <c r="J51" i="15"/>
  <c r="F13" i="71"/>
  <c r="F14" i="71" s="1"/>
  <c r="F15" i="71" s="1"/>
  <c r="V15" i="71" s="1"/>
  <c r="S51" i="71"/>
  <c r="B50" i="71"/>
  <c r="AA6" i="71"/>
  <c r="X6" i="71"/>
  <c r="AA5" i="71"/>
  <c r="X5" i="71"/>
  <c r="AB11" i="71"/>
  <c r="AB9" i="71"/>
  <c r="AA14" i="71"/>
  <c r="AA7" i="71"/>
  <c r="AB7" i="71"/>
  <c r="Y5" i="71"/>
  <c r="Z5" i="71" s="1"/>
  <c r="AB5" i="71"/>
  <c r="AH10" i="43"/>
  <c r="AD10" i="43"/>
  <c r="Z10" i="43"/>
  <c r="AG10" i="43"/>
  <c r="AC10" i="43"/>
  <c r="X7" i="71"/>
  <c r="Y7" i="71"/>
  <c r="Z7" i="71" s="1"/>
  <c r="V7" i="71"/>
  <c r="B7" i="71"/>
  <c r="C7" i="71"/>
  <c r="Y6" i="71"/>
  <c r="Z6" i="71" s="1"/>
  <c r="AB6" i="71"/>
  <c r="H16" i="1"/>
  <c r="M8" i="1"/>
  <c r="AZ19" i="3"/>
  <c r="M20" i="15"/>
  <c r="F34" i="81"/>
  <c r="F62" i="81" s="1"/>
  <c r="M20" i="81"/>
  <c r="F34" i="80"/>
  <c r="F62" i="80" s="1"/>
  <c r="M20" i="80"/>
  <c r="B4" i="49"/>
  <c r="E16" i="49"/>
  <c r="E22" i="49"/>
  <c r="F99" i="39"/>
  <c r="G99" i="39" s="1"/>
  <c r="J25" i="39"/>
  <c r="H25" i="39"/>
  <c r="AB25" i="39" s="1"/>
  <c r="F25" i="39"/>
  <c r="B54" i="43"/>
  <c r="C27" i="39"/>
  <c r="W27" i="39"/>
  <c r="U25"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C94" i="9"/>
  <c r="C92" i="9"/>
  <c r="F32" i="15"/>
  <c r="F60" i="15" s="1"/>
  <c r="F31" i="12"/>
  <c r="F32" i="67"/>
  <c r="F60" i="67" s="1"/>
  <c r="F30" i="11"/>
  <c r="C48" i="11" s="1"/>
  <c r="F54" i="9"/>
  <c r="M18" i="15"/>
  <c r="F30" i="69"/>
  <c r="C48" i="69" s="1"/>
  <c r="F28" i="67"/>
  <c r="C28" i="67" s="1"/>
  <c r="F30" i="68"/>
  <c r="C30" i="68" s="1"/>
  <c r="C30" i="11"/>
  <c r="D68" i="9"/>
  <c r="C48" i="68"/>
  <c r="F28" i="15"/>
  <c r="C28" i="15" s="1"/>
  <c r="M18" i="67"/>
  <c r="F52" i="9"/>
  <c r="C40" i="68"/>
  <c r="C40" i="69"/>
  <c r="G5" i="3"/>
  <c r="B3" i="3" s="1"/>
  <c r="E302" i="3" s="1"/>
  <c r="AZ18" i="3"/>
  <c r="BA5" i="3"/>
  <c r="E27" i="6" s="1"/>
  <c r="D19" i="12"/>
  <c r="C19" i="12" s="1"/>
  <c r="F30" i="6"/>
  <c r="F31" i="6" s="1"/>
  <c r="G30" i="6"/>
  <c r="G31" i="6" s="1"/>
  <c r="E28" i="6"/>
  <c r="K14" i="1" s="1"/>
  <c r="M14" i="1" s="1"/>
  <c r="O14" i="1" s="1"/>
  <c r="P14" i="1" s="1"/>
  <c r="E29" i="6"/>
  <c r="K15" i="1" s="1"/>
  <c r="L27" i="6"/>
  <c r="M103" i="43"/>
  <c r="E106" i="43"/>
  <c r="M7" i="1"/>
  <c r="M102" i="43"/>
  <c r="BL5" i="3"/>
  <c r="Q16" i="1"/>
  <c r="E103" i="43"/>
  <c r="E66" i="39"/>
  <c r="K21" i="6"/>
  <c r="K24" i="6"/>
  <c r="M24" i="6" s="1"/>
  <c r="I24" i="6" s="1"/>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7" i="53"/>
  <c r="B36" i="72" s="1"/>
  <c r="E4" i="49"/>
  <c r="B6" i="49"/>
  <c r="E9" i="49"/>
  <c r="E21" i="49"/>
  <c r="B11" i="49"/>
  <c r="B13" i="49"/>
  <c r="C4" i="4" s="1"/>
  <c r="E6" i="49"/>
  <c r="E7" i="49"/>
  <c r="B16" i="49"/>
  <c r="B10" i="49"/>
  <c r="G16" i="1"/>
  <c r="I52" i="33"/>
  <c r="J52" i="33" s="1"/>
  <c r="G52" i="33"/>
  <c r="H52" i="33" s="1"/>
  <c r="G53" i="33"/>
  <c r="H53" i="33" s="1"/>
  <c r="E48" i="33"/>
  <c r="I53" i="33" s="1"/>
  <c r="J53" i="33" s="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C27" i="67"/>
  <c r="C27" i="15"/>
  <c r="I54" i="67"/>
  <c r="J57" i="67"/>
  <c r="J55" i="67" s="1"/>
  <c r="J58" i="67" s="1"/>
  <c r="Q50" i="67" s="1"/>
  <c r="L56" i="67"/>
  <c r="F51" i="15"/>
  <c r="F64" i="15"/>
  <c r="F68" i="67"/>
  <c r="F66" i="67"/>
  <c r="N59" i="67"/>
  <c r="L58" i="67"/>
  <c r="L59" i="67"/>
  <c r="F68" i="15"/>
  <c r="L58" i="15"/>
  <c r="N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D9" i="68"/>
  <c r="F59" i="67"/>
  <c r="C16" i="67"/>
  <c r="C14" i="67"/>
  <c r="G1" i="73"/>
  <c r="C16" i="15"/>
  <c r="C36" i="69"/>
  <c r="F59" i="15"/>
  <c r="M17" i="15"/>
  <c r="M17" i="67"/>
  <c r="C17" i="67"/>
  <c r="F31" i="15"/>
  <c r="C6" i="71" l="1"/>
  <c r="T7" i="71"/>
  <c r="D7" i="71"/>
  <c r="U7" i="71" s="1"/>
  <c r="C35" i="71"/>
  <c r="D34" i="71"/>
  <c r="AC39" i="40"/>
  <c r="W39" i="40"/>
  <c r="U34" i="35"/>
  <c r="AB34" i="35"/>
  <c r="U9" i="34"/>
  <c r="AB9" i="34"/>
  <c r="U38" i="40"/>
  <c r="AB38" i="40"/>
  <c r="AA38" i="40"/>
  <c r="S38" i="40"/>
  <c r="K19" i="6"/>
  <c r="S6" i="1" s="1"/>
  <c r="K25" i="6"/>
  <c r="M25" i="6" s="1"/>
  <c r="I25" i="6" s="1"/>
  <c r="K20" i="6"/>
  <c r="C30" i="69"/>
  <c r="S7" i="71"/>
  <c r="B6" i="71"/>
  <c r="B5" i="71" s="1"/>
  <c r="N50" i="71"/>
  <c r="B49" i="71"/>
  <c r="C27" i="71"/>
  <c r="D26" i="71"/>
  <c r="AB39" i="40"/>
  <c r="U39" i="40"/>
  <c r="AC36" i="35"/>
  <c r="W36" i="35"/>
  <c r="AA34" i="35"/>
  <c r="S34" i="35"/>
  <c r="AC38" i="40"/>
  <c r="W38" i="40"/>
  <c r="G65" i="40"/>
  <c r="H63" i="40"/>
  <c r="AI6" i="3"/>
  <c r="E148" i="3"/>
  <c r="E329" i="3"/>
  <c r="E263" i="3"/>
  <c r="E205" i="3"/>
  <c r="E366" i="3"/>
  <c r="E191" i="3"/>
  <c r="E423" i="3"/>
  <c r="E385" i="3"/>
  <c r="E510" i="3"/>
  <c r="E282" i="3"/>
  <c r="E528" i="3"/>
  <c r="F11" i="81"/>
  <c r="M11" i="81"/>
  <c r="F11" i="80"/>
  <c r="M11" i="80"/>
  <c r="M21" i="6"/>
  <c r="I21" i="6" s="1"/>
  <c r="S8" i="1"/>
  <c r="AQ6" i="1"/>
  <c r="E6" i="70"/>
  <c r="AA25" i="39"/>
  <c r="S25" i="39"/>
  <c r="AC25" i="39"/>
  <c r="W25" i="39"/>
  <c r="AA44" i="39"/>
  <c r="S44" i="39"/>
  <c r="AA17" i="39"/>
  <c r="S17" i="39"/>
  <c r="W41" i="39"/>
  <c r="AC41" i="39"/>
  <c r="AA41" i="39"/>
  <c r="F1" i="67"/>
  <c r="C9" i="68"/>
  <c r="G81" i="39"/>
  <c r="H81" i="39" s="1"/>
  <c r="I81" i="39" s="1"/>
  <c r="M20" i="6"/>
  <c r="I20" i="6" s="1"/>
  <c r="S7" i="1"/>
  <c r="AR6" i="1"/>
  <c r="S16" i="1"/>
  <c r="T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C17" i="4"/>
  <c r="B4" i="52" s="1"/>
  <c r="B43" i="72" s="1"/>
  <c r="D37" i="11"/>
  <c r="D14" i="12"/>
  <c r="M18" i="9"/>
  <c r="B118" i="9" s="1"/>
  <c r="B14" i="74" s="1"/>
  <c r="B1"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E53" i="33"/>
  <c r="F53" i="33" s="1"/>
  <c r="E52" i="33"/>
  <c r="F52" i="33" s="1"/>
  <c r="C18" i="67"/>
  <c r="C15" i="67"/>
  <c r="B40" i="1"/>
  <c r="F11" i="67"/>
  <c r="M11" i="15"/>
  <c r="M11" i="67"/>
  <c r="J10" i="67" s="1"/>
  <c r="J5" i="67" s="1"/>
  <c r="F11" i="15"/>
  <c r="P17" i="43"/>
  <c r="N17" i="43"/>
  <c r="M17" i="43"/>
  <c r="O17" i="43"/>
  <c r="Q60" i="67"/>
  <c r="Q73" i="67"/>
  <c r="J6" i="15"/>
  <c r="Q73" i="15"/>
  <c r="Q60" i="15"/>
  <c r="Q74" i="67"/>
  <c r="Q61" i="67"/>
  <c r="C49" i="15"/>
  <c r="F27" i="68"/>
  <c r="M22" i="81"/>
  <c r="F13" i="80"/>
  <c r="M28" i="81"/>
  <c r="C14" i="15"/>
  <c r="F7" i="80"/>
  <c r="F37" i="80"/>
  <c r="F36" i="81"/>
  <c r="F36" i="80"/>
  <c r="F9" i="80"/>
  <c r="L47" i="81"/>
  <c r="M23" i="80"/>
  <c r="J15" i="81"/>
  <c r="L48" i="81"/>
  <c r="M27" i="81"/>
  <c r="M8" i="81"/>
  <c r="M28" i="80"/>
  <c r="C17" i="15"/>
  <c r="M8" i="80"/>
  <c r="F6" i="80"/>
  <c r="F6" i="81"/>
  <c r="F26" i="81"/>
  <c r="M23" i="81"/>
  <c r="M29" i="80"/>
  <c r="F8" i="80"/>
  <c r="F13" i="81"/>
  <c r="F40" i="81"/>
  <c r="F8" i="81"/>
  <c r="C76" i="81"/>
  <c r="M27" i="80"/>
  <c r="M6" i="81"/>
  <c r="F37" i="81"/>
  <c r="J15" i="80"/>
  <c r="L48" i="80"/>
  <c r="F42" i="80"/>
  <c r="M29" i="81"/>
  <c r="M22" i="80"/>
  <c r="F16" i="80"/>
  <c r="F43" i="80"/>
  <c r="M24" i="80"/>
  <c r="F38" i="80"/>
  <c r="M9" i="81"/>
  <c r="F42" i="81"/>
  <c r="F16" i="81"/>
  <c r="F26" i="80"/>
  <c r="M9" i="80"/>
  <c r="F43" i="81"/>
  <c r="L47" i="80"/>
  <c r="M26" i="81"/>
  <c r="F9" i="81"/>
  <c r="M6" i="80"/>
  <c r="F27" i="69"/>
  <c r="C76" i="80"/>
  <c r="F38" i="81"/>
  <c r="F40" i="80"/>
  <c r="M24" i="81"/>
  <c r="C34" i="69"/>
  <c r="F7" i="81"/>
  <c r="M26" i="80"/>
  <c r="Q71" i="80" l="1"/>
  <c r="C6" i="80"/>
  <c r="C10" i="80" s="1"/>
  <c r="C5" i="80" s="1"/>
  <c r="C27" i="80"/>
  <c r="F64" i="80"/>
  <c r="F65" i="80"/>
  <c r="L57" i="80"/>
  <c r="L60" i="80"/>
  <c r="L56" i="80"/>
  <c r="J60" i="80"/>
  <c r="Q48" i="80" s="1"/>
  <c r="I54" i="80"/>
  <c r="J57" i="80"/>
  <c r="J55" i="80" s="1"/>
  <c r="J58" i="80" s="1"/>
  <c r="Q50" i="80" s="1"/>
  <c r="J59" i="80"/>
  <c r="M7" i="80"/>
  <c r="J6" i="80" s="1"/>
  <c r="J10" i="80" s="1"/>
  <c r="J5" i="80" s="1"/>
  <c r="F50" i="80"/>
  <c r="F68" i="80"/>
  <c r="M7" i="81"/>
  <c r="F50" i="81"/>
  <c r="F51" i="81"/>
  <c r="L57" i="81"/>
  <c r="L60" i="81"/>
  <c r="L56" i="81"/>
  <c r="J60" i="81"/>
  <c r="Q48" i="81" s="1"/>
  <c r="J57" i="81"/>
  <c r="J55" i="81" s="1"/>
  <c r="J58" i="81" s="1"/>
  <c r="Q50" i="81" s="1"/>
  <c r="I54" i="81"/>
  <c r="J59" i="81"/>
  <c r="C27" i="81"/>
  <c r="F68" i="81"/>
  <c r="F65" i="81"/>
  <c r="Q71" i="81"/>
  <c r="F71" i="80"/>
  <c r="F51" i="80"/>
  <c r="L58" i="80"/>
  <c r="N59" i="80"/>
  <c r="F66" i="80"/>
  <c r="F71" i="81"/>
  <c r="J6" i="81"/>
  <c r="C6" i="81"/>
  <c r="C10" i="81" s="1"/>
  <c r="C5" i="81" s="1"/>
  <c r="F66" i="81"/>
  <c r="L58" i="81"/>
  <c r="N59" i="81"/>
  <c r="F64" i="81"/>
  <c r="J10" i="81"/>
  <c r="J5" i="81" s="1"/>
  <c r="J24" i="81" s="1"/>
  <c r="I63" i="40"/>
  <c r="H65" i="40"/>
  <c r="N48" i="71"/>
  <c r="N49" i="71"/>
  <c r="D27" i="71"/>
  <c r="T27" i="71"/>
  <c r="D35" i="71"/>
  <c r="T35" i="71"/>
  <c r="C5" i="71"/>
  <c r="D5" i="71" s="1"/>
  <c r="D6" i="71"/>
  <c r="E7" i="70"/>
  <c r="E2" i="70" s="1"/>
  <c r="E8" i="70"/>
  <c r="F24" i="80"/>
  <c r="C24" i="80" s="1"/>
  <c r="F24" i="81"/>
  <c r="C53" i="81"/>
  <c r="C53" i="80"/>
  <c r="AR8" i="1"/>
  <c r="T8" i="1"/>
  <c r="AQ8" i="1"/>
  <c r="C15" i="15"/>
  <c r="C18" i="15"/>
  <c r="J81" i="39"/>
  <c r="C38" i="69"/>
  <c r="C35" i="69"/>
  <c r="AR7" i="1"/>
  <c r="AQ7" i="1"/>
  <c r="T7" i="1"/>
  <c r="H22" i="6"/>
  <c r="H23" i="6"/>
  <c r="O16" i="1"/>
  <c r="C7" i="74"/>
  <c r="H6" i="3"/>
  <c r="E6" i="3" s="1"/>
  <c r="L16" i="1"/>
  <c r="N16" i="1"/>
  <c r="B21" i="1" s="1"/>
  <c r="C29" i="68" s="1"/>
  <c r="D27" i="68" s="1"/>
  <c r="D10" i="11"/>
  <c r="C10" i="11" s="1"/>
  <c r="D20" i="12"/>
  <c r="C20" i="12" s="1"/>
  <c r="D19" i="6"/>
  <c r="D26" i="6"/>
  <c r="R26" i="6" s="1"/>
  <c r="C18" i="4"/>
  <c r="D8" i="6"/>
  <c r="D23" i="6"/>
  <c r="D14" i="6"/>
  <c r="D6" i="6"/>
  <c r="D9" i="6"/>
  <c r="D10" i="6"/>
  <c r="D29" i="6"/>
  <c r="M19" i="9"/>
  <c r="C118" i="9" s="1"/>
  <c r="C14" i="74" s="1"/>
  <c r="B2" i="74" s="1"/>
  <c r="D25" i="6"/>
  <c r="R25" i="6" s="1"/>
  <c r="D15" i="6"/>
  <c r="D22" i="6"/>
  <c r="D21" i="6"/>
  <c r="R21" i="6" s="1"/>
  <c r="R8" i="1" s="1"/>
  <c r="D24" i="6"/>
  <c r="R24" i="6" s="1"/>
  <c r="D20" i="6"/>
  <c r="R20" i="6" s="1"/>
  <c r="R7" i="1" s="1"/>
  <c r="D5" i="6"/>
  <c r="D12" i="6"/>
  <c r="D11" i="6"/>
  <c r="D13" i="6"/>
  <c r="D28" i="6"/>
  <c r="D30" i="6" s="1"/>
  <c r="E61" i="40"/>
  <c r="C47" i="69"/>
  <c r="D45" i="69" s="1"/>
  <c r="C29" i="69"/>
  <c r="D27" i="69" s="1"/>
  <c r="R22" i="6"/>
  <c r="C20" i="11"/>
  <c r="D17" i="12"/>
  <c r="C17" i="12" s="1"/>
  <c r="C47" i="11"/>
  <c r="D45" i="11" s="1"/>
  <c r="C29" i="11"/>
  <c r="D27" i="11"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F7" i="36"/>
  <c r="G42" i="35"/>
  <c r="H42" i="35" s="1"/>
  <c r="G43" i="35"/>
  <c r="H43" i="35" s="1"/>
  <c r="R49" i="21"/>
  <c r="E48" i="21"/>
  <c r="I53" i="21" s="1"/>
  <c r="J53" i="21" s="1"/>
  <c r="C19" i="67"/>
  <c r="C20" i="67" s="1"/>
  <c r="J24" i="67"/>
  <c r="J18" i="67"/>
  <c r="J26" i="67"/>
  <c r="J10" i="15"/>
  <c r="J5" i="15" s="1"/>
  <c r="C53" i="67"/>
  <c r="C48" i="67" s="1"/>
  <c r="C10" i="67"/>
  <c r="C5" i="67" s="1"/>
  <c r="C53" i="15"/>
  <c r="C48" i="15" s="1"/>
  <c r="C10" i="15"/>
  <c r="C5" i="15" s="1"/>
  <c r="F24" i="15"/>
  <c r="C24" i="15" s="1"/>
  <c r="F22" i="11"/>
  <c r="F22" i="69"/>
  <c r="F24" i="67"/>
  <c r="C24" i="67" s="1"/>
  <c r="F25" i="12"/>
  <c r="F22" i="68"/>
  <c r="D10" i="68"/>
  <c r="F41" i="67"/>
  <c r="D10" i="69"/>
  <c r="C14" i="80"/>
  <c r="F59" i="81"/>
  <c r="C17" i="81"/>
  <c r="C17" i="80"/>
  <c r="M17" i="80"/>
  <c r="C16" i="80"/>
  <c r="C14" i="81"/>
  <c r="F31" i="80"/>
  <c r="F59" i="80"/>
  <c r="F31" i="81"/>
  <c r="M17" i="81"/>
  <c r="C16" i="81"/>
  <c r="J18" i="81" l="1"/>
  <c r="J26" i="81"/>
  <c r="C49" i="80"/>
  <c r="C48" i="80" s="1"/>
  <c r="L46" i="81"/>
  <c r="C49" i="81"/>
  <c r="C48" i="81" s="1"/>
  <c r="J18" i="80"/>
  <c r="J26" i="80"/>
  <c r="J24" i="80"/>
  <c r="M20" i="43"/>
  <c r="C19" i="43" s="1"/>
  <c r="T5" i="43" s="1"/>
  <c r="V5" i="43" s="1"/>
  <c r="J63" i="40"/>
  <c r="I65" i="40"/>
  <c r="Q73" i="81"/>
  <c r="Q60" i="81"/>
  <c r="Q60" i="80"/>
  <c r="Q73" i="80"/>
  <c r="L46" i="80"/>
  <c r="Q57" i="80"/>
  <c r="Q66" i="80"/>
  <c r="T3" i="43"/>
  <c r="V3" i="43" s="1"/>
  <c r="T7" i="43"/>
  <c r="V7" i="43" s="1"/>
  <c r="Q66" i="81"/>
  <c r="Q57" i="81"/>
  <c r="C28" i="11"/>
  <c r="C27" i="11" s="1"/>
  <c r="C18" i="80"/>
  <c r="C15" i="80"/>
  <c r="C15" i="81"/>
  <c r="C18" i="81"/>
  <c r="B24" i="1"/>
  <c r="F50" i="69" s="1"/>
  <c r="B23" i="1"/>
  <c r="T16" i="1"/>
  <c r="C38" i="81"/>
  <c r="C33" i="81"/>
  <c r="C32" i="81"/>
  <c r="C24" i="81"/>
  <c r="C38" i="80"/>
  <c r="C33" i="80"/>
  <c r="C32" i="80"/>
  <c r="C19" i="15"/>
  <c r="R23" i="6"/>
  <c r="F69" i="67"/>
  <c r="J29" i="67"/>
  <c r="K81" i="39"/>
  <c r="L81" i="39" s="1"/>
  <c r="M81" i="39" s="1"/>
  <c r="D16" i="6"/>
  <c r="D27" i="6"/>
  <c r="D31" i="6" s="1"/>
  <c r="F50" i="11"/>
  <c r="D7" i="74"/>
  <c r="D19" i="68"/>
  <c r="C10" i="68"/>
  <c r="B29" i="1" s="1"/>
  <c r="C8" i="68" s="1"/>
  <c r="A7" i="51"/>
  <c r="B7" i="72" s="1"/>
  <c r="A10" i="51"/>
  <c r="B9" i="72" s="1"/>
  <c r="C4" i="52"/>
  <c r="B45" i="72" s="1"/>
  <c r="C10" i="69"/>
  <c r="C8" i="69" s="1"/>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18" i="15"/>
  <c r="C26" i="68"/>
  <c r="D22" i="68" s="1"/>
  <c r="C44" i="68"/>
  <c r="D41" i="68" s="1"/>
  <c r="C26" i="11"/>
  <c r="D22" i="11" s="1"/>
  <c r="C24" i="11"/>
  <c r="C25" i="11"/>
  <c r="C44" i="11"/>
  <c r="D41" i="11" s="1"/>
  <c r="C23" i="11"/>
  <c r="C32" i="15"/>
  <c r="C38" i="15"/>
  <c r="C66" i="67"/>
  <c r="C60" i="67"/>
  <c r="C26" i="67"/>
  <c r="C26" i="69"/>
  <c r="D22" i="69" s="1"/>
  <c r="C44" i="69"/>
  <c r="D41" i="69" s="1"/>
  <c r="C32" i="67"/>
  <c r="C38" i="67"/>
  <c r="C23" i="67"/>
  <c r="C20" i="15" l="1"/>
  <c r="C26" i="15" s="1"/>
  <c r="C60" i="80"/>
  <c r="C66" i="80"/>
  <c r="C66" i="81"/>
  <c r="C60" i="81"/>
  <c r="T4" i="43"/>
  <c r="V4" i="43" s="1"/>
  <c r="T6" i="43"/>
  <c r="V6" i="43" s="1"/>
  <c r="J65" i="40"/>
  <c r="K63" i="40"/>
  <c r="C29" i="43"/>
  <c r="C39" i="43"/>
  <c r="C37" i="43"/>
  <c r="C35" i="43"/>
  <c r="T11" i="43"/>
  <c r="V11" i="43" s="1"/>
  <c r="T9" i="43"/>
  <c r="V9" i="43" s="1"/>
  <c r="T13" i="43"/>
  <c r="V13" i="43" s="1"/>
  <c r="T12" i="43"/>
  <c r="V12" i="43" s="1"/>
  <c r="T10" i="43"/>
  <c r="V10" i="43" s="1"/>
  <c r="C33" i="43"/>
  <c r="C38" i="43"/>
  <c r="C36" i="43"/>
  <c r="C34" i="43"/>
  <c r="T14" i="43"/>
  <c r="V14" i="43" s="1"/>
  <c r="T8" i="43"/>
  <c r="V8" i="43" s="1"/>
  <c r="T16" i="43"/>
  <c r="V16" i="43" s="1"/>
  <c r="T15" i="43"/>
  <c r="V15" i="43" s="1"/>
  <c r="T2" i="43"/>
  <c r="V2" i="43" s="1"/>
  <c r="F50" i="68"/>
  <c r="C29" i="67"/>
  <c r="C23" i="15"/>
  <c r="C29" i="15" s="1"/>
  <c r="Q49" i="15" s="1"/>
  <c r="C19" i="81"/>
  <c r="C20" i="81" s="1"/>
  <c r="C26" i="81" s="1"/>
  <c r="C19" i="80"/>
  <c r="C20" i="80" s="1"/>
  <c r="C26" i="80" s="1"/>
  <c r="M59" i="81"/>
  <c r="L59" i="81" s="1"/>
  <c r="J53" i="80"/>
  <c r="J53" i="81"/>
  <c r="M59" i="80"/>
  <c r="L59" i="80" s="1"/>
  <c r="F34" i="11"/>
  <c r="F34" i="68"/>
  <c r="C36" i="68" s="1"/>
  <c r="F11" i="12"/>
  <c r="C14" i="12" s="1"/>
  <c r="C16" i="12" s="1"/>
  <c r="J53" i="15"/>
  <c r="M59" i="67"/>
  <c r="M59" i="15"/>
  <c r="L59" i="15" s="1"/>
  <c r="C29" i="12"/>
  <c r="D28" i="12" s="1"/>
  <c r="C26" i="12"/>
  <c r="D25" i="12" s="1"/>
  <c r="C18" i="12"/>
  <c r="C21" i="12" s="1"/>
  <c r="C19" i="69"/>
  <c r="D37" i="69"/>
  <c r="C37" i="69" s="1"/>
  <c r="C33" i="69" s="1"/>
  <c r="I6" i="6"/>
  <c r="I5" i="6"/>
  <c r="D37" i="68"/>
  <c r="C19" i="68"/>
  <c r="H27" i="6"/>
  <c r="R19" i="6"/>
  <c r="I52" i="37"/>
  <c r="U7" i="36"/>
  <c r="AB7" i="36"/>
  <c r="T36" i="36" s="1"/>
  <c r="G36" i="36" s="1"/>
  <c r="I59" i="34"/>
  <c r="AC7" i="36"/>
  <c r="V36" i="36" s="1"/>
  <c r="I36" i="36" s="1"/>
  <c r="W7" i="36"/>
  <c r="R37" i="36"/>
  <c r="E36" i="36"/>
  <c r="I68" i="39"/>
  <c r="H70" i="39"/>
  <c r="C22" i="11"/>
  <c r="C31" i="11" s="1"/>
  <c r="C13" i="67"/>
  <c r="J19" i="67"/>
  <c r="C36" i="67"/>
  <c r="C33" i="67"/>
  <c r="C57" i="67"/>
  <c r="J14" i="67"/>
  <c r="Q49" i="67"/>
  <c r="J59" i="67"/>
  <c r="J60" i="67" s="1"/>
  <c r="J19" i="15"/>
  <c r="C33" i="15"/>
  <c r="C13" i="15"/>
  <c r="J59" i="15"/>
  <c r="J60" i="15" s="1"/>
  <c r="C34" i="68"/>
  <c r="E36" i="43" l="1"/>
  <c r="G36" i="43"/>
  <c r="I36" i="43" s="1"/>
  <c r="E33" i="43"/>
  <c r="G33" i="43"/>
  <c r="I33" i="43" s="1"/>
  <c r="E35" i="43"/>
  <c r="G35" i="43"/>
  <c r="I35" i="43" s="1"/>
  <c r="E39" i="43"/>
  <c r="G39" i="43"/>
  <c r="I39" i="43" s="1"/>
  <c r="L63" i="40"/>
  <c r="K65" i="40"/>
  <c r="E34" i="43"/>
  <c r="G34" i="43"/>
  <c r="I34" i="43" s="1"/>
  <c r="E38" i="43"/>
  <c r="G38" i="43"/>
  <c r="I38" i="43" s="1"/>
  <c r="E37" i="43"/>
  <c r="G37" i="43"/>
  <c r="I37" i="43" s="1"/>
  <c r="E29" i="43"/>
  <c r="C26" i="43" s="1"/>
  <c r="C30" i="43"/>
  <c r="E30" i="43" s="1"/>
  <c r="C27" i="43" s="1"/>
  <c r="C36" i="15"/>
  <c r="J14" i="15"/>
  <c r="J22" i="15" s="1"/>
  <c r="C57" i="15"/>
  <c r="C64" i="15" s="1"/>
  <c r="C37" i="68"/>
  <c r="C23" i="80"/>
  <c r="C29" i="80" s="1"/>
  <c r="C57" i="80" s="1"/>
  <c r="C23" i="81"/>
  <c r="C29" i="81" s="1"/>
  <c r="C57" i="81" s="1"/>
  <c r="C64" i="81" s="1"/>
  <c r="C38" i="68"/>
  <c r="C35" i="68"/>
  <c r="C36" i="11"/>
  <c r="C37" i="11"/>
  <c r="C34" i="11"/>
  <c r="Q52" i="81"/>
  <c r="F1" i="81"/>
  <c r="Q74" i="81"/>
  <c r="Q61" i="81"/>
  <c r="Q74" i="15"/>
  <c r="Q61" i="15"/>
  <c r="Q52" i="15"/>
  <c r="F1" i="15"/>
  <c r="Q61" i="80"/>
  <c r="Q74" i="80"/>
  <c r="F1" i="80"/>
  <c r="Q52" i="80"/>
  <c r="C22" i="12"/>
  <c r="J11" i="39"/>
  <c r="H11" i="39"/>
  <c r="F11" i="39"/>
  <c r="R27" i="6"/>
  <c r="R6" i="1"/>
  <c r="C24" i="68"/>
  <c r="C39" i="69"/>
  <c r="C42" i="69"/>
  <c r="C24" i="69"/>
  <c r="J68" i="39"/>
  <c r="I70" i="39"/>
  <c r="E40" i="36"/>
  <c r="F40" i="36" s="1"/>
  <c r="E41" i="36"/>
  <c r="F41" i="36" s="1"/>
  <c r="J52" i="37"/>
  <c r="C37" i="36"/>
  <c r="B2" i="36" s="1"/>
  <c r="B3" i="36" s="1"/>
  <c r="C36" i="36"/>
  <c r="I40" i="36"/>
  <c r="J40" i="36" s="1"/>
  <c r="I41" i="36"/>
  <c r="J41" i="36" s="1"/>
  <c r="J59" i="34"/>
  <c r="G40" i="36"/>
  <c r="H40" i="36" s="1"/>
  <c r="G41" i="36"/>
  <c r="H41" i="36" s="1"/>
  <c r="Q48" i="15"/>
  <c r="C61" i="15"/>
  <c r="Q48" i="67"/>
  <c r="J13" i="67"/>
  <c r="J23" i="67" s="1"/>
  <c r="J22" i="67"/>
  <c r="C37" i="15"/>
  <c r="Q70" i="15"/>
  <c r="C56" i="15"/>
  <c r="C65" i="15" s="1"/>
  <c r="C75" i="15"/>
  <c r="C64" i="67"/>
  <c r="C61" i="67"/>
  <c r="C75" i="67"/>
  <c r="Q70" i="67"/>
  <c r="C37" i="67"/>
  <c r="C56" i="67"/>
  <c r="C65" i="67" s="1"/>
  <c r="F35" i="67"/>
  <c r="M21" i="80"/>
  <c r="F35" i="81"/>
  <c r="M21" i="67"/>
  <c r="M21" i="15"/>
  <c r="M21" i="81"/>
  <c r="E6" i="76"/>
  <c r="AE6" i="1"/>
  <c r="F35" i="15"/>
  <c r="F35" i="80"/>
  <c r="AE8" i="1"/>
  <c r="AE7" i="1"/>
  <c r="J13" i="15" l="1"/>
  <c r="J23" i="15" s="1"/>
  <c r="E2" i="76"/>
  <c r="B2" i="43"/>
  <c r="L65" i="40"/>
  <c r="M63" i="40"/>
  <c r="C13" i="81"/>
  <c r="Q70" i="81" s="1"/>
  <c r="C61" i="81"/>
  <c r="C36" i="80"/>
  <c r="Q49" i="80"/>
  <c r="J19" i="80"/>
  <c r="C33" i="68"/>
  <c r="C39" i="68" s="1"/>
  <c r="J14" i="80"/>
  <c r="J22" i="80" s="1"/>
  <c r="C13" i="80"/>
  <c r="C75" i="80" s="1"/>
  <c r="C36" i="81"/>
  <c r="J14" i="81"/>
  <c r="Q49" i="81"/>
  <c r="J19" i="81"/>
  <c r="J13" i="80"/>
  <c r="J23" i="80" s="1"/>
  <c r="C64" i="80"/>
  <c r="C61" i="80"/>
  <c r="C35" i="11"/>
  <c r="C38" i="11"/>
  <c r="F63" i="81"/>
  <c r="C62" i="81" s="1"/>
  <c r="C34" i="81"/>
  <c r="C31" i="81" s="1"/>
  <c r="J20" i="81"/>
  <c r="J20" i="80"/>
  <c r="F63" i="80"/>
  <c r="C62" i="80" s="1"/>
  <c r="C34" i="80"/>
  <c r="C31" i="80" s="1"/>
  <c r="AB11" i="39"/>
  <c r="U11" i="39"/>
  <c r="S11" i="39"/>
  <c r="AA11" i="39"/>
  <c r="AC11" i="39"/>
  <c r="W11" i="39"/>
  <c r="J20" i="67"/>
  <c r="J17" i="67" s="1"/>
  <c r="J16" i="67" s="1"/>
  <c r="J25" i="67" s="1"/>
  <c r="F63" i="67"/>
  <c r="C62" i="67" s="1"/>
  <c r="C59" i="67" s="1"/>
  <c r="C58" i="67" s="1"/>
  <c r="C67" i="67" s="1"/>
  <c r="C68" i="67" s="1"/>
  <c r="C34" i="67"/>
  <c r="C31" i="67" s="1"/>
  <c r="C30" i="67" s="1"/>
  <c r="C39" i="67" s="1"/>
  <c r="J20" i="15"/>
  <c r="J17" i="15" s="1"/>
  <c r="J16" i="15" s="1"/>
  <c r="J25" i="15" s="1"/>
  <c r="C34" i="15"/>
  <c r="C31" i="15" s="1"/>
  <c r="C30" i="15" s="1"/>
  <c r="C39" i="15" s="1"/>
  <c r="F63" i="15"/>
  <c r="C62" i="15" s="1"/>
  <c r="C59" i="15" s="1"/>
  <c r="C58" i="15" s="1"/>
  <c r="C67" i="15" s="1"/>
  <c r="R16" i="1"/>
  <c r="C46" i="69"/>
  <c r="C45" i="69" s="1"/>
  <c r="C43" i="69"/>
  <c r="C41" i="69" s="1"/>
  <c r="K59" i="34"/>
  <c r="K52" i="37"/>
  <c r="K68" i="39"/>
  <c r="J70" i="39"/>
  <c r="L51" i="15"/>
  <c r="B6" i="76"/>
  <c r="F41" i="15"/>
  <c r="L51" i="67"/>
  <c r="F41" i="80"/>
  <c r="F41" i="81"/>
  <c r="B2" i="76" l="1"/>
  <c r="B3" i="76" s="1"/>
  <c r="N63" i="40"/>
  <c r="M65" i="40"/>
  <c r="B3" i="43"/>
  <c r="C33" i="11"/>
  <c r="C59" i="80"/>
  <c r="C56" i="81"/>
  <c r="C65" i="81" s="1"/>
  <c r="C37" i="81"/>
  <c r="C30" i="81" s="1"/>
  <c r="C39" i="81" s="1"/>
  <c r="C75" i="81"/>
  <c r="J17" i="80"/>
  <c r="J16" i="80" s="1"/>
  <c r="J25" i="80" s="1"/>
  <c r="J17" i="81"/>
  <c r="J29" i="80"/>
  <c r="F69" i="80"/>
  <c r="J29" i="15"/>
  <c r="F69" i="15"/>
  <c r="C68" i="15" s="1"/>
  <c r="C71" i="15" s="1"/>
  <c r="J29" i="81"/>
  <c r="F69" i="81"/>
  <c r="C40" i="15"/>
  <c r="C43" i="15" s="1"/>
  <c r="C37" i="80"/>
  <c r="C30" i="80" s="1"/>
  <c r="C39" i="80" s="1"/>
  <c r="Q69" i="80" s="1"/>
  <c r="C59" i="81"/>
  <c r="C56" i="80"/>
  <c r="C65" i="80" s="1"/>
  <c r="C42" i="68"/>
  <c r="C43" i="68"/>
  <c r="C46" i="68"/>
  <c r="C45" i="68" s="1"/>
  <c r="Q70" i="80"/>
  <c r="J22" i="81"/>
  <c r="J13" i="81"/>
  <c r="J23" i="81" s="1"/>
  <c r="C39" i="11"/>
  <c r="C43" i="11" s="1"/>
  <c r="C42" i="11"/>
  <c r="C80" i="15"/>
  <c r="C79" i="15" s="1"/>
  <c r="Q69" i="15"/>
  <c r="Q68" i="15" s="1"/>
  <c r="Q69" i="67"/>
  <c r="Q68" i="67" s="1"/>
  <c r="C80" i="67"/>
  <c r="C79" i="67" s="1"/>
  <c r="C40" i="67"/>
  <c r="C43" i="67" s="1"/>
  <c r="C49" i="69"/>
  <c r="C51" i="69" s="1"/>
  <c r="L52" i="37"/>
  <c r="L68" i="39"/>
  <c r="K70" i="39"/>
  <c r="L59" i="34"/>
  <c r="Q67" i="15"/>
  <c r="L57" i="15"/>
  <c r="L60" i="15" s="1"/>
  <c r="L46" i="15" s="1"/>
  <c r="Q67" i="67"/>
  <c r="L57" i="67"/>
  <c r="L60" i="67" s="1"/>
  <c r="L46" i="67" s="1"/>
  <c r="C71" i="67"/>
  <c r="L51" i="81"/>
  <c r="L51" i="80"/>
  <c r="N65" i="40" l="1"/>
  <c r="O63" i="40"/>
  <c r="O65" i="40" s="1"/>
  <c r="C46" i="11"/>
  <c r="C45" i="11" s="1"/>
  <c r="C58" i="80"/>
  <c r="C67" i="80" s="1"/>
  <c r="C58" i="81"/>
  <c r="C67" i="81" s="1"/>
  <c r="C68" i="81" s="1"/>
  <c r="C71" i="81" s="1"/>
  <c r="Q47" i="15"/>
  <c r="Q53" i="15" s="1"/>
  <c r="C80" i="81"/>
  <c r="C79" i="81" s="1"/>
  <c r="Q69" i="81"/>
  <c r="Q68" i="81" s="1"/>
  <c r="C83" i="15"/>
  <c r="C82" i="15" s="1"/>
  <c r="C46" i="15"/>
  <c r="Q56" i="15"/>
  <c r="Q65" i="15"/>
  <c r="B2" i="15"/>
  <c r="C8" i="12" s="1"/>
  <c r="C68" i="80"/>
  <c r="C71" i="80" s="1"/>
  <c r="C40" i="80"/>
  <c r="B2" i="80" s="1"/>
  <c r="D8" i="12" s="1"/>
  <c r="Q68" i="80"/>
  <c r="C41" i="68"/>
  <c r="C49" i="68" s="1"/>
  <c r="C51" i="68" s="1"/>
  <c r="C45" i="67"/>
  <c r="C46" i="67" s="1"/>
  <c r="D2" i="67"/>
  <c r="B2" i="67" s="1"/>
  <c r="C80" i="80"/>
  <c r="C79" i="80" s="1"/>
  <c r="C40" i="81"/>
  <c r="B2" i="81" s="1"/>
  <c r="E8" i="12" s="1"/>
  <c r="J16" i="81"/>
  <c r="J25" i="81" s="1"/>
  <c r="C41" i="11"/>
  <c r="C49" i="11" s="1"/>
  <c r="C51" i="11" s="1"/>
  <c r="Q67" i="81"/>
  <c r="Q67" i="80"/>
  <c r="Q47" i="67"/>
  <c r="Q53" i="67" s="1"/>
  <c r="Q56" i="67"/>
  <c r="C83" i="67"/>
  <c r="C82" i="67" s="1"/>
  <c r="Q65" i="67"/>
  <c r="M68" i="39"/>
  <c r="L70" i="39"/>
  <c r="M59" i="34"/>
  <c r="M52" i="37"/>
  <c r="Q66" i="67"/>
  <c r="Q57" i="67"/>
  <c r="Q57" i="15"/>
  <c r="Q66" i="15"/>
  <c r="AO8" i="1"/>
  <c r="AO6" i="1"/>
  <c r="AO7" i="1"/>
  <c r="H7" i="40" l="1"/>
  <c r="F7" i="40"/>
  <c r="J7" i="40"/>
  <c r="Q47" i="80"/>
  <c r="Q53" i="80" s="1"/>
  <c r="Q47" i="81"/>
  <c r="Q53" i="81" s="1"/>
  <c r="Q75" i="15"/>
  <c r="Q62" i="15"/>
  <c r="B3" i="15"/>
  <c r="C6" i="12" s="1"/>
  <c r="Q56" i="80"/>
  <c r="Q62" i="80" s="1"/>
  <c r="C46" i="80"/>
  <c r="C43" i="80"/>
  <c r="B3" i="67"/>
  <c r="C83" i="80"/>
  <c r="C82" i="80" s="1"/>
  <c r="Q65" i="80"/>
  <c r="Q75" i="80" s="1"/>
  <c r="C83" i="81"/>
  <c r="C82" i="81" s="1"/>
  <c r="Q75" i="67"/>
  <c r="Q56" i="81"/>
  <c r="Q62" i="81" s="1"/>
  <c r="C46" i="81"/>
  <c r="C43" i="81"/>
  <c r="Q65" i="81"/>
  <c r="Q75" i="81" s="1"/>
  <c r="C4" i="12"/>
  <c r="C23" i="12" s="1"/>
  <c r="C30" i="12" s="1"/>
  <c r="C28" i="12" s="1"/>
  <c r="C52" i="11"/>
  <c r="B2" i="11" s="1"/>
  <c r="B3" i="11" s="1"/>
  <c r="B8" i="70"/>
  <c r="B3" i="81"/>
  <c r="E6" i="12" s="1"/>
  <c r="B7" i="70"/>
  <c r="B3" i="80"/>
  <c r="D6" i="12" s="1"/>
  <c r="Q62" i="67"/>
  <c r="B6" i="70"/>
  <c r="N68" i="39"/>
  <c r="M70" i="39"/>
  <c r="N52" i="37"/>
  <c r="O52" i="37" s="1"/>
  <c r="N59" i="34"/>
  <c r="O59" i="34" s="1"/>
  <c r="H7" i="34" l="1"/>
  <c r="H7" i="37"/>
  <c r="AA7" i="40"/>
  <c r="R42" i="40" s="1"/>
  <c r="S7" i="40"/>
  <c r="AC7" i="40"/>
  <c r="V42" i="40" s="1"/>
  <c r="I42" i="40" s="1"/>
  <c r="W7" i="40"/>
  <c r="U7" i="40"/>
  <c r="AB7" i="40"/>
  <c r="T42" i="40" s="1"/>
  <c r="G42" i="40" s="1"/>
  <c r="C31" i="12"/>
  <c r="B2" i="70"/>
  <c r="B3" i="70" s="1"/>
  <c r="C56" i="11"/>
  <c r="C57" i="11" s="1"/>
  <c r="C27" i="12"/>
  <c r="C25" i="12" s="1"/>
  <c r="U7" i="37"/>
  <c r="AB7" i="37"/>
  <c r="T42" i="37" s="1"/>
  <c r="G42" i="37" s="1"/>
  <c r="U7" i="34"/>
  <c r="AB7" i="34"/>
  <c r="T49" i="34" s="1"/>
  <c r="G49" i="34" s="1"/>
  <c r="F7" i="34"/>
  <c r="J7" i="34"/>
  <c r="F7" i="37"/>
  <c r="J7" i="37"/>
  <c r="O68" i="39"/>
  <c r="O70" i="39" s="1"/>
  <c r="N70" i="39"/>
  <c r="G46" i="40" l="1"/>
  <c r="H46" i="40" s="1"/>
  <c r="G47" i="40"/>
  <c r="H47" i="40" s="1"/>
  <c r="I46" i="40"/>
  <c r="J46" i="40" s="1"/>
  <c r="E42" i="40"/>
  <c r="I47" i="40" s="1"/>
  <c r="J47" i="40" s="1"/>
  <c r="R43" i="40"/>
  <c r="C32" i="12"/>
  <c r="B2" i="12" s="1"/>
  <c r="W7" i="37"/>
  <c r="AC7" i="37"/>
  <c r="V42" i="37" s="1"/>
  <c r="I42" i="37" s="1"/>
  <c r="G47" i="37" s="1"/>
  <c r="H47" i="37" s="1"/>
  <c r="W7" i="34"/>
  <c r="AC7" i="34"/>
  <c r="V49" i="34" s="1"/>
  <c r="I49" i="34" s="1"/>
  <c r="G53" i="34"/>
  <c r="H53" i="34" s="1"/>
  <c r="G54" i="34"/>
  <c r="H54" i="34" s="1"/>
  <c r="G46" i="37"/>
  <c r="H46" i="37" s="1"/>
  <c r="F7" i="39"/>
  <c r="J7" i="39"/>
  <c r="H7" i="39"/>
  <c r="AA7" i="37"/>
  <c r="R42" i="37" s="1"/>
  <c r="S7" i="37"/>
  <c r="S7" i="34"/>
  <c r="AA7" i="34"/>
  <c r="R49" i="34" s="1"/>
  <c r="D19" i="9"/>
  <c r="C42" i="40" l="1"/>
  <c r="C43" i="40"/>
  <c r="E47" i="40"/>
  <c r="F47" i="40" s="1"/>
  <c r="E46" i="40"/>
  <c r="F46" i="40" s="1"/>
  <c r="D102" i="9"/>
  <c r="D21" i="9"/>
  <c r="B3" i="12"/>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D20" i="9"/>
  <c r="B55" i="40" l="1"/>
  <c r="F55" i="40" s="1"/>
  <c r="B60" i="40"/>
  <c r="F60" i="40" s="1"/>
  <c r="B58" i="40"/>
  <c r="F58" i="40" s="1"/>
  <c r="B51" i="40"/>
  <c r="F51" i="40" s="1"/>
  <c r="B59" i="40"/>
  <c r="F59" i="40" s="1"/>
  <c r="B54" i="40"/>
  <c r="F54" i="40" s="1"/>
  <c r="B52" i="40"/>
  <c r="F52" i="40" s="1"/>
  <c r="B57" i="40"/>
  <c r="F57" i="40" s="1"/>
  <c r="B56" i="40"/>
  <c r="F56" i="40" s="1"/>
  <c r="B53" i="40"/>
  <c r="F53" i="40" s="1"/>
  <c r="F61" i="40"/>
  <c r="B2" i="40" s="1"/>
  <c r="B3" i="40" s="1"/>
  <c r="D103" i="9"/>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I52" i="39" l="1"/>
  <c r="J52" i="39" s="1"/>
  <c r="E52" i="39"/>
  <c r="F52" i="39" s="1"/>
  <c r="E51" i="39"/>
  <c r="F51" i="39" s="1"/>
  <c r="C48" i="39"/>
  <c r="C47" i="39"/>
  <c r="B61" i="39" l="1"/>
  <c r="F61" i="39" s="1"/>
  <c r="B65" i="39"/>
  <c r="F65" i="39" s="1"/>
  <c r="B60" i="39"/>
  <c r="F60" i="39" s="1"/>
  <c r="B58" i="39"/>
  <c r="F58" i="39" s="1"/>
  <c r="B64" i="39"/>
  <c r="F64" i="39" s="1"/>
  <c r="B57" i="39"/>
  <c r="F57" i="39" s="1"/>
  <c r="B62" i="39"/>
  <c r="F62" i="39" s="1"/>
  <c r="B56" i="39"/>
  <c r="F56" i="39" s="1"/>
  <c r="B59" i="39"/>
  <c r="F59" i="39" s="1"/>
  <c r="B63" i="39"/>
  <c r="F63" i="39" s="1"/>
  <c r="F66" i="39" l="1"/>
  <c r="B2" i="39" s="1"/>
  <c r="B3" i="39" l="1"/>
  <c r="C6" i="69" s="1"/>
  <c r="C6" i="68"/>
  <c r="C7" i="68" s="1"/>
  <c r="C5" i="68" s="1"/>
  <c r="C23" i="68" l="1"/>
  <c r="C20" i="68"/>
  <c r="C25" i="68" s="1"/>
  <c r="C7" i="69"/>
  <c r="C5" i="69" s="1"/>
  <c r="C28" i="68" l="1"/>
  <c r="C27" i="68" s="1"/>
  <c r="C22" i="68"/>
  <c r="C23" i="69"/>
  <c r="C20" i="69"/>
  <c r="C25" i="69" s="1"/>
  <c r="C31" i="68" l="1"/>
  <c r="C52" i="68" s="1"/>
  <c r="B2" i="68" s="1"/>
  <c r="B3" i="68" s="1"/>
  <c r="C22" i="69"/>
  <c r="C28" i="69"/>
  <c r="C27" i="69" s="1"/>
  <c r="C57" i="68" l="1"/>
  <c r="C56" i="68" s="1"/>
  <c r="C31" i="69"/>
  <c r="C52" i="69" s="1"/>
  <c r="B2" i="69" s="1"/>
  <c r="C19" i="9"/>
  <c r="B3" i="69"/>
  <c r="C21" i="9" l="1"/>
  <c r="G19" i="9"/>
  <c r="C102" i="9"/>
  <c r="D22" i="9"/>
  <c r="C57" i="69"/>
  <c r="C56" i="69" s="1"/>
  <c r="C20" i="9"/>
  <c r="H33" i="78" l="1"/>
  <c r="G21" i="9"/>
  <c r="C32" i="9"/>
  <c r="C35" i="9" s="1"/>
  <c r="F118" i="9" s="1"/>
  <c r="C103" i="9"/>
  <c r="G20" i="9"/>
  <c r="H118" i="9" l="1"/>
  <c r="I118" i="9" s="1"/>
  <c r="R24" i="31"/>
  <c r="R86" i="31" s="1"/>
  <c r="S86" i="31" s="1"/>
  <c r="C34" i="9"/>
  <c r="D118" i="9" s="1"/>
  <c r="D119" i="9" s="1"/>
  <c r="D5" i="52" s="1"/>
  <c r="B49" i="72" s="1"/>
  <c r="F4" i="52"/>
  <c r="B51" i="72" s="1"/>
  <c r="F119" i="9"/>
  <c r="F5" i="52" s="1"/>
  <c r="B53" i="72" s="1"/>
  <c r="G118" i="9"/>
  <c r="G4" i="52" s="1"/>
  <c r="B52" i="72" s="1"/>
  <c r="D4" i="52"/>
  <c r="B47" i="72" s="1"/>
  <c r="H4" i="52" l="1"/>
  <c r="C104" i="9"/>
  <c r="D14" i="74"/>
  <c r="H101" i="9"/>
  <c r="M48" i="9" s="1"/>
  <c r="H119" i="9"/>
  <c r="H5" i="52" s="1"/>
  <c r="R99" i="31"/>
  <c r="S99" i="31" s="1"/>
  <c r="R91" i="31"/>
  <c r="S91" i="31" s="1"/>
  <c r="R95" i="31"/>
  <c r="S95" i="31" s="1"/>
  <c r="R54" i="31"/>
  <c r="S54" i="31" s="1"/>
  <c r="R28" i="31"/>
  <c r="S28" i="31" s="1"/>
  <c r="R83" i="31"/>
  <c r="S83" i="31" s="1"/>
  <c r="R82" i="31"/>
  <c r="S82" i="31" s="1"/>
  <c r="R94" i="31"/>
  <c r="S94" i="31" s="1"/>
  <c r="R48" i="31"/>
  <c r="S48" i="31" s="1"/>
  <c r="R101" i="31"/>
  <c r="S101" i="31" s="1"/>
  <c r="R40" i="31"/>
  <c r="S40" i="31" s="1"/>
  <c r="R70" i="31"/>
  <c r="S70" i="31" s="1"/>
  <c r="R44" i="31"/>
  <c r="S44" i="31" s="1"/>
  <c r="R64" i="31"/>
  <c r="S64" i="31" s="1"/>
  <c r="R30" i="31"/>
  <c r="S30" i="31" s="1"/>
  <c r="R75" i="31"/>
  <c r="S75" i="31" s="1"/>
  <c r="R26" i="31"/>
  <c r="S26" i="31" s="1"/>
  <c r="R37" i="31"/>
  <c r="S37" i="31" s="1"/>
  <c r="R68" i="31"/>
  <c r="S68" i="31" s="1"/>
  <c r="R41" i="31"/>
  <c r="S41" i="31" s="1"/>
  <c r="R39" i="31"/>
  <c r="S39" i="31" s="1"/>
  <c r="R98" i="31"/>
  <c r="S98" i="31" s="1"/>
  <c r="R102" i="31"/>
  <c r="S102" i="31" s="1"/>
  <c r="R61" i="31"/>
  <c r="S61" i="31" s="1"/>
  <c r="R27" i="31"/>
  <c r="S27" i="31" s="1"/>
  <c r="R81" i="31"/>
  <c r="S81" i="31" s="1"/>
  <c r="R47" i="31"/>
  <c r="S47" i="31" s="1"/>
  <c r="R50" i="31"/>
  <c r="S50" i="31" s="1"/>
  <c r="R45" i="31"/>
  <c r="S45" i="31" s="1"/>
  <c r="R92" i="31"/>
  <c r="S92" i="31" s="1"/>
  <c r="R65" i="31"/>
  <c r="S65" i="31" s="1"/>
  <c r="R31" i="31"/>
  <c r="S31" i="31" s="1"/>
  <c r="R34" i="31"/>
  <c r="S34" i="31" s="1"/>
  <c r="R42" i="31"/>
  <c r="S42" i="31" s="1"/>
  <c r="R53" i="31"/>
  <c r="S53" i="31" s="1"/>
  <c r="R52" i="31"/>
  <c r="S52" i="31" s="1"/>
  <c r="R100" i="31"/>
  <c r="S100" i="31" s="1"/>
  <c r="R25" i="31"/>
  <c r="S25" i="31" s="1"/>
  <c r="R105" i="31"/>
  <c r="S105" i="31" s="1"/>
  <c r="R88" i="31"/>
  <c r="S88" i="31" s="1"/>
  <c r="R71" i="31"/>
  <c r="S71" i="31" s="1"/>
  <c r="R106" i="31"/>
  <c r="S106" i="31" s="1"/>
  <c r="R74" i="31"/>
  <c r="S74" i="31" s="1"/>
  <c r="R46" i="31"/>
  <c r="S46" i="31" s="1"/>
  <c r="R87" i="31"/>
  <c r="S87" i="31" s="1"/>
  <c r="R62" i="31"/>
  <c r="S62" i="31" s="1"/>
  <c r="R29" i="31"/>
  <c r="S29" i="31" s="1"/>
  <c r="R93" i="31"/>
  <c r="S93" i="31" s="1"/>
  <c r="R76" i="31"/>
  <c r="S76" i="31" s="1"/>
  <c r="R59" i="31"/>
  <c r="S59" i="31" s="1"/>
  <c r="R49" i="31"/>
  <c r="S49" i="31" s="1"/>
  <c r="R32" i="31"/>
  <c r="S32" i="31" s="1"/>
  <c r="R96" i="31"/>
  <c r="S96" i="31" s="1"/>
  <c r="R79" i="31"/>
  <c r="S79" i="31" s="1"/>
  <c r="R38" i="31"/>
  <c r="S38" i="31" s="1"/>
  <c r="R90" i="31"/>
  <c r="S90" i="31" s="1"/>
  <c r="R58" i="31"/>
  <c r="S58" i="31" s="1"/>
  <c r="R77" i="31"/>
  <c r="S77" i="31" s="1"/>
  <c r="R60" i="31"/>
  <c r="S60" i="31" s="1"/>
  <c r="R43" i="31"/>
  <c r="S43" i="31" s="1"/>
  <c r="R33" i="31"/>
  <c r="S33" i="31" s="1"/>
  <c r="R97" i="31"/>
  <c r="S97" i="31" s="1"/>
  <c r="R80" i="31"/>
  <c r="S80" i="31" s="1"/>
  <c r="R63" i="31"/>
  <c r="S63" i="31" s="1"/>
  <c r="S24" i="31"/>
  <c r="R103" i="31"/>
  <c r="S103" i="31" s="1"/>
  <c r="R78" i="31"/>
  <c r="S78" i="31" s="1"/>
  <c r="R66" i="31"/>
  <c r="S66" i="31" s="1"/>
  <c r="R69" i="31"/>
  <c r="S69" i="31" s="1"/>
  <c r="R85" i="31"/>
  <c r="S85" i="31" s="1"/>
  <c r="R36" i="31"/>
  <c r="S36" i="31" s="1"/>
  <c r="R84" i="31"/>
  <c r="S84" i="31" s="1"/>
  <c r="R35" i="31"/>
  <c r="S35" i="31" s="1"/>
  <c r="R51" i="31"/>
  <c r="S51" i="31" s="1"/>
  <c r="R67" i="31"/>
  <c r="S67" i="31" s="1"/>
  <c r="R57" i="31"/>
  <c r="S57" i="31" s="1"/>
  <c r="R73" i="31"/>
  <c r="S73" i="31" s="1"/>
  <c r="R89" i="31"/>
  <c r="S89" i="31" s="1"/>
  <c r="R56" i="31"/>
  <c r="S56" i="31" s="1"/>
  <c r="R72" i="31"/>
  <c r="S72" i="31" s="1"/>
  <c r="R104" i="31"/>
  <c r="S104" i="31" s="1"/>
  <c r="R55" i="31"/>
  <c r="S55" i="31" s="1"/>
  <c r="C105" i="9"/>
  <c r="H102" i="9"/>
  <c r="D7" i="53" s="1"/>
  <c r="B21" i="72" s="1"/>
  <c r="E118" i="9"/>
  <c r="E4" i="52" s="1"/>
  <c r="B48" i="72" s="1"/>
  <c r="I4" i="52"/>
  <c r="F14" i="74"/>
  <c r="M49" i="9" l="1"/>
  <c r="D45" i="9"/>
  <c r="E14" i="74"/>
  <c r="D5" i="53"/>
  <c r="B20" i="72" s="1"/>
  <c r="H107" i="9"/>
  <c r="H108" i="9" s="1"/>
  <c r="D15" i="53" s="1"/>
  <c r="B31" i="72" s="1"/>
  <c r="S22" i="31"/>
  <c r="R22" i="31" s="1"/>
  <c r="B21" i="31" s="1"/>
  <c r="C78" i="9"/>
  <c r="C73" i="9" s="1"/>
  <c r="D53" i="9"/>
  <c r="D48" i="9" s="1"/>
  <c r="M52" i="9" s="1"/>
  <c r="C85" i="9"/>
  <c r="C64" i="9"/>
  <c r="C63" i="9" s="1"/>
  <c r="C67" i="9" s="1"/>
  <c r="C68" i="9" s="1"/>
  <c r="D54" i="9" s="1"/>
  <c r="D55" i="9"/>
  <c r="M53" i="9" s="1"/>
  <c r="C72" i="9"/>
  <c r="D52" i="9"/>
  <c r="C93" i="9"/>
  <c r="C86" i="9" s="1"/>
  <c r="D6" i="53"/>
  <c r="B22" i="72" s="1"/>
  <c r="D122" i="9" l="1"/>
  <c r="G14" i="74" s="1"/>
  <c r="D13" i="53"/>
  <c r="D14" i="53" s="1"/>
  <c r="B32" i="72" s="1"/>
  <c r="B20" i="31"/>
  <c r="C79" i="9"/>
  <c r="C80" i="9" s="1"/>
  <c r="E80" i="9" s="1"/>
  <c r="E81" i="9" s="1"/>
  <c r="C95" i="9"/>
  <c r="L64" i="9"/>
  <c r="M64" i="9" s="1"/>
  <c r="L68" i="9"/>
  <c r="M68" i="9" s="1"/>
  <c r="L63" i="9"/>
  <c r="M63" i="9" s="1"/>
  <c r="L65" i="9"/>
  <c r="M65" i="9" s="1"/>
  <c r="L67" i="9"/>
  <c r="M67" i="9" s="1"/>
  <c r="L66" i="9"/>
  <c r="M66" i="9" s="1"/>
  <c r="D123" i="9" l="1"/>
  <c r="D9" i="52" s="1"/>
  <c r="D8" i="52"/>
  <c r="B30" i="72"/>
  <c r="C81" i="9"/>
  <c r="M69" i="9"/>
  <c r="N69" i="9" s="1"/>
  <c r="C96" i="9"/>
  <c r="E96" i="9" s="1"/>
  <c r="E97" i="9" s="1"/>
  <c r="C97" i="9" l="1"/>
  <c r="D58" i="9" s="1"/>
  <c r="D56" i="9" s="1"/>
  <c r="M54" i="9" s="1"/>
  <c r="N57" i="9" s="1"/>
  <c r="N58" i="9" s="1"/>
  <c r="P57" i="9" l="1"/>
  <c r="N59" i="9"/>
  <c r="N60" i="9" l="1"/>
  <c r="H111" i="9"/>
  <c r="N61" i="9"/>
  <c r="H112" i="9" s="1"/>
  <c r="D21" i="53" s="1"/>
  <c r="B39" i="72" s="1"/>
  <c r="D126" i="9" l="1"/>
  <c r="D19" i="53"/>
  <c r="H32" i="78"/>
  <c r="H34" i="78" s="1"/>
  <c r="D20" i="53" l="1"/>
  <c r="B40" i="72" s="1"/>
  <c r="B38" i="72"/>
  <c r="I14" i="74"/>
  <c r="B8" i="74" s="1"/>
  <c r="D127" i="9"/>
  <c r="D13" i="52" s="1"/>
  <c r="D12" i="52"/>
  <c r="H38" i="78"/>
  <c r="H40" i="78" s="1"/>
  <c r="C8" i="74" l="1"/>
  <c r="D8" i="74"/>
  <c r="D15" i="74"/>
  <c r="G15" i="74" l="1"/>
  <c r="B6" i="74" s="1"/>
  <c r="E15" i="74"/>
  <c r="F15" i="74"/>
  <c r="B5" i="74"/>
  <c r="D6" i="74" l="1"/>
  <c r="C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<sst xmlns="http://schemas.openxmlformats.org/spreadsheetml/2006/main" count="8765" uniqueCount="3379">
  <si>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</si>
  <si>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</si>
  <si>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</si>
  <si>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</si>
  <si>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</si>
  <si>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</si>
  <si>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</si>
  <si>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</si>
  <si>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</si>
  <si>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</si>
  <si>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</si>
  <si>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</si>
  <si>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</si>
  <si>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</si>
  <si>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</si>
  <si>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</si>
  <si>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</si>
  <si>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</si>
  <si>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</si>
  <si>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</si>
  <si>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</si>
  <si>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</si>
  <si>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</si>
  <si>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</si>
  <si>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</si>
  <si>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</si>
  <si>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</si>
  <si>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</si>
  <si>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</si>
  <si>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</si>
  <si>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</si>
  <si>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</si>
  <si>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</si>
  <si>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</si>
  <si>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</si>
  <si>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</si>
  <si>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</si>
  <si>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</si>
  <si>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</si>
  <si>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</si>
  <si>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</si>
  <si>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</si>
  <si>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</si>
  <si>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</si>
  <si>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</si>
  <si>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</si>
  <si>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</si>
  <si>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</si>
  <si>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</si>
  <si>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</si>
  <si>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</si>
  <si>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</si>
  <si>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</si>
  <si>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</si>
  <si>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</si>
  <si>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</si>
  <si>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</si>
  <si>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</si>
  <si>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</si>
  <si>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</si>
  <si>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</si>
  <si>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</si>
  <si>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</si>
  <si>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</si>
  <si>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</si>
  <si>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</si>
  <si>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</si>
  <si>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</si>
  <si>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</si>
  <si>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</si>
  <si>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</si>
  <si>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</si>
  <si>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</si>
  <si>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</si>
  <si>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</si>
  <si>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</si>
  <si>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</si>
  <si>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</si>
  <si>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</si>
  <si>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</si>
  <si>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</si>
  <si>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</si>
  <si>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</si>
  <si>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</si>
  <si>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</si>
  <si>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</si>
  <si>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</si>
  <si>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</si>
  <si>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</si>
  <si>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</si>
  <si>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</si>
  <si>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</si>
  <si>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</si>
  <si>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</si>
  <si>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</si>
  <si>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</si>
  <si>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</si>
  <si>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</si>
  <si>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</si>
  <si>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</si>
  <si>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</si>
  <si>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</si>
  <si>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</si>
  <si>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</si>
  <si>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</si>
  <si>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</si>
  <si>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</si>
  <si>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</si>
  <si>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</si>
  <si>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</si>
  <si>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</si>
  <si>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</si>
  <si>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</si>
  <si>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</si>
  <si>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</si>
  <si>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</si>
  <si>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</si>
  <si>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</si>
  <si>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</si>
  <si>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</si>
  <si>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</si>
  <si>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</si>
  <si>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</si>
  <si>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</si>
  <si>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</si>
  <si>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</si>
  <si>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</si>
  <si>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</si>
  <si>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</si>
  <si>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</si>
  <si>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</si>
  <si>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</si>
  <si>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</si>
  <si>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</si>
  <si>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</si>
  <si>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</si>
  <si>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</si>
  <si>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</si>
  <si>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</si>
  <si>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</si>
  <si>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</si>
  <si>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</si>
  <si>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</si>
  <si>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</si>
  <si>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</si>
  <si>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</si>
  <si>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</si>
  <si>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</si>
  <si>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</si>
  <si>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</si>
  <si>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</si>
  <si>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</si>
  <si>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</si>
  <si>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</si>
  <si>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</si>
  <si>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</si>
  <si>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</si>
  <si>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</si>
  <si>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</si>
  <si>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</si>
  <si>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</si>
  <si>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</si>
  <si>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</si>
  <si>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</si>
  <si>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</si>
  <si>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</si>
  <si>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</si>
  <si>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</si>
  <si>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</si>
  <si>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</si>
  <si>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</si>
  <si>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</si>
  <si>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</si>
  <si>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</si>
  <si>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</si>
  <si>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</si>
  <si>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</si>
  <si>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</si>
  <si>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</si>
  <si>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</si>
  <si>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</si>
  <si>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</si>
  <si>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</si>
  <si>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</si>
  <si>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</si>
  <si>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</si>
  <si>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</si>
  <si>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</si>
  <si>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</si>
  <si>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</si>
  <si>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</si>
  <si>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</si>
  <si>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</si>
  <si>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</si>
  <si>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</si>
  <si>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</si>
  <si>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</si>
  <si>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</si>
  <si>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</si>
  <si>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</si>
  <si>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</si>
  <si>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</si>
  <si>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</si>
  <si>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</si>
  <si>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</si>
  <si>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</si>
  <si>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</si>
  <si>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</si>
  <si>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</si>
  <si>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</si>
  <si>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</si>
  <si>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</si>
  <si>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</si>
  <si>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</si>
  <si>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</si>
  <si>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</si>
  <si>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</si>
  <si>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</si>
  <si>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</si>
  <si>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</si>
  <si>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</si>
  <si>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</si>
  <si>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</si>
  <si>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</si>
  <si>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</si>
  <si>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</si>
  <si>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</si>
  <si>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</si>
  <si>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</si>
  <si>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</si>
  <si>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</si>
  <si>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</si>
  <si>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</si>
  <si>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</si>
  <si>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</si>
  <si>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</si>
  <si>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</si>
  <si>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</si>
  <si>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</si>
  <si>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</si>
  <si>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</si>
  <si>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</si>
  <si>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</si>
  <si>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</si>
  <si>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</si>
  <si>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</si>
  <si>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</si>
  <si>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</si>
  <si>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</si>
  <si>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</si>
  <si>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</si>
  <si>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</si>
  <si>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</si>
  <si>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</si>
  <si>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</si>
  <si>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</si>
  <si>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</si>
  <si>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</si>
  <si>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</si>
  <si>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</si>
  <si>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</si>
  <si>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</si>
  <si>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</si>
  <si>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</si>
  <si>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</si>
  <si>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</si>
  <si>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</si>
  <si>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</si>
  <si>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</si>
  <si>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</si>
  <si>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</si>
  <si>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</si>
  <si>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</si>
  <si>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</si>
  <si>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</si>
  <si>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</si>
  <si>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</si>
  <si>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</si>
  <si>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</si>
  <si>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</si>
  <si>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</si>
  <si>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</si>
  <si>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</si>
  <si>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</si>
  <si>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</si>
  <si>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</si>
  <si>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</si>
  <si>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</si>
  <si>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</si>
  <si>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</si>
  <si>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</si>
  <si>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</si>
  <si>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</si>
  <si>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</si>
  <si>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</si>
  <si>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</si>
  <si>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</si>
  <si>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</si>
  <si>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</si>
  <si>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</si>
  <si>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</si>
  <si>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</si>
  <si>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</si>
  <si>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</si>
  <si>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</si>
  <si>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</si>
  <si>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</si>
  <si>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</si>
  <si>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</si>
  <si>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</si>
  <si>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</si>
  <si>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</si>
  <si>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</si>
  <si>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</si>
  <si>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</si>
  <si>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</si>
  <si>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</si>
  <si>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</si>
  <si>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</si>
  <si>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</si>
  <si>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</si>
  <si>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</si>
  <si>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</si>
  <si>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</si>
  <si>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</si>
  <si>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</si>
  <si>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</si>
  <si>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</si>
  <si>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</si>
  <si>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</si>
  <si>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</si>
  <si>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</si>
  <si>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</si>
  <si>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</si>
  <si>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</si>
  <si>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</si>
  <si>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</si>
  <si>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</si>
  <si>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</si>
  <si>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</si>
  <si>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</si>
  <si>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</si>
  <si>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</si>
  <si>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</si>
  <si>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</si>
  <si>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</si>
  <si>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</si>
  <si>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</si>
  <si>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</si>
  <si>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</si>
  <si>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</si>
  <si>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</si>
  <si>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</si>
  <si>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</si>
  <si>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</si>
  <si>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</si>
  <si>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</si>
  <si>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</si>
  <si>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</si>
  <si>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</si>
  <si>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</si>
  <si>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</si>
  <si>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</si>
  <si>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</si>
  <si>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</si>
  <si>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</si>
  <si>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</si>
  <si>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</si>
  <si>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</si>
  <si>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</si>
  <si>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</si>
  <si>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</si>
  <si>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</si>
  <si>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</si>
  <si>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</si>
  <si>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</si>
  <si>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</si>
  <si>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</si>
  <si>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</si>
  <si>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</si>
  <si>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</si>
  <si>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</si>
  <si>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</si>
  <si>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</si>
  <si>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</si>
  <si>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</si>
  <si>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</si>
  <si>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</si>
  <si>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</si>
  <si>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</si>
  <si>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</si>
  <si>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</si>
  <si>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</si>
  <si>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</si>
  <si>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</si>
  <si>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</si>
  <si>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</si>
  <si>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</si>
  <si>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</si>
  <si>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</si>
  <si>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</si>
  <si>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</si>
  <si>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</si>
  <si>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</si>
  <si>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</si>
  <si>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</si>
  <si>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</si>
  <si>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</si>
  <si>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</si>
  <si>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</si>
  <si>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</si>
  <si>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</si>
  <si>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</si>
  <si>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</si>
  <si>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</si>
  <si>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</si>
  <si>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</si>
  <si>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</si>
  <si>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</si>
  <si>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</si>
  <si>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</si>
  <si>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</si>
  <si>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</si>
  <si>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</si>
  <si>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</si>
  <si>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</si>
  <si>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</si>
  <si>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</si>
  <si>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</si>
  <si>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</si>
  <si>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</si>
  <si>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</si>
  <si>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</si>
  <si>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</si>
  <si>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</si>
  <si>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</si>
  <si>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</si>
  <si>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</si>
  <si>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</si>
  <si>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</si>
  <si>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</si>
  <si>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</si>
  <si>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</si>
  <si>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</si>
  <si>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</si>
  <si>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</si>
  <si>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</si>
  <si>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</si>
  <si>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</si>
  <si>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</si>
  <si>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</si>
  <si>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</si>
  <si>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</si>
  <si>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</si>
  <si>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</si>
  <si>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</si>
  <si>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</si>
  <si>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</si>
  <si>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</si>
  <si>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</si>
  <si>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</si>
  <si>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</si>
  <si>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</si>
  <si>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</si>
  <si>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</si>
  <si>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</si>
  <si>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</si>
  <si>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</si>
  <si>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</si>
  <si>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</si>
  <si>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</si>
  <si>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</si>
  <si>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</si>
  <si>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</si>
  <si>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</si>
  <si>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</si>
  <si>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</si>
  <si>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</si>
  <si>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</si>
  <si>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</si>
  <si>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</si>
  <si>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</si>
  <si>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</si>
  <si>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</si>
  <si>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</si>
  <si>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</si>
  <si>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</si>
  <si>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</si>
  <si>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</si>
  <si>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</si>
  <si>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</si>
  <si>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</si>
  <si>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</si>
  <si>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</si>
  <si>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</si>
  <si>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</si>
  <si>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</si>
  <si>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</si>
  <si>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</si>
  <si>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</si>
  <si>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</si>
  <si>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</si>
  <si>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</si>
  <si>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</si>
  <si>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</si>
  <si>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</si>
  <si>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</si>
  <si>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</si>
  <si>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</si>
  <si>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</si>
  <si>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</si>
  <si>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</si>
  <si>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</si>
  <si>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</si>
  <si>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</si>
  <si>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</si>
  <si>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</si>
  <si>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</si>
  <si>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</si>
  <si>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</si>
  <si>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</si>
  <si>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</si>
  <si>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</si>
  <si>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</si>
  <si>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</si>
  <si>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</si>
  <si>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</si>
  <si>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</si>
  <si>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</si>
  <si>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</si>
  <si>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</si>
  <si>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</si>
  <si>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</si>
  <si>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</si>
  <si>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</si>
  <si>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</si>
  <si>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</si>
  <si>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</si>
  <si>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</si>
  <si>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</si>
  <si>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</si>
  <si>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</si>
  <si>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</si>
  <si>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</si>
  <si>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</si>
  <si>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</si>
  <si>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</si>
  <si>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</si>
  <si>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</si>
  <si>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</si>
  <si>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</si>
  <si>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</si>
  <si>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</si>
  <si>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</si>
  <si>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</si>
  <si>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</si>
  <si>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</si>
  <si>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</si>
  <si>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</si>
  <si>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</si>
  <si>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</si>
  <si>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</si>
  <si>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</si>
  <si>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</si>
  <si>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</si>
  <si>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</si>
  <si>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</si>
  <si>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</si>
  <si>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</si>
  <si>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</si>
  <si>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</si>
  <si>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</si>
  <si>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</si>
  <si>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</si>
  <si>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</si>
  <si>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</si>
  <si>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</si>
  <si>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</si>
  <si>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</si>
  <si>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</si>
  <si>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</si>
  <si>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</si>
  <si>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</si>
  <si>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</si>
  <si>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</si>
  <si>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</si>
  <si>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</si>
  <si>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</si>
  <si>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</si>
  <si>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</si>
  <si>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</si>
  <si>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</si>
  <si>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</si>
  <si>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</si>
  <si>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</si>
  <si>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</si>
  <si>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</si>
  <si>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</si>
  <si>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</si>
  <si>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</si>
  <si>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</si>
  <si>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</si>
  <si>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</si>
  <si>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</si>
  <si>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</si>
  <si>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</si>
  <si>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</si>
  <si>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</si>
  <si>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</si>
  <si>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</si>
  <si>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</si>
  <si>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</si>
  <si>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</si>
  <si>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</si>
  <si>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</si>
  <si>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</si>
  <si>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</si>
  <si>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</si>
  <si>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</si>
  <si>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</si>
  <si>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</si>
  <si>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</si>
  <si>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</si>
  <si>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</si>
  <si>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</si>
  <si>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</si>
  <si>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</si>
  <si>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</si>
  <si>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</si>
  <si>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</si>
  <si>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</si>
  <si>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</si>
  <si>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</si>
  <si>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</si>
  <si>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</si>
  <si>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</si>
  <si>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</si>
  <si>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</si>
  <si>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</si>
  <si>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</si>
  <si>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</si>
  <si>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</si>
  <si>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</si>
  <si>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</si>
  <si>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</si>
  <si>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</si>
  <si>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</si>
  <si>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</si>
  <si>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</si>
  <si>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</si>
  <si>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</si>
  <si>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</si>
  <si>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</si>
  <si>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</si>
  <si>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</si>
  <si>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</si>
  <si>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</si>
  <si>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</si>
  <si>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</si>
  <si>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</si>
  <si>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</si>
  <si>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</si>
  <si>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</si>
  <si>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</si>
  <si>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</si>
  <si>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</si>
  <si>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</si>
  <si>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</si>
  <si>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</si>
  <si>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</si>
  <si>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</si>
  <si>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</si>
  <si>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</si>
  <si>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</si>
  <si>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</si>
  <si>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</si>
  <si>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</si>
  <si>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</si>
  <si>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</si>
  <si>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</si>
  <si>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</si>
  <si>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</si>
  <si>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</si>
  <si>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</si>
  <si>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</si>
  <si>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</si>
  <si>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</si>
  <si>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</si>
  <si>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</si>
  <si>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</si>
  <si>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</si>
  <si>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</si>
  <si>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</si>
  <si>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</si>
  <si>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</si>
  <si>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</si>
  <si>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</si>
  <si>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</si>
  <si>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</si>
  <si>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</si>
  <si>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</si>
  <si>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</si>
  <si>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</si>
  <si>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</si>
  <si>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</si>
  <si>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</si>
  <si>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</si>
  <si>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</si>
  <si>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</si>
  <si>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</si>
  <si>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</si>
  <si>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</si>
  <si>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</si>
  <si>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</si>
  <si>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</si>
  <si>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</si>
  <si>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</si>
  <si>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</si>
  <si>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</si>
  <si>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</si>
  <si>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</si>
  <si>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</si>
  <si>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</si>
  <si>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</si>
  <si>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</si>
  <si>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</si>
  <si>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</si>
  <si>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</si>
  <si>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</si>
  <si>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</si>
  <si>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</si>
  <si>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</si>
  <si>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</si>
  <si>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</si>
  <si>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</si>
  <si>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</si>
  <si>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</si>
  <si>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</si>
  <si>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</si>
  <si>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</si>
  <si>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</si>
  <si>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</si>
  <si>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</si>
  <si>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</si>
  <si>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</si>
  <si>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</si>
  <si>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</si>
  <si>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</si>
  <si>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</si>
  <si>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</si>
  <si>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</si>
  <si>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</si>
  <si>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</si>
  <si>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</si>
  <si>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</si>
  <si>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</si>
  <si>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</si>
  <si>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</si>
  <si>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</si>
  <si>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</si>
  <si>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</si>
  <si>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</si>
  <si>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</si>
  <si>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</si>
  <si>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</si>
  <si>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</si>
  <si>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</si>
  <si>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</si>
  <si>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</si>
  <si>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</si>
  <si>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</si>
  <si>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</si>
  <si>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</si>
  <si>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</si>
  <si>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</si>
  <si>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</si>
  <si>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</si>
  <si>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</si>
  <si>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</si>
  <si>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</si>
  <si>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</si>
  <si>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</si>
  <si>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</si>
  <si>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</si>
  <si>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</si>
  <si>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</si>
  <si>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</si>
  <si>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</si>
  <si>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</si>
  <si>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</si>
  <si>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</si>
  <si>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</si>
  <si>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</si>
  <si>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</si>
  <si>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</si>
  <si>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</si>
  <si>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</si>
  <si>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</si>
  <si>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</si>
  <si>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</si>
  <si>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</si>
  <si>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</si>
  <si>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</si>
  <si>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</si>
  <si>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</si>
  <si>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</si>
  <si>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</si>
  <si>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</si>
  <si>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</si>
  <si>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</si>
  <si>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</si>
  <si>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</si>
  <si>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</si>
  <si>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</si>
  <si>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</si>
  <si>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</si>
  <si>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</si>
  <si>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</si>
  <si>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</si>
  <si>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</si>
  <si>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</si>
  <si>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</si>
  <si>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</si>
  <si>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</si>
  <si>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</si>
  <si>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</si>
  <si>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</si>
  <si>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</si>
  <si>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</si>
  <si>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</si>
  <si>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</si>
  <si>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</si>
  <si>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</si>
  <si>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</si>
  <si>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</si>
  <si>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</si>
  <si>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</si>
  <si>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</si>
  <si>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</si>
  <si>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</si>
  <si>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</si>
  <si>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</si>
  <si>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</si>
  <si>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</si>
  <si>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</si>
  <si>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</si>
  <si>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</si>
  <si>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</si>
  <si>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</si>
  <si>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</si>
  <si>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</si>
  <si>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</si>
  <si>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</si>
  <si>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</si>
  <si>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</si>
  <si>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</si>
  <si>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</si>
  <si>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</si>
  <si>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</si>
  <si>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</si>
  <si>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</si>
  <si>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</si>
  <si>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</si>
  <si>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</si>
  <si>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</si>
  <si>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</si>
  <si>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</si>
  <si>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</si>
  <si>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</si>
  <si>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</si>
  <si>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</si>
  <si>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</si>
  <si>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</si>
  <si>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</si>
  <si>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</si>
  <si>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</si>
  <si>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</si>
  <si>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</si>
  <si>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</si>
  <si>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</si>
  <si>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</si>
  <si>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</si>
  <si>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</si>
  <si>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</si>
  <si>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</si>
  <si>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</si>
  <si>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</si>
  <si>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</si>
  <si>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</si>
  <si>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</si>
  <si>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</si>
  <si>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</si>
  <si>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</si>
  <si>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</si>
  <si>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</si>
  <si>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</si>
  <si>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</si>
  <si>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</si>
  <si>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</si>
  <si>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</si>
  <si>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</si>
  <si>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</si>
  <si>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</si>
  <si>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</si>
  <si>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</si>
  <si>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</si>
  <si>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</si>
  <si>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</si>
  <si>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</si>
  <si>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</si>
  <si>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</si>
  <si>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</si>
  <si>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</si>
  <si>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</si>
  <si>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</si>
  <si>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</si>
  <si>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</si>
  <si>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</si>
  <si>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</si>
  <si>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</si>
  <si>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</si>
  <si>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</si>
  <si>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</si>
  <si>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</si>
  <si>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</si>
  <si>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</si>
  <si>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</si>
  <si>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</si>
  <si>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</si>
  <si>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</si>
  <si>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</si>
  <si>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</si>
  <si>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</si>
  <si>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</si>
  <si>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</si>
  <si>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</si>
  <si>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</si>
  <si>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</si>
  <si>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</si>
  <si>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</si>
  <si>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</si>
  <si>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</si>
  <si>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</si>
  <si>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</si>
  <si>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</si>
  <si>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</si>
  <si>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</si>
  <si>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</si>
  <si>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</si>
  <si>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</si>
  <si>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</si>
  <si>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</si>
  <si>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</si>
  <si>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</si>
  <si>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</si>
  <si>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</si>
  <si>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</si>
  <si>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</si>
  <si>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</si>
  <si>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</si>
  <si>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</si>
  <si>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</si>
  <si>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</si>
  <si>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</si>
  <si>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</si>
  <si>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</si>
  <si>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</si>
  <si>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</si>
  <si>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</si>
  <si>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</si>
  <si>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</si>
  <si>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</si>
  <si>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</si>
  <si>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</si>
  <si>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</si>
  <si>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</si>
  <si>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</si>
  <si>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</si>
  <si>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</si>
  <si>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</si>
  <si>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</si>
  <si>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</si>
  <si>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</si>
  <si>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</si>
  <si>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</si>
  <si>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</si>
  <si>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</si>
  <si>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</si>
  <si>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</si>
  <si>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</si>
  <si>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</si>
  <si>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</si>
  <si>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</si>
  <si>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</si>
  <si>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</si>
  <si>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</si>
  <si>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</si>
  <si>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</si>
  <si>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</si>
  <si>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</si>
  <si>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</si>
  <si>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</si>
  <si>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</si>
  <si>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</si>
  <si>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</si>
  <si>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</si>
  <si>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</si>
  <si>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</si>
  <si>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</si>
  <si>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</si>
  <si>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</si>
  <si>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</si>
  <si>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</si>
  <si>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</si>
  <si>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</si>
  <si>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</si>
  <si>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</si>
  <si>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</si>
  <si>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</si>
  <si>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</si>
  <si>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</si>
  <si>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</si>
  <si>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</si>
  <si>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</si>
  <si>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</si>
  <si>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</si>
  <si>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</si>
  <si>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</si>
  <si>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</si>
  <si>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</si>
  <si>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</si>
  <si>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</si>
  <si>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</si>
  <si>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</si>
  <si>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</si>
  <si>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</si>
  <si>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</si>
  <si>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</si>
  <si>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</si>
  <si>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</si>
  <si>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</si>
  <si>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</si>
  <si>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</si>
  <si>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</si>
  <si>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</si>
  <si>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</si>
  <si>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</si>
  <si>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</si>
  <si>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</si>
  <si>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</si>
  <si>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</si>
  <si>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</si>
  <si>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</si>
  <si>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</si>
  <si>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</si>
  <si>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</si>
  <si>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</si>
  <si>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</si>
  <si>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</si>
  <si>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</si>
  <si>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</si>
  <si>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</si>
  <si>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</si>
  <si>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</si>
  <si>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</si>
  <si>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</si>
  <si>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</si>
  <si>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</si>
  <si>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</si>
  <si>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</si>
  <si>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</si>
  <si>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</si>
  <si>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</si>
  <si>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</si>
  <si>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</si>
  <si>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</si>
  <si>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</si>
  <si>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</si>
  <si>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</si>
  <si>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</si>
  <si>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</si>
  <si>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</si>
  <si>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</si>
  <si>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</si>
  <si>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</si>
  <si>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</si>
  <si>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</si>
  <si>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</si>
  <si>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</si>
  <si>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</si>
  <si>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</si>
  <si>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</si>
  <si>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</si>
  <si>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</si>
  <si>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</si>
  <si>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</si>
  <si>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</si>
  <si>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</si>
  <si>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</si>
  <si>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</si>
  <si>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</si>
  <si>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</si>
  <si>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</si>
  <si>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</si>
  <si>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</si>
  <si>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</si>
  <si>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</si>
  <si>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</si>
  <si>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</si>
  <si>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</si>
  <si>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</si>
  <si>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</si>
  <si>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</si>
  <si>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</si>
  <si>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</si>
  <si>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</si>
  <si>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</si>
  <si>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</si>
  <si>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</si>
  <si>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</si>
  <si>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</si>
  <si>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</si>
  <si>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</si>
  <si>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</si>
  <si>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</si>
  <si>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</si>
  <si>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</si>
  <si>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</si>
  <si>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</si>
  <si>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</si>
  <si>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</si>
  <si>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</si>
  <si>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</si>
  <si>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</si>
  <si>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</si>
  <si>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</si>
  <si>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</si>
  <si>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</si>
  <si>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</si>
  <si>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</si>
  <si>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</si>
  <si>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</si>
  <si>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</si>
  <si>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</si>
  <si>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</si>
  <si>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</si>
  <si>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</si>
  <si>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</si>
  <si>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</si>
  <si>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</si>
  <si>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</si>
  <si>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</si>
  <si>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</si>
  <si>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</si>
  <si>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</si>
  <si>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</si>
  <si>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</si>
  <si>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</si>
  <si>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</si>
  <si>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</si>
  <si>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</si>
  <si>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</si>
  <si>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</si>
  <si>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</si>
  <si>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</si>
  <si>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</si>
  <si>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</si>
  <si>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</si>
  <si>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</si>
  <si>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</si>
  <si>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</si>
  <si>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</si>
  <si>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</si>
  <si>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</si>
  <si>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</si>
  <si>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</si>
  <si>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</si>
  <si>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</si>
  <si>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</si>
  <si>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</si>
  <si>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</si>
  <si>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</si>
  <si>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</si>
  <si>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</si>
  <si>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</si>
  <si>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</si>
  <si>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</si>
  <si>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</si>
  <si>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</si>
  <si>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</si>
  <si>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</si>
  <si>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</si>
  <si>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</si>
  <si>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</si>
  <si>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</si>
  <si>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</si>
  <si>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</si>
  <si>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</si>
  <si>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</si>
  <si>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</si>
  <si>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</si>
  <si>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</si>
  <si>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</si>
  <si>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</si>
  <si>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</si>
  <si>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</si>
  <si>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</si>
  <si>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</si>
  <si>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</si>
  <si>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</si>
  <si>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</si>
  <si>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</si>
  <si>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</si>
  <si>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</si>
  <si>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</si>
  <si>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</si>
  <si>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</si>
  <si>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</si>
  <si>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</si>
  <si>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</si>
  <si>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</si>
  <si>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</si>
  <si>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</si>
  <si>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</si>
  <si>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</si>
  <si>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</si>
  <si>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</si>
  <si>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</si>
  <si>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</si>
  <si>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</si>
  <si>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</si>
  <si>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</si>
  <si>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</si>
  <si>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</si>
  <si>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</si>
  <si>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</si>
  <si>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</si>
  <si>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</si>
  <si>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</si>
  <si>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</si>
  <si>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</si>
  <si>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</si>
  <si>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</si>
  <si>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</si>
  <si>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</si>
  <si>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</si>
  <si>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</si>
  <si>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</si>
  <si>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</si>
  <si>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</si>
  <si>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</si>
  <si>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</si>
  <si>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</si>
  <si>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</si>
  <si>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</si>
  <si>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</si>
  <si>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</si>
  <si>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</si>
  <si>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</si>
  <si>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</si>
  <si>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</si>
  <si>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</si>
  <si>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</si>
  <si>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</si>
  <si>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</si>
  <si>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</si>
  <si>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</si>
  <si>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</si>
  <si>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</si>
  <si>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</si>
  <si>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</si>
  <si>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</si>
  <si>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</si>
  <si>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</si>
  <si>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</si>
  <si>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</si>
  <si>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</si>
  <si>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</si>
  <si>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</si>
  <si>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</si>
  <si>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</si>
  <si>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</si>
  <si>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</si>
  <si>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</si>
  <si>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</si>
  <si>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</si>
  <si>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</si>
  <si>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</si>
  <si>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</si>
  <si>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</si>
  <si>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</si>
  <si>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</si>
  <si>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</si>
  <si>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</si>
  <si>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</si>
  <si>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</si>
  <si>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</si>
  <si>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</si>
  <si>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</si>
  <si>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</si>
  <si>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</si>
  <si>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</si>
  <si>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</si>
  <si>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</si>
  <si>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</si>
  <si>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</si>
  <si>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</si>
  <si>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</si>
  <si>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</si>
  <si>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</si>
  <si>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</si>
  <si>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</si>
  <si>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</si>
  <si>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</si>
  <si>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</si>
  <si>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</si>
  <si>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</si>
  <si>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</si>
  <si>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</si>
  <si>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</si>
  <si>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</si>
  <si>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</si>
  <si>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</si>
  <si>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</si>
  <si>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</si>
  <si>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</si>
  <si>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</si>
  <si>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</si>
  <si>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</si>
  <si>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</si>
  <si>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</si>
  <si>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</si>
  <si>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</si>
  <si>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</si>
  <si>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</si>
  <si>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</si>
  <si>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</si>
  <si>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</si>
  <si>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</si>
  <si>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</si>
  <si>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</si>
  <si>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</si>
  <si>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</si>
  <si>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</si>
  <si>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</si>
  <si>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</si>
  <si>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</si>
  <si>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</si>
  <si>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</si>
  <si>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</si>
  <si>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</si>
  <si>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</si>
  <si>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</si>
  <si>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</si>
  <si>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</si>
  <si>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</si>
  <si>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</si>
  <si>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</si>
  <si>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</si>
  <si>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</si>
  <si>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</si>
  <si>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</si>
  <si>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</si>
  <si>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</si>
  <si>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</si>
  <si>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</si>
  <si>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</si>
  <si>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</si>
  <si>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</si>
  <si>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</si>
  <si>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</si>
  <si>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</si>
  <si>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</si>
  <si>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</si>
  <si>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</si>
  <si>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</si>
  <si>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</si>
  <si>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</si>
  <si>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</si>
  <si>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</si>
  <si>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</si>
  <si>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</si>
  <si>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</si>
  <si>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</si>
  <si>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</si>
  <si>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</si>
  <si>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</si>
  <si>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</si>
  <si>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</si>
  <si>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</si>
  <si>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</si>
  <si>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</si>
  <si>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</si>
  <si>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</si>
  <si>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</si>
  <si>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</si>
  <si>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</si>
  <si>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</si>
  <si>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</si>
  <si>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</si>
  <si>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</si>
  <si>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</si>
  <si>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</si>
  <si>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</si>
  <si>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</si>
  <si>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</si>
  <si>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</si>
  <si>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</si>
  <si>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</si>
  <si>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</si>
  <si>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</si>
  <si>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</si>
  <si>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</si>
  <si>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</si>
  <si>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</si>
  <si>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</si>
  <si>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</si>
  <si>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</si>
  <si>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</si>
  <si>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</si>
  <si>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</si>
  <si>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</si>
  <si>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</si>
  <si>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</si>
  <si>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</si>
  <si>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</si>
  <si>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</si>
  <si>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</si>
  <si>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</si>
  <si>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</si>
  <si>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</si>
  <si>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</si>
  <si>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</si>
  <si>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</si>
  <si>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</si>
  <si>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</si>
  <si>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</si>
  <si>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</si>
  <si>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</si>
  <si>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</si>
  <si>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</si>
  <si>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</si>
  <si>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</si>
  <si>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</si>
  <si>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</si>
  <si>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</si>
  <si>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</si>
  <si>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</si>
  <si>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</si>
  <si>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</si>
  <si>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</si>
  <si>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</si>
  <si>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</si>
  <si>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</si>
  <si>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</si>
  <si>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</si>
  <si>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</si>
  <si>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</si>
  <si>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</si>
  <si>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</si>
  <si>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</si>
  <si>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</si>
  <si>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</si>
  <si>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</si>
  <si>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</si>
  <si>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</si>
  <si>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</si>
  <si>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</si>
  <si>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</si>
  <si>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</si>
  <si>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</si>
  <si>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</si>
  <si>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</si>
  <si>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</si>
  <si>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</si>
  <si>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</si>
  <si>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</si>
  <si>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</si>
  <si>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</si>
  <si>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</si>
  <si>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</si>
  <si>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</si>
  <si>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</si>
  <si>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</si>
  <si>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</si>
  <si>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</si>
  <si>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</si>
  <si>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</si>
  <si>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</si>
  <si>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</si>
  <si>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</si>
  <si>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</si>
  <si>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</si>
  <si>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</si>
  <si>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</si>
  <si>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</si>
  <si>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</si>
  <si>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</si>
  <si>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</si>
  <si>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</si>
  <si>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</si>
  <si>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</si>
  <si>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</si>
  <si>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</si>
  <si>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</si>
  <si>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</si>
  <si>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</si>
  <si>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</si>
  <si>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</si>
  <si>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</si>
  <si>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</si>
  <si>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</si>
  <si>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</si>
  <si>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</si>
  <si>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</si>
  <si>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</si>
  <si>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</si>
  <si>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</si>
  <si>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</si>
  <si>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</si>
  <si>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</si>
  <si>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</si>
  <si>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</si>
  <si>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</si>
  <si>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</si>
  <si>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</si>
  <si>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</si>
  <si>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</si>
  <si>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</si>
  <si>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</si>
  <si>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</si>
  <si>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</si>
  <si>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</si>
  <si>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</si>
  <si>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</si>
  <si>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</si>
  <si>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</si>
  <si>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</si>
  <si>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</si>
  <si>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</si>
  <si>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</si>
  <si>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</si>
  <si>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</si>
  <si>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</si>
  <si>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</si>
  <si>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</si>
  <si>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</si>
  <si>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</si>
  <si>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</si>
  <si>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</si>
  <si>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</si>
  <si>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</si>
  <si>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</si>
  <si>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</si>
  <si>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</si>
  <si>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</si>
  <si>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</si>
  <si>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</si>
  <si>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</si>
  <si>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</si>
  <si>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</si>
  <si>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</si>
  <si>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</si>
  <si>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</si>
  <si>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</si>
  <si>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</si>
  <si>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</si>
  <si>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</si>
  <si>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</si>
  <si>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</si>
  <si>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</si>
  <si>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</si>
  <si>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</si>
  <si>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</si>
  <si>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</si>
  <si>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</si>
  <si>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</si>
  <si>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</si>
  <si>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</si>
  <si>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</si>
  <si>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</si>
  <si>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</si>
  <si>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</si>
  <si>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</si>
  <si>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</si>
  <si>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</si>
  <si>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</si>
  <si>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</si>
  <si>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</si>
  <si>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</si>
  <si>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</si>
  <si>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</si>
  <si>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</si>
  <si>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</si>
  <si>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</si>
  <si>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</si>
  <si>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</si>
  <si>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</si>
  <si>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</si>
  <si>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</si>
  <si>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</si>
  <si>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</si>
  <si>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</si>
  <si>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</si>
  <si>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</si>
  <si>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</si>
  <si>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</si>
  <si>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</si>
  <si>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</si>
  <si>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</si>
  <si>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</si>
  <si>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</si>
  <si>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</si>
  <si>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</si>
  <si>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</si>
  <si>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</si>
  <si>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</si>
  <si>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</si>
  <si>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</si>
  <si>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</si>
  <si>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</si>
  <si>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</si>
  <si>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</si>
  <si>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</si>
  <si>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</si>
  <si>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</si>
  <si>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</si>
  <si>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</si>
  <si>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</si>
  <si>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</si>
  <si>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</si>
  <si>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</si>
  <si>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</si>
  <si>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</si>
  <si>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</si>
  <si>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</si>
  <si>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</si>
  <si>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</si>
  <si>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</si>
  <si>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</si>
  <si>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</si>
  <si>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</si>
  <si>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</si>
  <si>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</si>
  <si>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</si>
  <si>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</si>
  <si>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</si>
  <si>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</si>
  <si>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</si>
  <si>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</si>
  <si>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</si>
  <si>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</si>
  <si>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</si>
  <si>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</si>
  <si>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</si>
  <si>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</si>
  <si>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</si>
  <si>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</si>
  <si>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</si>
  <si>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</si>
  <si>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</si>
  <si>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</si>
  <si>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</si>
  <si>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</si>
  <si>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</si>
  <si>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</si>
  <si>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</si>
  <si>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</si>
  <si>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</si>
  <si>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</si>
  <si>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</si>
  <si>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</si>
  <si>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</si>
  <si>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</si>
  <si>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</si>
  <si>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</si>
  <si>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</si>
  <si>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</si>
  <si>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</si>
  <si>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</si>
  <si>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</si>
  <si>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</si>
  <si>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</si>
  <si>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</si>
  <si>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</si>
  <si>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</si>
  <si>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</si>
  <si>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</si>
  <si>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</si>
  <si>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</si>
  <si>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</si>
  <si>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</si>
  <si>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</si>
  <si>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</si>
  <si>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</si>
  <si>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</si>
  <si>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</si>
  <si>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</si>
  <si>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</si>
  <si>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</si>
  <si>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</si>
  <si>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</si>
  <si>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</si>
  <si>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</si>
  <si>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</si>
  <si>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</si>
  <si>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</si>
  <si>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</si>
  <si>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</si>
  <si>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</si>
  <si>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</si>
  <si>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</si>
  <si>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</si>
  <si>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</si>
  <si>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</si>
  <si>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</si>
  <si>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</si>
  <si>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</si>
  <si>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</si>
  <si>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</si>
  <si>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</si>
  <si>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</si>
  <si>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</si>
  <si>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</si>
  <si>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</si>
  <si>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</si>
  <si>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</si>
  <si>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</si>
  <si>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</si>
  <si>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</si>
  <si>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</si>
  <si>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</si>
  <si>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</si>
  <si>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</si>
  <si>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</si>
  <si>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</si>
  <si>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</si>
  <si>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</si>
  <si>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</si>
  <si>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</si>
  <si>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</si>
  <si>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</si>
  <si>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</si>
  <si>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</si>
  <si>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</si>
  <si>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</si>
  <si>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</si>
  <si>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</si>
  <si>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</si>
  <si>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</si>
  <si>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</si>
  <si>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</si>
  <si>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</si>
  <si>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</si>
  <si>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</si>
  <si>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</si>
  <si>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</si>
  <si>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</si>
  <si>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</si>
  <si>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</si>
  <si>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</si>
  <si>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</si>
  <si>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</si>
  <si>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</si>
  <si>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</si>
  <si>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</si>
  <si>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</si>
  <si>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</si>
  <si>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</si>
  <si>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</si>
  <si>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</si>
  <si>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</si>
  <si>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</si>
  <si>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</si>
  <si>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</si>
  <si>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</si>
  <si>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</si>
  <si>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</si>
  <si>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</si>
  <si>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</si>
  <si>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</si>
  <si>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</si>
  <si>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</si>
  <si>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</si>
  <si>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</si>
  <si>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</si>
  <si>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</si>
  <si>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</si>
  <si>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</si>
  <si>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</si>
  <si>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</si>
  <si>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</si>
  <si>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</si>
  <si>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</si>
  <si>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</si>
  <si>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</si>
  <si>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</si>
  <si>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</si>
  <si>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</si>
  <si>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</si>
  <si>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</si>
  <si>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</si>
  <si>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</si>
  <si>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</si>
  <si>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</si>
  <si>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</si>
  <si>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</si>
  <si>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</si>
  <si>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</si>
  <si>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</si>
  <si>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</si>
  <si>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</si>
  <si>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</si>
  <si>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</si>
  <si>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</si>
  <si>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</si>
  <si>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</si>
  <si>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</si>
  <si>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</si>
  <si>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</si>
  <si>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</si>
  <si>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</si>
  <si>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</si>
  <si>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</si>
  <si>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</si>
  <si>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</si>
  <si>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</si>
  <si>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</si>
  <si>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</si>
  <si>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</si>
  <si>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</si>
  <si>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</si>
  <si>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</si>
  <si>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</si>
  <si>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</si>
  <si>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</si>
  <si>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</si>
  <si>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</si>
  <si>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</si>
  <si>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</si>
  <si>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</si>
  <si>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</si>
  <si>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</si>
  <si>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</si>
  <si>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</si>
  <si>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</si>
  <si>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</si>
  <si>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</si>
  <si>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</si>
  <si>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</si>
  <si>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</si>
  <si>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</si>
  <si>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</si>
  <si>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</si>
  <si>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</si>
  <si>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</si>
  <si>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</si>
  <si>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</si>
  <si>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</si>
  <si>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</si>
  <si>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</si>
  <si>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</si>
  <si>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</si>
  <si>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</si>
  <si>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</si>
  <si>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</si>
  <si>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</si>
  <si>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</si>
  <si>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</si>
  <si>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</si>
  <si>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</si>
  <si>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</si>
  <si>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</si>
  <si>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</si>
  <si>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</si>
  <si>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</si>
  <si>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</si>
  <si>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</si>
  <si>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</si>
  <si>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</si>
  <si>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</si>
  <si>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</si>
  <si>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</si>
  <si>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</si>
  <si>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</si>
  <si>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</si>
  <si>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</si>
  <si>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</si>
  <si>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</si>
  <si>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</si>
  <si>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</si>
  <si>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</si>
  <si>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</si>
  <si>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</si>
  <si>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</si>
  <si>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</si>
  <si>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</si>
  <si>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</si>
  <si>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</si>
  <si>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</si>
  <si>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</si>
  <si>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</si>
  <si>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</si>
  <si>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</si>
  <si>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</si>
  <si>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</si>
  <si>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</si>
  <si>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</si>
  <si>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</si>
  <si>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</si>
  <si>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</si>
  <si>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</si>
  <si>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</si>
  <si>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</si>
  <si>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</si>
  <si>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</si>
  <si>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</si>
  <si>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</si>
  <si>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</si>
  <si>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</si>
  <si>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</si>
  <si>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</si>
  <si>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</si>
  <si>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</si>
  <si>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</si>
  <si>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</si>
  <si>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</si>
  <si>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</si>
  <si>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</si>
  <si>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</si>
  <si>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</si>
  <si>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</si>
  <si>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</si>
  <si>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</si>
  <si>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</si>
  <si>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</si>
  <si>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</si>
  <si>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</si>
  <si>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</si>
  <si>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</si>
  <si>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</si>
  <si>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</si>
  <si>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</si>
  <si>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</si>
  <si>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</si>
  <si>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</si>
  <si>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</si>
  <si>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</si>
  <si>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</si>
  <si>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</si>
  <si>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</si>
  <si>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</si>
  <si>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</si>
  <si>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</si>
  <si>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</si>
  <si>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</si>
  <si>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</si>
  <si>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</si>
  <si>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</si>
  <si>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</si>
  <si>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</si>
  <si>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</si>
  <si>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</si>
  <si>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</si>
  <si>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</si>
  <si>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</si>
  <si>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</si>
  <si>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</si>
  <si>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</si>
  <si>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</si>
  <si>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</si>
  <si>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</si>
  <si>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</si>
  <si>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</si>
  <si>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</si>
  <si>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</si>
  <si>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</si>
  <si>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</si>
  <si>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</si>
  <si>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</si>
  <si>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</si>
  <si>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</si>
  <si>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</si>
  <si>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</si>
  <si>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</si>
  <si>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</si>
  <si>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</si>
  <si>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</si>
  <si>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</si>
  <si>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</si>
  <si>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</si>
  <si>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</si>
  <si>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</si>
  <si>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</si>
  <si>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</si>
  <si>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</si>
  <si>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</si>
  <si>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</si>
  <si>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</si>
  <si>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</si>
  <si>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</si>
  <si>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</si>
  <si>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</si>
  <si>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</si>
  <si>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</si>
  <si>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</si>
  <si>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</si>
  <si>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</si>
  <si>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</si>
  <si>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</si>
  <si>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</si>
  <si>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</si>
  <si>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</si>
  <si>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</si>
  <si>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</si>
  <si>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</si>
  <si>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</si>
  <si>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</si>
  <si>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</si>
  <si>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</si>
  <si>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</si>
  <si>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</si>
  <si>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</si>
  <si>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</si>
  <si>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</si>
  <si>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</si>
  <si>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</si>
  <si>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</si>
  <si>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</si>
  <si>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</si>
  <si>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</si>
  <si>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</si>
  <si>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</si>
  <si>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</si>
  <si>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</si>
  <si>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</si>
  <si>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</si>
  <si>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</si>
  <si>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</si>
  <si>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</si>
  <si>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</si>
  <si>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</si>
  <si>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</si>
  <si>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</si>
  <si>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</si>
  <si>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</si>
  <si>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</si>
  <si>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</si>
  <si>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</si>
  <si>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</si>
  <si>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</si>
  <si>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</si>
  <si>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</si>
  <si>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</si>
  <si>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</si>
  <si>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</si>
  <si>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</si>
  <si>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</si>
  <si>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</si>
  <si>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</si>
  <si>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</si>
  <si>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</si>
  <si>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</si>
  <si>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</si>
  <si>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</si>
  <si>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</si>
  <si>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</si>
  <si>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</si>
  <si>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</si>
  <si>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</si>
  <si>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</si>
  <si>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</si>
  <si>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</si>
  <si>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</si>
  <si>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</si>
  <si>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</si>
  <si>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</si>
  <si>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</si>
  <si>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</si>
  <si>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</si>
  <si>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</si>
  <si>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</si>
  <si>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</si>
  <si>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</si>
  <si>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</si>
  <si>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</si>
  <si>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</si>
  <si>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</si>
  <si>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</si>
  <si>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</si>
  <si>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</si>
  <si>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</si>
  <si>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</si>
  <si>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</si>
  <si>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</si>
  <si>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</si>
  <si>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</si>
  <si>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</si>
  <si>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</si>
  <si>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</si>
  <si>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</si>
  <si>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</si>
  <si>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</si>
  <si>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</si>
  <si>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</si>
  <si>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</si>
  <si>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</si>
  <si>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</si>
  <si>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</si>
  <si>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</si>
  <si>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</si>
  <si>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</si>
  <si>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</si>
  <si>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</si>
  <si>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</si>
  <si>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</si>
  <si>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</si>
  <si>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</si>
  <si>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</si>
  <si>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</si>
  <si>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</si>
  <si>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</si>
  <si>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</si>
  <si>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</si>
  <si>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</si>
  <si>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</si>
  <si>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</si>
  <si>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</si>
  <si>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</si>
  <si>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</si>
  <si>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</si>
  <si>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</si>
  <si>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</si>
  <si>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</si>
  <si>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</si>
  <si>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</si>
  <si>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</si>
  <si>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</si>
  <si>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</si>
  <si>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</si>
  <si>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</si>
  <si>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</si>
  <si>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</si>
  <si>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</si>
  <si>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</si>
  <si>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</si>
  <si>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</si>
  <si>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</si>
  <si>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</si>
  <si>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</si>
  <si>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</si>
  <si>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</si>
  <si>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</si>
  <si>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</si>
  <si>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</si>
  <si>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</si>
  <si>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</si>
  <si>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</si>
  <si>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</si>
  <si>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</si>
  <si>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</si>
  <si>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</si>
  <si>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</si>
  <si>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</si>
  <si>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</si>
  <si>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</si>
  <si>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</si>
  <si>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</si>
  <si>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</si>
  <si>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</si>
  <si>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</si>
  <si>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</si>
  <si>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</si>
  <si>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</si>
  <si>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</si>
  <si>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</si>
  <si>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</si>
  <si>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</si>
  <si>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</si>
  <si>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</si>
  <si>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</si>
  <si>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</si>
  <si>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</si>
  <si>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</si>
  <si>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</si>
  <si>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</si>
  <si>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</si>
  <si>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</si>
  <si>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</si>
  <si>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</si>
  <si>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</si>
  <si>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</si>
  <si>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</si>
  <si>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</si>
  <si>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</si>
  <si>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</si>
  <si>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</si>
  <si>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</si>
  <si>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</si>
  <si>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</si>
  <si>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</si>
  <si>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</si>
  <si>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</si>
  <si>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</si>
  <si>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</si>
  <si>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</si>
  <si>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</si>
  <si>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</si>
  <si>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</si>
  <si>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</si>
  <si>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</si>
  <si>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</si>
  <si>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</si>
  <si>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</si>
  <si>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</si>
  <si>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</si>
  <si>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</si>
  <si>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</si>
  <si>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</si>
  <si>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</si>
  <si>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</si>
  <si>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</si>
  <si>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</si>
  <si>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</si>
  <si>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</si>
  <si>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</si>
  <si>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</si>
  <si>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</si>
  <si>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</si>
  <si>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</si>
  <si>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</si>
  <si>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</si>
  <si>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</si>
  <si>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</si>
  <si>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</si>
  <si>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</si>
  <si>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</si>
  <si>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</si>
  <si>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</si>
  <si>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</si>
  <si>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</si>
  <si>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</si>
  <si>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</si>
  <si>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</si>
  <si>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</si>
  <si>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</si>
  <si>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</si>
  <si>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</si>
  <si>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</si>
  <si>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</si>
  <si>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</si>
  <si>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</si>
  <si>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</si>
  <si>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</si>
  <si>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</si>
  <si>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</si>
  <si>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</si>
  <si>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</si>
  <si>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</si>
  <si>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</si>
  <si>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</si>
  <si>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</si>
  <si>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</si>
  <si>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</si>
  <si>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</si>
  <si>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</si>
  <si>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</si>
  <si>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</si>
  <si>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</si>
  <si>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</si>
  <si>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</si>
  <si>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</si>
  <si>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</si>
  <si>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</si>
  <si>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</si>
  <si>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</si>
  <si>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</si>
  <si>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</si>
  <si>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</si>
  <si>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</si>
  <si>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</si>
  <si>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</si>
  <si>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</si>
  <si>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</si>
  <si>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</si>
  <si>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</si>
  <si>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</si>
  <si>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</si>
  <si>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</si>
  <si>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</si>
  <si>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</si>
  <si>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</si>
  <si>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</si>
  <si>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</si>
  <si>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</si>
  <si>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</si>
  <si>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</si>
  <si>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</si>
  <si>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</si>
  <si>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</si>
  <si>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</si>
  <si>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</si>
  <si>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</si>
  <si>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</si>
  <si>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</si>
  <si>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</si>
  <si>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</si>
  <si>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</si>
  <si>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</si>
  <si>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</si>
  <si>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</si>
  <si>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</si>
  <si>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</si>
  <si>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</si>
  <si>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</si>
  <si>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</si>
  <si>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</si>
  <si>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</si>
  <si>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</si>
  <si>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</si>
  <si>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</si>
  <si>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</si>
  <si>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</si>
  <si>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</si>
  <si>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</si>
  <si>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</si>
  <si>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</si>
  <si>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</si>
  <si>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</si>
  <si>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</si>
  <si>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</si>
  <si>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</si>
  <si>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</si>
  <si>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</si>
  <si>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</si>
  <si>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</si>
  <si>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</si>
  <si>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</si>
  <si>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</si>
  <si>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</si>
  <si>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</si>
  <si>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</si>
  <si>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</si>
  <si>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</si>
  <si>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</si>
  <si>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</si>
  <si>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</si>
  <si>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</si>
  <si>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</si>
  <si>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</si>
  <si>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</si>
  <si>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</si>
  <si>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</si>
  <si>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</si>
  <si>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</si>
  <si>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</si>
  <si>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</si>
  <si>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</si>
  <si>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</si>
  <si>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</si>
  <si>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</si>
  <si>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</si>
  <si>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</si>
  <si>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</si>
  <si>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</si>
  <si>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</si>
  <si>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</si>
  <si>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</si>
  <si>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</si>
  <si>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</si>
  <si>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</si>
  <si>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</si>
  <si>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</si>
  <si>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</si>
  <si>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</si>
  <si>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</si>
  <si>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</si>
  <si>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</si>
  <si>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</si>
  <si>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</si>
  <si>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</si>
  <si>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</si>
  <si>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</si>
  <si>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</si>
  <si>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</si>
  <si>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</si>
  <si>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</si>
  <si>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</si>
  <si>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</si>
  <si>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</si>
  <si>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</si>
  <si>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</si>
  <si>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</si>
  <si>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</si>
  <si>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</si>
  <si>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</si>
  <si>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</si>
  <si>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</si>
  <si>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</si>
  <si>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</si>
  <si>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</si>
  <si>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</si>
  <si>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</si>
  <si>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</si>
  <si>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</si>
  <si>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</si>
  <si>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</si>
  <si>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</si>
  <si>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</si>
  <si>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</si>
  <si>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</si>
  <si>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</si>
  <si>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</si>
  <si>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</si>
  <si>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</si>
  <si>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</si>
  <si>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</si>
  <si>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</si>
  <si>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</si>
  <si>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</si>
  <si>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</si>
  <si>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</si>
  <si>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</si>
  <si>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</si>
  <si>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</si>
  <si>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</si>
  <si>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</si>
  <si>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</si>
  <si>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</si>
  <si>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</si>
  <si>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</si>
  <si>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</si>
  <si>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</si>
  <si>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</si>
  <si>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</si>
  <si>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</si>
  <si>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</si>
  <si>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</si>
  <si>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</si>
  <si>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</si>
  <si>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</si>
  <si>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</si>
  <si>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</si>
  <si>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</si>
  <si>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</si>
  <si>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</si>
  <si>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</si>
  <si>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</si>
  <si>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</si>
  <si>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</si>
  <si>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</si>
  <si>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</si>
  <si>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</si>
  <si>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</si>
  <si>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</si>
  <si>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</si>
  <si>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</si>
  <si>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</si>
  <si>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</si>
  <si>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</si>
  <si>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</si>
  <si>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</si>
  <si>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</si>
  <si>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</si>
  <si>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</si>
  <si>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</si>
  <si>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</si>
  <si>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</si>
  <si>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</si>
  <si>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</si>
  <si>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</si>
  <si>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</si>
  <si>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</si>
  <si>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</si>
  <si>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</si>
  <si>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</si>
  <si>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</si>
  <si>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</si>
  <si>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</si>
  <si>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</si>
  <si>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</si>
  <si>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</si>
  <si>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</si>
  <si>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</si>
  <si>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</si>
  <si>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</si>
  <si>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</si>
  <si>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</si>
  <si>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</si>
  <si>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</si>
  <si>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</si>
  <si>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</si>
  <si>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</si>
  <si>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</si>
  <si>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</si>
  <si>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</si>
  <si>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</si>
  <si>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</si>
  <si>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</si>
  <si>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</si>
  <si>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</si>
  <si>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</si>
  <si>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</si>
  <si>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</si>
  <si>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</si>
  <si>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</si>
  <si>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</si>
  <si>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</si>
  <si>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</si>
  <si>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</si>
  <si>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</si>
  <si>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</si>
  <si>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</si>
  <si>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</si>
  <si>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</si>
  <si>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</si>
  <si>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</si>
  <si>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</si>
  <si>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</si>
  <si>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</si>
  <si>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</si>
  <si>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</si>
  <si>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</si>
  <si>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</si>
  <si>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</si>
  <si>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</si>
  <si>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</si>
  <si>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</si>
  <si>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</si>
  <si>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</si>
  <si>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</si>
  <si>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</si>
  <si>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</si>
  <si>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</si>
  <si>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</si>
  <si>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</si>
  <si>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</si>
  <si>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</si>
  <si>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</si>
  <si>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</si>
  <si>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</si>
  <si>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</si>
  <si>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</si>
  <si>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</si>
  <si>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</si>
  <si>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</si>
  <si>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</si>
  <si>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</si>
  <si>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</si>
  <si>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</si>
  <si>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</si>
  <si>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</si>
  <si>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</si>
  <si>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</si>
  <si>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</si>
  <si>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</si>
  <si>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</si>
  <si>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</si>
  <si>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</si>
  <si>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</si>
  <si>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</si>
  <si>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</si>
  <si>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</si>
  <si>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</si>
  <si>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</si>
  <si>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</si>
  <si>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</si>
  <si>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</si>
  <si>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</si>
  <si>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</si>
  <si>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</si>
  <si>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</si>
  <si>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</si>
  <si>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</si>
  <si>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</si>
  <si>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</si>
  <si>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</si>
  <si>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</si>
  <si>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</si>
  <si>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</si>
  <si>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</si>
  <si>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</si>
  <si>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</si>
  <si>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</si>
  <si>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</si>
  <si>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</si>
  <si>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</si>
  <si>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</si>
  <si>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</si>
  <si>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</si>
  <si>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</si>
  <si>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</si>
  <si>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</si>
  <si>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</si>
  <si>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</si>
  <si>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</si>
  <si>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</si>
  <si>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</si>
  <si>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</si>
  <si>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</si>
  <si>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</si>
  <si>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</si>
  <si>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</si>
  <si>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</si>
  <si>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</si>
  <si>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</si>
  <si>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</si>
  <si>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</si>
  <si>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</si>
  <si>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</si>
  <si>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</si>
  <si>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</si>
  <si>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</si>
  <si>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</si>
  <si>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</si>
  <si>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</si>
  <si>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</si>
  <si>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</si>
  <si>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</si>
  <si>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</si>
  <si>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</si>
  <si>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</si>
  <si>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</si>
  <si>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</si>
  <si>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</si>
  <si>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</si>
  <si>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</si>
  <si>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</si>
  <si>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</si>
  <si>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</si>
  <si>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</si>
  <si>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</si>
  <si>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</si>
  <si>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</si>
  <si>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</si>
  <si>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</si>
  <si>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</si>
  <si>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</si>
  <si>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</si>
  <si>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</si>
  <si>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</si>
  <si>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</si>
  <si>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</si>
  <si>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</si>
  <si>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</si>
  <si>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</si>
  <si>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</si>
  <si>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</si>
  <si>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</si>
  <si>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</si>
  <si>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</si>
  <si>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</si>
  <si>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</si>
  <si>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</si>
  <si>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</si>
  <si>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</si>
  <si>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</si>
  <si>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</si>
  <si>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</si>
  <si>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</si>
  <si>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</si>
  <si>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</si>
  <si>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</si>
  <si>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</si>
  <si>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</si>
  <si>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</si>
  <si>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</si>
  <si>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</si>
  <si>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</si>
  <si>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</si>
  <si>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</si>
  <si>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</si>
  <si>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</si>
  <si>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</si>
  <si>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</si>
  <si>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</si>
  <si>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</si>
  <si>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</si>
  <si>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</si>
  <si>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</si>
  <si>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</si>
  <si>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</si>
  <si>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</si>
  <si>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</si>
  <si>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</si>
  <si>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</si>
  <si>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</si>
  <si>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</si>
  <si>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</si>
  <si>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</si>
  <si>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</si>
  <si>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</si>
  <si>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</si>
  <si>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</si>
  <si>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</si>
  <si>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</si>
  <si>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</si>
  <si>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</si>
  <si>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</si>
  <si>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</si>
  <si>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</si>
  <si>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</si>
  <si>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</si>
  <si>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</si>
  <si>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</si>
  <si>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</si>
  <si>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</si>
  <si>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</si>
  <si>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</si>
  <si>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</si>
  <si>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</si>
  <si>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</si>
  <si>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</si>
  <si>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</si>
  <si>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</si>
  <si>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</si>
  <si>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</si>
  <si>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</si>
  <si>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</si>
  <si>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</si>
  <si>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</si>
  <si>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</si>
  <si>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</si>
  <si>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</si>
  <si>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</si>
  <si>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</si>
  <si>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</si>
  <si>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</si>
  <si>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</si>
  <si>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</si>
  <si>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</si>
  <si>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</si>
  <si>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</si>
  <si>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</si>
  <si>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</si>
  <si>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</si>
  <si>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</si>
  <si>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</si>
  <si>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</si>
  <si>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</si>
  <si>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</si>
  <si>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</si>
  <si>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</si>
  <si>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</si>
  <si>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</si>
  <si>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</si>
  <si>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</si>
  <si>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</si>
  <si>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</si>
  <si>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</si>
  <si>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</si>
  <si>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</si>
  <si>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</si>
  <si>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</si>
  <si>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</si>
  <si>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</si>
  <si>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</si>
  <si>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</si>
  <si>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</si>
  <si>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</si>
  <si>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</si>
  <si>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</si>
  <si>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</si>
  <si>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</si>
  <si>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</si>
  <si>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</si>
  <si>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</si>
  <si>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</si>
  <si>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</si>
  <si>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</si>
  <si>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</si>
  <si>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</si>
  <si>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</si>
  <si>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</si>
  <si>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</si>
  <si>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</si>
  <si>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</si>
  <si>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</si>
  <si>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</si>
  <si>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</si>
  <si>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</si>
  <si>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</si>
  <si>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</si>
  <si>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</si>
  <si>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</si>
  <si>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</si>
  <si>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</si>
  <si>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</si>
  <si>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</si>
  <si>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</si>
  <si>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</si>
  <si>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</si>
  <si>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</si>
  <si>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</si>
  <si>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</si>
  <si>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</si>
  <si>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</si>
  <si>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</si>
  <si>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</si>
  <si>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</si>
  <si>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</si>
  <si>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</si>
  <si>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</si>
  <si>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</si>
  <si>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</si>
  <si>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</si>
  <si>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</si>
  <si>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</si>
  <si>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</si>
  <si>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</si>
  <si>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</si>
  <si>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</si>
  <si>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</si>
  <si>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</si>
  <si>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</si>
  <si>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</si>
  <si>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</si>
  <si>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</si>
  <si>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</si>
  <si>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</si>
  <si>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</si>
  <si>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</si>
  <si>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</si>
  <si>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</si>
  <si>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</si>
  <si>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</si>
  <si>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</si>
  <si>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</si>
  <si>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</si>
  <si>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</si>
  <si>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</si>
  <si>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</si>
  <si>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</si>
  <si>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</si>
  <si>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</si>
  <si>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</si>
  <si>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</si>
  <si>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</si>
  <si>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</si>
  <si>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</si>
  <si>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</si>
  <si>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</si>
  <si>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</si>
  <si>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</si>
  <si>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</si>
  <si>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</si>
  <si>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</si>
  <si>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</si>
  <si>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</si>
  <si>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</si>
  <si>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</si>
  <si>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</si>
  <si>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</si>
  <si>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</si>
  <si>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</si>
  <si>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</si>
  <si>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</si>
  <si>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</si>
  <si>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</si>
  <si>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</si>
  <si>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</si>
  <si>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</si>
  <si>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</si>
  <si>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</si>
  <si>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</si>
  <si>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</si>
  <si>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</si>
  <si>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</si>
  <si>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</si>
  <si>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</si>
  <si>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</si>
  <si>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</si>
  <si>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</si>
  <si>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</si>
  <si>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</si>
  <si>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</si>
  <si>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</si>
  <si>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</si>
  <si>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</si>
  <si>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</si>
  <si>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</si>
  <si>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</si>
  <si>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</si>
  <si>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</si>
  <si>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</si>
  <si>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</si>
  <si>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</si>
  <si>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</si>
  <si>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</si>
  <si>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</si>
  <si>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</si>
  <si>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</si>
  <si>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</si>
  <si>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</si>
  <si>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</si>
  <si>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</si>
  <si>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</si>
  <si>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</si>
  <si>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</si>
  <si>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</si>
  <si>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</si>
  <si>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</si>
  <si>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</si>
  <si>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</si>
  <si>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</si>
  <si>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</si>
  <si>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</si>
  <si>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</si>
  <si>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</si>
  <si>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</si>
  <si>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</si>
  <si>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</si>
  <si>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</si>
  <si>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</si>
  <si>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</si>
  <si>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</si>
  <si>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</si>
  <si>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</si>
  <si>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</si>
  <si>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</si>
  <si>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</si>
  <si>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</si>
  <si>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</si>
  <si>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</si>
  <si>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</si>
  <si>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</si>
  <si>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</si>
  <si>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</si>
  <si>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</si>
  <si>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</si>
  <si>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</si>
  <si>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</si>
  <si>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</si>
  <si>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</si>
  <si>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</si>
  <si>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</si>
  <si>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</si>
  <si>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</si>
  <si>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</si>
  <si>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</si>
  <si>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</si>
  <si>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</si>
  <si>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</si>
  <si>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</si>
  <si>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</si>
  <si>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</si>
  <si>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</si>
  <si>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</si>
  <si>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</si>
  <si>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</si>
  <si>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</si>
  <si>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</si>
  <si>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</si>
  <si>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</si>
  <si>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</si>
  <si>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</si>
  <si>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</si>
  <si>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</si>
  <si>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</si>
  <si>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</si>
  <si>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</si>
  <si>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</si>
  <si>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</si>
  <si>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</si>
  <si>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</si>
  <si>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</si>
  <si>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</si>
  <si>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</si>
  <si>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</si>
  <si>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</si>
  <si>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</si>
  <si>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</si>
  <si>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</si>
  <si>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</si>
  <si>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</si>
  <si>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</si>
  <si>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</si>
  <si>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</si>
  <si>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</si>
  <si>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</si>
  <si>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</si>
  <si>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</si>
  <si>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</si>
  <si>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</si>
  <si>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</si>
  <si>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</si>
  <si>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</si>
  <si>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</si>
  <si>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</si>
  <si>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</si>
  <si>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</si>
  <si>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</si>
  <si>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</si>
  <si>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</si>
  <si>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</si>
  <si>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</si>
  <si>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</si>
  <si>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</si>
  <si>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</si>
  <si>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</si>
  <si>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</si>
  <si>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</si>
  <si>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</si>
  <si>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</si>
  <si>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</si>
  <si>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</si>
  <si>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</si>
  <si>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</si>
  <si>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</si>
  <si>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</si>
  <si>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</si>
  <si>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</si>
  <si>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</si>
  <si>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</si>
  <si>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</si>
  <si>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</si>
  <si>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</si>
  <si>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</si>
  <si>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</si>
  <si>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</si>
  <si>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</si>
  <si>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</si>
  <si>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</si>
  <si>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</si>
  <si>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</si>
  <si>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</si>
  <si>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</si>
  <si>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</si>
  <si>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</si>
  <si>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</si>
  <si>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</si>
  <si>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</si>
  <si>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</si>
  <si>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</si>
  <si>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</si>
  <si>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</si>
  <si>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</si>
  <si>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</si>
  <si>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</si>
  <si>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</si>
  <si>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</si>
  <si>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</si>
  <si>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</si>
  <si>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</si>
  <si>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143" type="noConversion"/>
  </si>
  <si>
    <t>栋号</t>
    <phoneticPr fontId="143" type="noConversion"/>
  </si>
  <si>
    <t>楼层</t>
    <phoneticPr fontId="143" type="noConversion"/>
  </si>
  <si>
    <t>房号</t>
    <phoneticPr fontId="143" type="noConversion"/>
  </si>
  <si>
    <t>建筑面积</t>
    <phoneticPr fontId="143" type="noConversion"/>
  </si>
  <si>
    <t>1</t>
  </si>
  <si>
    <t>2</t>
  </si>
  <si>
    <t>3</t>
  </si>
  <si>
    <t>4</t>
  </si>
  <si>
    <t>5</t>
  </si>
  <si>
    <t>6</t>
  </si>
  <si>
    <t>7</t>
  </si>
  <si>
    <t>分摊土地面积计算</t>
    <phoneticPr fontId="143" type="noConversion"/>
  </si>
  <si>
    <t>出让</t>
  </si>
  <si>
    <t>其他：</t>
  </si>
  <si>
    <t>四川省成都市</t>
    <phoneticPr fontId="6"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</si>
  <si>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6"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</si>
  <si>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</si>
  <si>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</si>
  <si>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郑燚</t>
  </si>
  <si>
    <t>王鹏</t>
  </si>
  <si>
    <t>成都市中天盈房地产开发有限公司</t>
    <phoneticPr fontId="6"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</si>
  <si>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</si>
  <si>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</si>
  <si>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</si>
  <si>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</si>
  <si>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6" type="noConversion"/>
  </si>
  <si>
    <t>商业项目</t>
  </si>
  <si>
    <t>无</t>
  </si>
  <si>
    <t>现房</t>
  </si>
  <si>
    <t>通路</t>
  </si>
  <si>
    <t>通电</t>
  </si>
  <si>
    <t>通上水</t>
  </si>
  <si>
    <t>通下水</t>
  </si>
  <si>
    <t>通热</t>
  </si>
  <si>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</si>
  <si>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</si>
  <si>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</si>
  <si>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</si>
  <si>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类型</t>
    <phoneticPr fontId="3" type="noConversion"/>
  </si>
  <si>
    <t>楼栋号</t>
    <phoneticPr fontId="3" type="noConversion"/>
  </si>
  <si>
    <t>建筑面积</t>
    <phoneticPr fontId="3" type="noConversion"/>
  </si>
  <si>
    <t>备注</t>
    <phoneticPr fontId="3" type="noConversion"/>
  </si>
  <si>
    <t>商业</t>
    <phoneticPr fontId="3" type="noConversion"/>
  </si>
  <si>
    <t>3栋</t>
    <phoneticPr fontId="3" type="noConversion"/>
  </si>
  <si>
    <t>已有产权证</t>
    <phoneticPr fontId="3" type="noConversion"/>
  </si>
  <si>
    <t>公共部分面积</t>
    <phoneticPr fontId="3" type="noConversion"/>
  </si>
  <si>
    <t>4栋</t>
  </si>
  <si>
    <t>5栋</t>
  </si>
  <si>
    <t>预计11月底取得产权</t>
    <phoneticPr fontId="3" type="noConversion"/>
  </si>
  <si>
    <t>6栋</t>
  </si>
  <si>
    <t>预计11月取得产权</t>
    <phoneticPr fontId="3" type="noConversion"/>
  </si>
  <si>
    <t>商业产权面积</t>
    <phoneticPr fontId="3" type="noConversion"/>
  </si>
  <si>
    <t>汇总</t>
    <phoneticPr fontId="3" type="noConversion"/>
  </si>
  <si>
    <t>其中公共部分面积</t>
    <phoneticPr fontId="3" type="noConversion"/>
  </si>
  <si>
    <t>地下车库面积</t>
    <phoneticPr fontId="3" type="noConversion"/>
  </si>
  <si>
    <t>在建工程抵押，预计19年9月取得大产证</t>
    <phoneticPr fontId="3" type="noConversion"/>
  </si>
  <si>
    <t>设备用房面积</t>
    <phoneticPr fontId="3" type="noConversion"/>
  </si>
  <si>
    <t>地下商业建筑面积</t>
    <phoneticPr fontId="3" type="noConversion"/>
  </si>
  <si>
    <t>总计</t>
    <phoneticPr fontId="3" type="noConversion"/>
  </si>
  <si>
    <t>地上</t>
  </si>
  <si>
    <t>地下车库</t>
    <phoneticPr fontId="3" type="noConversion"/>
  </si>
  <si>
    <t>地下商业</t>
    <phoneticPr fontId="3" type="noConversion"/>
  </si>
  <si>
    <t>设备</t>
    <phoneticPr fontId="3" type="noConversion"/>
  </si>
  <si>
    <t>地下</t>
  </si>
  <si>
    <t>车库—商业</t>
  </si>
  <si>
    <t>基准商业</t>
  </si>
  <si>
    <t>钢混</t>
  </si>
  <si>
    <t>非生产用房</t>
  </si>
  <si>
    <t>按租金收入计税</t>
  </si>
  <si>
    <t>已包含在土地取得成本中</t>
  </si>
  <si>
    <t>未包含在土地购买价格中</t>
  </si>
  <si>
    <t>项目局部</t>
  </si>
  <si>
    <t>押一</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</si>
  <si>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</si>
  <si>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</si>
  <si>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</si>
  <si>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</si>
  <si>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</si>
  <si>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</si>
  <si>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7</t>
    </r>
    <r>
      <rPr>
        <sz val="10"/>
        <color indexed="8"/>
        <rFont val="宋体"/>
        <family val="3"/>
        <charset val="134"/>
      </rPr>
      <t>层</t>
    </r>
    <phoneticPr fontId="25"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</si>
  <si>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</si>
  <si>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</si>
  <si>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</si>
  <si>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</si>
  <si>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</si>
  <si>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</si>
  <si>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</si>
  <si>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</si>
  <si>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</si>
  <si>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</si>
  <si>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</si>
  <si>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</si>
  <si>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</si>
  <si>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</si>
  <si>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</si>
  <si>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</si>
  <si>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</si>
  <si>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</si>
  <si>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</si>
  <si>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</si>
  <si>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</si>
  <si>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</si>
  <si>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</si>
  <si>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</si>
  <si>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</si>
  <si>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</si>
  <si>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</si>
  <si>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</si>
  <si>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</si>
  <si>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</si>
  <si>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</si>
  <si>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</si>
  <si>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</si>
  <si>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</si>
  <si>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</si>
  <si>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</si>
  <si>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</si>
  <si>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</si>
  <si>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</si>
  <si>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</si>
  <si>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</si>
  <si>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</si>
  <si>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</si>
  <si>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</si>
  <si>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</si>
  <si>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</si>
  <si>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</si>
  <si>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</si>
  <si>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</si>
  <si>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</si>
  <si>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</si>
  <si>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</si>
  <si>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</si>
  <si>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</si>
  <si>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</si>
  <si>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</si>
  <si>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</si>
  <si>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</si>
  <si>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</si>
  <si>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</si>
  <si>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</si>
  <si>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</si>
  <si>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</si>
  <si>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</si>
  <si>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</si>
  <si>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</si>
  <si>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</si>
  <si>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</si>
  <si>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</si>
  <si>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</si>
  <si>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</si>
  <si>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</si>
  <si>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</si>
  <si>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</si>
  <si>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</si>
  <si>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</si>
  <si>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</si>
  <si>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</si>
  <si>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</si>
  <si>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</si>
  <si>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</si>
  <si>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</si>
  <si>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</si>
  <si>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</si>
  <si>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</si>
  <si>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</si>
  <si>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</si>
  <si>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</si>
  <si>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</si>
  <si>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</si>
  <si>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</si>
  <si>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</si>
  <si>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</si>
  <si>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</si>
  <si>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</si>
  <si>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</si>
  <si>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</si>
  <si>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</si>
  <si>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</si>
  <si>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</si>
  <si>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</si>
  <si>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</si>
  <si>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</si>
  <si>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</si>
  <si>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</si>
  <si>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</si>
  <si>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</si>
  <si>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</si>
  <si>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</si>
  <si>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</si>
  <si>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</si>
  <si>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</si>
  <si>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</si>
  <si>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</si>
  <si>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</si>
  <si>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</si>
  <si>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</si>
  <si>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</si>
  <si>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</si>
  <si>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</si>
  <si>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</si>
  <si>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</si>
  <si>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</si>
  <si>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</si>
  <si>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</si>
  <si>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</si>
  <si>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</si>
  <si>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</si>
  <si>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</si>
  <si>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</si>
  <si>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</si>
  <si>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</si>
  <si>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</si>
  <si>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</si>
  <si>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</si>
  <si>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</si>
  <si>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</si>
  <si>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</si>
  <si>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</si>
  <si>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</si>
  <si>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</si>
  <si>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</si>
  <si>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</si>
  <si>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</si>
  <si>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</si>
  <si>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</si>
  <si>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</si>
  <si>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</si>
  <si>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</si>
  <si>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</si>
  <si>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</si>
  <si>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</si>
  <si>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</si>
  <si>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</si>
  <si>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</si>
  <si>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</si>
  <si>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</si>
  <si>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</si>
  <si>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</si>
  <si>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</si>
  <si>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</si>
  <si>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</si>
  <si>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</si>
  <si>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</si>
  <si>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</si>
  <si>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</si>
  <si>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</si>
  <si>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多面临街</t>
  </si>
  <si>
    <t>单面临街</t>
  </si>
  <si>
    <t>双面临街</t>
  </si>
  <si>
    <t>城市次干道——交子大道</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</si>
  <si>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</si>
  <si>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</si>
  <si>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</si>
  <si>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</si>
  <si>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</si>
  <si>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</si>
  <si>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</si>
  <si>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城市主干道——剑南大道中段</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</si>
  <si>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</si>
  <si>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</si>
  <si>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</si>
  <si>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</si>
  <si>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</si>
  <si>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</si>
  <si>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</si>
  <si>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</si>
  <si>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</si>
  <si>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</si>
  <si>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</si>
  <si>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</si>
  <si>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</si>
  <si>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r>
      <rPr>
        <sz val="11"/>
        <color theme="9" tint="-0.249977111117893"/>
        <rFont val="宋体"/>
        <family val="3"/>
        <charset val="134"/>
      </rPr>
      <t>案例</t>
    </r>
    <r>
      <rPr>
        <sz val="11"/>
        <color theme="9" tint="-0.249977111117893"/>
        <rFont val="Arial"/>
        <family val="2"/>
      </rPr>
      <t>A</t>
    </r>
    <phoneticPr fontId="3" type="noConversion"/>
  </si>
  <si>
    <t>武侯区簇锦街道铁佛村9组</t>
    <phoneticPr fontId="3" type="noConversion"/>
  </si>
  <si>
    <t>武侯区簇锦街道铁佛村9、10组</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</si>
  <si>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</si>
  <si>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高新区大源组团</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</si>
  <si>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</si>
  <si>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估价对象位于成都市高新区，周边商业氛围较成熟，人流量较大，有九方购物中心、天虹商场等商业项目，商业繁华度较好。</t>
    <phoneticPr fontId="25" type="noConversion"/>
  </si>
  <si>
    <t>估价对象周边路网较密集、公共交通通达情况较好，有115、236路及地铁1号线等公共交通，停车便捷程度较好，综合评价交通便捷度较好。</t>
    <phoneticPr fontId="41" type="noConversion"/>
  </si>
  <si>
    <t>估价对象所在区域基础设施水平达到“六通”。</t>
    <phoneticPr fontId="25"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</si>
  <si>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1" type="noConversion"/>
  </si>
  <si>
    <t>区域自然环境：鲨鱼公园；人文环境：成都规划馆；综合评价环境状况一般。</t>
    <phoneticPr fontId="41" type="noConversion"/>
  </si>
  <si>
    <t>较好</t>
  </si>
  <si>
    <t>一般</t>
  </si>
  <si>
    <t>城市次干道——千龙路</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</si>
  <si>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</si>
  <si>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区域内多为商业办公用地吗，土地利用方向较一致。</t>
    <phoneticPr fontId="25" type="noConversion"/>
  </si>
  <si>
    <t>城市次干道——交子大道</t>
    <phoneticPr fontId="25" type="noConversion"/>
  </si>
  <si>
    <t>位于成都市武侯区，周边商业氛围一般，人流量一般，有兰亭集商业生活广场、千盛生活超市等商业项目，商业繁华度一般。</t>
    <phoneticPr fontId="31"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</si>
  <si>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</si>
  <si>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t>区域自然环境：簇锦公园；人文环境：农银大学；综合评价环境状况一般。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</si>
  <si>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1" type="noConversion"/>
  </si>
  <si>
    <t>位于成都市高新区，周边商业氛围较好，人流量较好，有华堂商场、麦德龙超市等商业项目，商业繁华度较好般。</t>
    <phoneticPr fontId="31"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</si>
  <si>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</si>
  <si>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区域自然环境：大源中央公园；人文环境：川江钱币博物馆；综合评价环境状况一般。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</si>
  <si>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1" type="noConversion"/>
  </si>
  <si>
    <t>购物中心</t>
  </si>
  <si>
    <t>购物中心</t>
    <phoneticPr fontId="7" type="noConversion"/>
  </si>
  <si>
    <t>地下车库</t>
    <phoneticPr fontId="7" type="noConversion"/>
  </si>
  <si>
    <t>地下商业</t>
  </si>
  <si>
    <t>地下商业</t>
    <phoneticPr fontId="7" type="noConversion"/>
  </si>
  <si>
    <t>工程进度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</si>
  <si>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</si>
  <si>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</si>
  <si>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</si>
  <si>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</si>
  <si>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</si>
  <si>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</si>
  <si>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</si>
  <si>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t>在建（套用方法）</t>
  </si>
  <si>
    <t>收益法</t>
  </si>
  <si>
    <t>收益法 (地下商业)</t>
  </si>
  <si>
    <t>收益法 (车库)</t>
  </si>
  <si>
    <t>已全部缴纳</t>
  </si>
  <si>
    <t>成本法</t>
  </si>
  <si>
    <t>假设开发法</t>
  </si>
  <si>
    <t>现房</t>
    <phoneticPr fontId="143" type="noConversion"/>
  </si>
  <si>
    <t>在建</t>
    <phoneticPr fontId="143" type="noConversion"/>
  </si>
  <si>
    <t>分摊土地</t>
    <phoneticPr fontId="143" type="noConversion"/>
  </si>
  <si>
    <t>在建：</t>
    <phoneticPr fontId="143" type="noConversion"/>
  </si>
  <si>
    <r>
      <t>W</t>
    </r>
    <r>
      <rPr>
        <sz val="11"/>
        <color theme="1"/>
        <rFont val="宋体"/>
        <family val="3"/>
        <charset val="134"/>
        <scheme val="minor"/>
      </rPr>
      <t>1</t>
    </r>
    <phoneticPr fontId="143" type="noConversion"/>
  </si>
  <si>
    <r>
      <t>W</t>
    </r>
    <r>
      <rPr>
        <sz val="11"/>
        <color theme="1"/>
        <rFont val="宋体"/>
        <family val="3"/>
        <charset val="134"/>
        <scheme val="minor"/>
      </rPr>
      <t>2</t>
    </r>
    <phoneticPr fontId="143" type="noConversion"/>
  </si>
  <si>
    <t>悠方现房</t>
    <phoneticPr fontId="143" type="noConversion"/>
  </si>
  <si>
    <t>悠方在建</t>
    <phoneticPr fontId="143" type="noConversion"/>
  </si>
  <si>
    <t>现房</t>
    <phoneticPr fontId="143" type="noConversion"/>
  </si>
  <si>
    <t>悠方在建改现房</t>
    <phoneticPr fontId="143" type="noConversion"/>
  </si>
  <si>
    <t>自定义</t>
  </si>
  <si>
    <t>在建</t>
  </si>
  <si>
    <t>改思路</t>
  </si>
  <si>
    <t>土地取得费用</t>
  </si>
  <si>
    <t>W酒店</t>
  </si>
  <si>
    <t>悠方</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</si>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</sst>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6" fillId="9" borderId="1" xfId="13" applyFont="1" applyFill="1" applyBorder="1" applyAlignment="1">
      <alignment horizontal="center" vertical="center" wrapText="1"/>
    </xf>
    <xf numFmtId="176" fontId="56" fillId="9" borderId="1" xfId="13" applyNumberFormat="1" applyFont="1" applyFill="1" applyBorder="1" applyAlignment="1">
      <alignment horizontal="center" vertical="center" wrapText="1"/>
    </xf>
    <xf numFmtId="0" fontId="105" fillId="17" borderId="1" xfId="0" applyFont="1" applyFill="1" applyBorder="1" applyAlignment="1">
      <alignment horizontal="center" vertical="center"/>
    </xf>
    <xf numFmtId="49" fontId="56" fillId="17" borderId="1" xfId="0" applyNumberFormat="1" applyFont="1" applyFill="1" applyBorder="1" applyAlignment="1">
      <alignment horizontal="center" vertical="center"/>
    </xf>
    <xf numFmtId="0" fontId="56" fillId="17" borderId="1" xfId="0" applyFont="1" applyFill="1" applyBorder="1" applyAlignment="1">
      <alignment horizontal="center" vertical="center"/>
    </xf>
    <xf numFmtId="179" fontId="56" fillId="17"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5" borderId="1" xfId="0" applyFont="1" applyFill="1" applyBorder="1" applyAlignment="1">
      <alignment horizontal="center" vertical="center"/>
    </xf>
    <xf numFmtId="176" fontId="56" fillId="5" borderId="1" xfId="0" applyNumberFormat="1" applyFont="1" applyFill="1" applyBorder="1" applyAlignment="1">
      <alignment horizontal="center" vertical="center"/>
    </xf>
    <xf numFmtId="0" fontId="105" fillId="9" borderId="1" xfId="0" applyFont="1" applyFill="1" applyBorder="1" applyAlignment="1">
      <alignment horizontal="center" vertical="center"/>
    </xf>
    <xf numFmtId="179" fontId="0" fillId="0" borderId="0" xfId="0" applyNumberFormat="1" applyAlignment="1">
      <alignment horizontal="center" vertical="center"/>
    </xf>
    <xf numFmtId="0" fontId="190" fillId="7" borderId="60"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4" fillId="0" borderId="1" xfId="0" applyFont="1" applyBorder="1">
      <alignment vertical="center"/>
    </xf>
    <xf numFmtId="0" fontId="19" fillId="0" borderId="1" xfId="0" applyFont="1" applyBorder="1" applyAlignment="1">
      <alignment horizontal="left" vertical="center"/>
    </xf>
    <xf numFmtId="0" fontId="19" fillId="0" borderId="1" xfId="0" applyFont="1" applyBorder="1">
      <alignment vertical="center"/>
    </xf>
    <xf numFmtId="179" fontId="13" fillId="0" borderId="1" xfId="0" applyNumberFormat="1" applyFont="1" applyBorder="1" applyAlignment="1">
      <alignment horizontal="right" vertical="center" wrapText="1"/>
    </xf>
    <xf numFmtId="0" fontId="84" fillId="0" borderId="1" xfId="0" applyFont="1" applyFill="1" applyBorder="1">
      <alignment vertical="center"/>
    </xf>
    <xf numFmtId="179" fontId="84" fillId="0" borderId="1" xfId="0" applyNumberFormat="1" applyFont="1" applyFill="1" applyBorder="1">
      <alignment vertical="center"/>
    </xf>
    <xf numFmtId="179" fontId="147"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lignment vertical="center"/>
    </xf>
    <xf numFmtId="179" fontId="19" fillId="5" borderId="1" xfId="0" applyNumberFormat="1" applyFont="1" applyFill="1" applyBorder="1">
      <alignment vertical="center"/>
    </xf>
    <xf numFmtId="179" fontId="19" fillId="0" borderId="1" xfId="0" applyNumberFormat="1"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pplyAlignment="1"/>
    <xf numFmtId="0" fontId="113" fillId="5" borderId="0" xfId="0" applyFont="1" applyFill="1" applyAlignment="1"/>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65288;&#22312;&#24314;&#25913;&#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25941</v>
          </cell>
          <cell r="C14">
            <v>2075.37</v>
          </cell>
          <cell r="D14">
            <v>47843</v>
          </cell>
          <cell r="G14">
            <v>47843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47843</v>
          </cell>
        </row>
        <row r="22">
          <cell r="S22">
            <v>47843</v>
          </cell>
        </row>
      </sheetData>
      <sheetData sheetId="39"/>
      <sheetData sheetId="40"/>
      <sheetData sheetId="41"/>
      <sheetData sheetId="42"/>
      <sheetData sheetId="43"/>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214135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四川省成都市高新区交子大道300号出让国有建设用地使用权及在建建筑物房地产抵押价值预评估</v>
      </c>
    </row>
    <row r="3" spans="1:2" s="1592" customFormat="1">
      <c r="A3" s="1590" t="s">
        <v>1221</v>
      </c>
      <c r="B3" s="1591" t="str">
        <f>'预评函-封皮'!B40</f>
        <v>成都市中天盈房地产开发有限公司</v>
      </c>
    </row>
    <row r="4" spans="1:2" s="1592" customFormat="1">
      <c r="A4" s="1590" t="s">
        <v>1222</v>
      </c>
      <c r="B4" s="1591" t="str">
        <f ca="1">'预评函-封皮'!B46</f>
        <v>郑燚（注册号：1120070131)、王鹏（注册号：1120050019)</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受贵公司委托，我公司对四川省成都市高新区交子大道300号出让国有建设用地使用权及在建建筑物房地产抵押价值进行了预评估。</v>
      </c>
    </row>
    <row r="7" spans="1:2" s="1592" customFormat="1">
      <c r="A7" s="1590" t="s">
        <v>1264</v>
      </c>
      <c r="B7" s="1591" t="str">
        <f>'预评函-1'!A7</f>
        <v>估价对象为四川省成都市高新区交子大道300号出让国有建设用地使用权及在建建筑物房地产，为所有。根据《国有土地使用证》[成高国用（2009）第8728号]，估价对象（分摊）出让国有建设用地使用权面积为13142.44平方米，建筑面积为164273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四川省成都市高新区交子大道300号出让国有建设用地使用权及在建建筑物房地产,属开发建设的商业项目，该项目尚在开发建设中。根据《国有土地使用证》[成高国用（2009）第8728号]，估价对象（分摊）出让国有建设用地使用权面积为13142.44平方米，规划建筑面积为164273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2018年8月12日（评估专业人员实地查勘之日）</v>
      </c>
    </row>
    <row r="13" spans="1:2" s="1592" customFormat="1">
      <c r="A13" s="1590" t="s">
        <v>1227</v>
      </c>
      <c r="B13" s="1591"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188179</v>
      </c>
    </row>
    <row r="21" spans="1:2" s="1592" customFormat="1">
      <c r="A21" s="1590" t="s">
        <v>1235</v>
      </c>
      <c r="B21" s="1591">
        <f ca="1">'预评函-2'!D7</f>
        <v>11455</v>
      </c>
    </row>
    <row r="22" spans="1:2" s="1592" customFormat="1">
      <c r="A22" s="1590" t="s">
        <v>1236</v>
      </c>
      <c r="B22" s="1591" t="str">
        <f ca="1">'预评函-2'!D6</f>
        <v>壹拾捌亿捌仟壹佰柒拾玖万元整</v>
      </c>
    </row>
    <row r="23" spans="1:2" s="1592" customFormat="1">
      <c r="A23" s="1590" t="s">
        <v>1287</v>
      </c>
      <c r="B23" s="1591" t="str">
        <f>'预评函-2'!B8</f>
        <v>2.估价师知悉的法定优先受偿款</v>
      </c>
    </row>
    <row r="24" spans="1:2" s="1592" customFormat="1">
      <c r="A24" s="1590" t="s">
        <v>1293</v>
      </c>
      <c r="B24" s="1591">
        <f>'预评函-2'!D8</f>
        <v>1600</v>
      </c>
    </row>
    <row r="25" spans="1:2" s="1592" customFormat="1">
      <c r="A25" s="1590" t="s">
        <v>1237</v>
      </c>
      <c r="B25" s="1591" t="str">
        <f>'预评函-2'!D9</f>
        <v>壹仟陆佰万元整</v>
      </c>
    </row>
    <row r="26" spans="1:2" s="1592" customFormat="1">
      <c r="A26" s="1590" t="s">
        <v>1238</v>
      </c>
      <c r="B26" s="1591">
        <f>'预评函-2'!D10</f>
        <v>50000</v>
      </c>
    </row>
    <row r="27" spans="1:2" s="1592" customFormat="1">
      <c r="A27" s="1590" t="s">
        <v>1239</v>
      </c>
      <c r="B27" s="1591">
        <f>'预评函-2'!D11</f>
        <v>1600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186579</v>
      </c>
    </row>
    <row r="31" spans="1:2" s="1592" customFormat="1">
      <c r="A31" s="1590" t="s">
        <v>1274</v>
      </c>
      <c r="B31" s="1591">
        <f ca="1">'预评函-2'!D15</f>
        <v>11358</v>
      </c>
    </row>
    <row r="32" spans="1:2" s="1592" customFormat="1">
      <c r="A32" s="1590" t="s">
        <v>1241</v>
      </c>
      <c r="B32" s="1591" t="str">
        <f ca="1">'预评函-2'!D14</f>
        <v>壹拾捌亿陆仟伍佰柒拾玖万元整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4.抵押净值</v>
      </c>
    </row>
    <row r="38" spans="1:2" s="1592" customFormat="1">
      <c r="A38" s="1590" t="s">
        <v>1295</v>
      </c>
      <c r="B38" s="1591">
        <f ca="1">'预评函-2'!D19</f>
        <v>205754</v>
      </c>
    </row>
    <row r="39" spans="1:2" s="1592" customFormat="1">
      <c r="A39" s="1590" t="s">
        <v>1243</v>
      </c>
      <c r="B39" s="1591">
        <f ca="1">'预评函-2'!D21</f>
        <v>12525</v>
      </c>
    </row>
    <row r="40" spans="1:2" s="1592" customFormat="1">
      <c r="A40" s="1590" t="s">
        <v>1244</v>
      </c>
      <c r="B40" s="1591" t="str">
        <f ca="1">'预评函-2'!D20</f>
        <v>贰拾亿伍仟柒佰伍拾肆万元整</v>
      </c>
    </row>
    <row r="41" spans="1:2" s="1592" customFormat="1">
      <c r="A41" s="1590" t="s">
        <v>1290</v>
      </c>
      <c r="B41" s="1591" t="str">
        <f>'预评函-3'!A4</f>
        <v>四川省成都市高新区交子大道300号出让国有建设用地使用权及在建建筑物房地产</v>
      </c>
    </row>
    <row r="42" spans="1:2" s="1592" customFormat="1">
      <c r="A42" s="1590" t="s">
        <v>1288</v>
      </c>
      <c r="B42" s="1591" t="str">
        <f>'预评函-3'!B2</f>
        <v>建筑面积</v>
      </c>
    </row>
    <row r="43" spans="1:2" s="1592" customFormat="1">
      <c r="A43" s="1590" t="s">
        <v>1289</v>
      </c>
      <c r="B43" s="1591">
        <f>'预评函-3'!B4</f>
        <v>164273</v>
      </c>
    </row>
    <row r="44" spans="1:2" s="1592" customFormat="1">
      <c r="A44" s="1590" t="s">
        <v>1273</v>
      </c>
      <c r="B44" s="1591" t="str">
        <f>'预评函-3'!C2</f>
        <v>(分摊)土地面积</v>
      </c>
    </row>
    <row r="45" spans="1:2" s="1592" customFormat="1">
      <c r="A45" s="1590" t="s">
        <v>1245</v>
      </c>
      <c r="B45" s="1591">
        <f>'预评函-3'!C4</f>
        <v>13142.44</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抵押净值</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故，本次评估估价师知悉的法定优先受偿款为人民币1600万元整。</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王鹏</v>
      </c>
    </row>
    <row r="73" spans="1:2" s="1586" customFormat="1" ht="15" thickBot="1">
      <c r="A73" s="1593" t="s">
        <v>1263</v>
      </c>
      <c r="B73" s="1594">
        <f ca="1">'预评函-4'!B5</f>
        <v>1120050019</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3358</v>
      </c>
      <c r="C17" s="2014"/>
    </row>
    <row r="18" spans="1:3">
      <c r="A18" s="2013" t="s">
        <v>1767</v>
      </c>
      <c r="B18" s="2013" t="s">
        <v>3357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1" t="s">
        <v>864</v>
      </c>
      <c r="C54" s="2018" t="s">
        <v>1281</v>
      </c>
    </row>
    <row r="55" spans="1:4">
      <c r="A55" s="3037"/>
      <c r="B55" s="2021" t="s">
        <v>865</v>
      </c>
      <c r="C55" s="2018" t="s">
        <v>1282</v>
      </c>
    </row>
    <row r="56" spans="1:4">
      <c r="A56" s="3037"/>
      <c r="B56" s="2021" t="s">
        <v>866</v>
      </c>
      <c r="C56" s="2018" t="s">
        <v>1286</v>
      </c>
    </row>
    <row r="57" spans="1:4">
      <c r="A57" s="3037"/>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2" sqref="L1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1776</v>
      </c>
      <c r="B1" s="3046" t="str">
        <f>IF(B10="北京市","北京市",C10)&amp;F10&amp;IF(结果表!G1="在建","出让国有建设用地使用权及在建建筑物",IF(结果表!G1="土地","出让国有建设用地使用权",))&amp;B9&amp;"预评估"</f>
        <v>四川省成都市高新区交子大道300号出让国有建设用地使用权及在建建筑物房地产抵押价值预评估</v>
      </c>
      <c r="C1" s="3047"/>
      <c r="D1" s="3047"/>
      <c r="E1" s="3047"/>
      <c r="F1" s="3047"/>
      <c r="G1" s="3047"/>
      <c r="H1" s="3047"/>
      <c r="I1" s="304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四川省成都市高新区交子大道300号出让国有建设用地使用权及在建建筑物房地产抵押价值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四川省成都市高新区交子大道300号出让国有建设用地使用权及在建建筑物房地产</v>
      </c>
    </row>
    <row r="3" spans="1:19" ht="18" customHeight="1">
      <c r="A3" s="2034" t="s">
        <v>1778</v>
      </c>
      <c r="B3" s="2035">
        <v>43324</v>
      </c>
      <c r="C3" s="2036" t="s">
        <v>1779</v>
      </c>
      <c r="D3" s="2035">
        <v>43324</v>
      </c>
      <c r="E3" s="2025"/>
      <c r="F3" s="2025"/>
      <c r="G3" s="2025"/>
      <c r="H3" s="2025"/>
      <c r="I3" s="2025"/>
      <c r="J3" s="2025"/>
      <c r="K3" s="2026"/>
      <c r="L3" s="2027"/>
      <c r="M3" s="2027"/>
      <c r="N3" s="2028"/>
      <c r="O3" s="2029"/>
      <c r="P3" s="2028"/>
      <c r="Q3" s="2028"/>
      <c r="R3" s="2028"/>
      <c r="S3" s="2030"/>
    </row>
    <row r="4" spans="1:19" ht="18" customHeight="1" thickBot="1">
      <c r="A4" s="2037" t="s">
        <v>1780</v>
      </c>
      <c r="B4" s="2038" t="s">
        <v>3063</v>
      </c>
      <c r="C4" s="1037">
        <f ca="1">SUMIF(注册房地产估价师,B4,估价师及机构信息!B3:B24)</f>
        <v>1120070131</v>
      </c>
      <c r="D4" s="2038" t="s">
        <v>3064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1781</v>
      </c>
      <c r="B5" s="2958" t="s">
        <v>3065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1783</v>
      </c>
      <c r="B7" s="2958" t="s">
        <v>3065</v>
      </c>
      <c r="C7" s="2048"/>
      <c r="D7" s="2049"/>
      <c r="E7" s="2033"/>
      <c r="F7" s="2041"/>
      <c r="G7" s="2041"/>
      <c r="H7" s="2041"/>
      <c r="I7" s="2041"/>
      <c r="J7" s="2041"/>
      <c r="K7" s="2051"/>
      <c r="L7" s="2027"/>
      <c r="M7" s="2027"/>
      <c r="N7" s="2028"/>
      <c r="O7" s="2029"/>
      <c r="P7" s="2028"/>
      <c r="Q7" s="2028"/>
      <c r="R7" s="2028"/>
    </row>
    <row r="8" spans="1:19" ht="18" customHeight="1">
      <c r="A8" s="2046" t="s">
        <v>1784</v>
      </c>
      <c r="B8" s="2052" t="s">
        <v>3067</v>
      </c>
      <c r="C8" s="2053"/>
      <c r="D8" s="3049" t="s">
        <v>1785</v>
      </c>
      <c r="E8" s="2054" t="s">
        <v>3066</v>
      </c>
      <c r="F8" s="2055"/>
      <c r="G8" s="2025"/>
      <c r="H8" s="2025"/>
      <c r="I8" s="2025"/>
      <c r="J8" s="2041"/>
      <c r="K8" s="2042"/>
      <c r="L8" s="2027"/>
      <c r="M8" s="2027"/>
      <c r="N8" s="2028"/>
      <c r="O8" s="2029"/>
      <c r="P8" s="2028"/>
      <c r="Q8" s="2028"/>
      <c r="R8" s="2028"/>
    </row>
    <row r="9" spans="1:19" ht="18" customHeight="1" thickBot="1">
      <c r="A9" s="2039" t="s">
        <v>1786</v>
      </c>
      <c r="B9" s="2056" t="s">
        <v>3066</v>
      </c>
      <c r="C9" s="2057"/>
      <c r="D9" s="3050"/>
      <c r="E9" s="2056" t="s">
        <v>1285</v>
      </c>
      <c r="F9" s="2058"/>
      <c r="G9" s="2059"/>
      <c r="H9" s="2059"/>
      <c r="I9" s="2059"/>
      <c r="J9" s="2041"/>
      <c r="K9" s="2051"/>
      <c r="L9" s="2027"/>
      <c r="M9" s="2027"/>
      <c r="N9" s="2028"/>
      <c r="O9" s="2029"/>
      <c r="P9" s="2028"/>
      <c r="Q9" s="2028"/>
      <c r="R9" s="2028"/>
    </row>
    <row r="10" spans="1:19" ht="18" customHeight="1" thickTop="1">
      <c r="A10" s="2060" t="s">
        <v>1787</v>
      </c>
      <c r="B10" s="2061" t="s">
        <v>3058</v>
      </c>
      <c r="C10" s="2957" t="s">
        <v>3059</v>
      </c>
      <c r="D10" s="2045"/>
      <c r="E10" s="2062" t="s">
        <v>1788</v>
      </c>
      <c r="F10" s="2063" t="s">
        <v>3060</v>
      </c>
      <c r="G10" s="2064"/>
      <c r="H10" s="2065"/>
      <c r="I10" s="2045"/>
      <c r="J10" s="2041"/>
      <c r="K10" s="2051"/>
      <c r="L10" s="2027"/>
      <c r="M10" s="2027"/>
      <c r="N10" s="2028"/>
      <c r="O10" s="2029"/>
      <c r="P10" s="2028"/>
      <c r="Q10" s="2028"/>
      <c r="R10" s="2028"/>
    </row>
    <row r="11" spans="1:19" ht="18" customHeight="1">
      <c r="A11" s="2066" t="s">
        <v>1789</v>
      </c>
      <c r="B11" s="2067"/>
      <c r="C11" s="2068"/>
      <c r="D11" s="2069"/>
      <c r="E11" s="2041"/>
      <c r="F11" s="2041"/>
      <c r="G11" s="2041"/>
      <c r="H11" s="2041"/>
      <c r="I11" s="2041"/>
      <c r="J11" s="2041"/>
      <c r="K11" s="2051"/>
      <c r="L11" s="2027"/>
      <c r="M11" s="2027"/>
      <c r="N11" s="2028"/>
      <c r="O11" s="2029"/>
      <c r="P11" s="2028"/>
      <c r="Q11" s="2028"/>
      <c r="R11" s="2028"/>
    </row>
    <row r="12" spans="1:19" ht="18" customHeight="1">
      <c r="A12" s="2070" t="s">
        <v>1790</v>
      </c>
      <c r="B12" s="2067" t="s">
        <v>3057</v>
      </c>
      <c r="C12" s="2071" t="s">
        <v>1791</v>
      </c>
      <c r="D12" s="2072" t="s">
        <v>1792</v>
      </c>
      <c r="E12" s="2072" t="s">
        <v>1793</v>
      </c>
      <c r="F12" s="2072" t="s">
        <v>1794</v>
      </c>
      <c r="G12" s="2072" t="s">
        <v>1795</v>
      </c>
      <c r="H12" s="2072" t="s">
        <v>1796</v>
      </c>
      <c r="I12" s="2072" t="s">
        <v>1797</v>
      </c>
      <c r="J12" s="2041"/>
      <c r="K12" s="2051"/>
      <c r="L12" s="2027"/>
      <c r="M12" s="2027"/>
      <c r="N12" s="2028"/>
      <c r="O12" s="2029"/>
      <c r="P12" s="2028"/>
      <c r="Q12" s="2028"/>
      <c r="R12" s="2028"/>
    </row>
    <row r="13" spans="1:19" ht="18" customHeight="1">
      <c r="A13" s="2073"/>
      <c r="B13" s="2074"/>
      <c r="C13" s="2075" t="s">
        <v>1798</v>
      </c>
      <c r="D13" s="2076"/>
      <c r="E13" s="2076">
        <v>53900</v>
      </c>
      <c r="F13" s="2076"/>
      <c r="G13" s="2076">
        <v>53900</v>
      </c>
      <c r="H13" s="2076"/>
      <c r="I13" s="1047"/>
      <c r="J13" s="2041"/>
      <c r="K13" s="2051"/>
      <c r="L13" s="2027"/>
      <c r="M13" s="2027"/>
      <c r="N13" s="2028"/>
      <c r="O13" s="2029"/>
      <c r="P13" s="2028"/>
      <c r="Q13" s="2028"/>
      <c r="R13" s="2028"/>
    </row>
    <row r="14" spans="1:19" ht="18" customHeight="1">
      <c r="A14" s="2073"/>
      <c r="B14" s="2074"/>
      <c r="C14" s="2075" t="s">
        <v>1799</v>
      </c>
      <c r="D14" s="1050"/>
      <c r="E14" s="1050">
        <v>40</v>
      </c>
      <c r="F14" s="1050"/>
      <c r="G14" s="1050">
        <v>40</v>
      </c>
      <c r="H14" s="1050"/>
      <c r="I14" s="1050"/>
      <c r="J14" s="2041"/>
      <c r="K14" s="2077"/>
      <c r="L14" s="2027"/>
      <c r="M14" s="2027"/>
      <c r="N14" s="2028"/>
      <c r="O14" s="2029"/>
      <c r="P14" s="2028"/>
      <c r="Q14" s="2028"/>
      <c r="R14" s="2028"/>
    </row>
    <row r="15" spans="1:19" ht="18" customHeight="1">
      <c r="A15" s="2060"/>
      <c r="B15" s="2078"/>
      <c r="C15" s="2075" t="s">
        <v>1800</v>
      </c>
      <c r="D15" s="1049" t="str">
        <f>IF(B12="出让",IF(D13="","",ROUNDDOWN(MIN((D13-$D$3)/365,D14),2)),D14)</f>
        <v/>
      </c>
      <c r="E15" s="1049">
        <f>IF(B12="出让",IF(E13="","",ROUNDDOWN(MIN((E13-$D$3)/365,E14),2)),E14)</f>
        <v>28.97</v>
      </c>
      <c r="F15" s="1049" t="str">
        <f>IF(B12="出让",IF(F13="","",ROUNDDOWN(MIN((F13-$D$3)/365,F14),2)),F14)</f>
        <v/>
      </c>
      <c r="G15" s="1049">
        <f>IF(B12="出让",IF(G13="","",ROUNDDOWN(MIN((G13-$D$3)/365,G14),2)),G14)</f>
        <v>28.97</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1801</v>
      </c>
      <c r="B16" s="3056"/>
      <c r="C16" s="3057"/>
      <c r="D16" s="3058"/>
      <c r="E16" s="2082" t="s">
        <v>1802</v>
      </c>
      <c r="F16" s="3059" t="s">
        <v>3061</v>
      </c>
      <c r="G16" s="3060"/>
      <c r="H16" s="3060"/>
      <c r="I16" s="3061"/>
      <c r="J16" s="2028"/>
      <c r="K16" s="2079"/>
      <c r="L16" s="2080"/>
      <c r="M16" s="2080"/>
      <c r="N16" s="2081"/>
      <c r="O16" s="2080"/>
      <c r="P16" s="2081"/>
      <c r="Q16" s="2028"/>
      <c r="R16" s="2028"/>
    </row>
    <row r="17" spans="1:22" ht="18" customHeight="1">
      <c r="A17" s="2083" t="s">
        <v>1803</v>
      </c>
      <c r="B17" s="2034" t="s">
        <v>1804</v>
      </c>
      <c r="C17" s="1054">
        <f>'数据-汇总表'!E3</f>
        <v>164273</v>
      </c>
      <c r="D17" s="2084" t="s">
        <v>1805</v>
      </c>
      <c r="E17" s="3062" t="s">
        <v>3062</v>
      </c>
      <c r="F17" s="3063"/>
      <c r="G17" s="3063"/>
      <c r="H17" s="3063"/>
      <c r="I17" s="3064"/>
      <c r="J17" s="2028"/>
      <c r="K17" s="2085"/>
      <c r="L17" s="2080"/>
      <c r="M17" s="2080"/>
      <c r="N17" s="2081"/>
      <c r="O17" s="2080"/>
      <c r="P17" s="2081"/>
      <c r="Q17" s="2028"/>
      <c r="R17" s="2028"/>
      <c r="S17" s="2028"/>
      <c r="T17" s="2028"/>
      <c r="U17" s="2028"/>
      <c r="V17" s="2028"/>
    </row>
    <row r="18" spans="1:22" ht="36" customHeight="1" thickBot="1">
      <c r="A18" s="2086" t="s">
        <v>1806</v>
      </c>
      <c r="B18" s="2037" t="s">
        <v>1807</v>
      </c>
      <c r="C18" s="1444">
        <f>'数据-汇总表'!D3</f>
        <v>13142.44</v>
      </c>
      <c r="D18" s="2087" t="s">
        <v>1805</v>
      </c>
      <c r="E18" s="3065" t="s">
        <v>3070</v>
      </c>
      <c r="F18" s="3066"/>
      <c r="G18" s="3066"/>
      <c r="H18" s="3066"/>
      <c r="I18" s="3067"/>
      <c r="J18" s="2028"/>
      <c r="K18" s="2085"/>
      <c r="L18" s="2080"/>
      <c r="M18" s="2080"/>
      <c r="N18" s="2081"/>
      <c r="O18" s="2080"/>
      <c r="P18" s="2081"/>
      <c r="Q18" s="2028"/>
      <c r="R18" s="2028"/>
      <c r="S18" s="2028"/>
      <c r="T18" s="2028"/>
      <c r="U18" s="2028"/>
      <c r="V18" s="2028"/>
    </row>
    <row r="19" spans="1:22" ht="37.5" customHeight="1" thickTop="1" thickBot="1">
      <c r="A19" s="373" t="s">
        <v>1808</v>
      </c>
      <c r="B19" s="352" t="s">
        <v>1809</v>
      </c>
      <c r="C19" s="2088" t="s">
        <v>3069</v>
      </c>
      <c r="D19" s="2089" t="s">
        <v>1810</v>
      </c>
      <c r="E19" s="2090" t="s">
        <v>3069</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1811</v>
      </c>
      <c r="B20" s="3052" t="s">
        <v>1812</v>
      </c>
      <c r="C20" s="3053"/>
      <c r="D20" s="3054" t="s">
        <v>1813</v>
      </c>
      <c r="E20" s="3055"/>
      <c r="F20" s="2094" t="s">
        <v>1814</v>
      </c>
      <c r="G20" s="2041"/>
      <c r="H20" s="2041"/>
      <c r="I20" s="2041"/>
      <c r="J20" s="2041"/>
      <c r="K20" s="3051"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1816</v>
      </c>
      <c r="C21" s="2096" t="s">
        <v>1817</v>
      </c>
      <c r="D21" s="2097" t="s">
        <v>1818</v>
      </c>
      <c r="E21" s="2098" t="s">
        <v>1817</v>
      </c>
      <c r="F21" s="2099"/>
      <c r="G21" s="2041"/>
      <c r="H21" s="2041"/>
      <c r="I21" s="2041"/>
      <c r="J21" s="2041"/>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c r="D23" s="2104" t="s">
        <v>1822</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1823</v>
      </c>
      <c r="C24" s="2108"/>
      <c r="D24" s="2102" t="s">
        <v>1823</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1824</v>
      </c>
      <c r="C25" s="2108"/>
      <c r="D25" s="2102" t="s">
        <v>1824</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1825</v>
      </c>
      <c r="C26" s="2112"/>
      <c r="D26" s="2113" t="s">
        <v>1826</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9" t="s">
        <v>1827</v>
      </c>
      <c r="B27" s="2060" t="s">
        <v>1828</v>
      </c>
      <c r="C27" s="2116" t="s">
        <v>3071</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9"/>
      <c r="B28" s="2034" t="s">
        <v>1829</v>
      </c>
      <c r="C28" s="2118" t="s">
        <v>3072</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9"/>
      <c r="B29" s="2034" t="s">
        <v>1830</v>
      </c>
      <c r="C29" s="2121" t="s">
        <v>3068</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0"/>
      <c r="B30" s="2034" t="s">
        <v>1831</v>
      </c>
      <c r="C30" s="3041"/>
      <c r="D30" s="304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3" t="s">
        <v>1832</v>
      </c>
      <c r="B31" s="2123" t="s">
        <v>3073</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4"/>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0" t="s">
        <v>3074</v>
      </c>
      <c r="C34" s="2130" t="s">
        <v>3075</v>
      </c>
      <c r="D34" s="2130" t="s">
        <v>3075</v>
      </c>
      <c r="E34" s="2130" t="s">
        <v>3076</v>
      </c>
      <c r="F34" s="2130" t="s">
        <v>3077</v>
      </c>
      <c r="G34" s="2130" t="s">
        <v>3078</v>
      </c>
      <c r="H34" s="2130"/>
      <c r="I34" s="2041"/>
      <c r="J34" s="2041"/>
      <c r="K34" s="1794">
        <f>COUNTIF(B34:H34,"——")</f>
        <v>0</v>
      </c>
      <c r="L34" s="2071" t="s">
        <v>1834</v>
      </c>
      <c r="M34" s="2071" t="s">
        <v>1835</v>
      </c>
      <c r="N34" s="2071" t="s">
        <v>1836</v>
      </c>
      <c r="O34" s="2071" t="s">
        <v>1837</v>
      </c>
      <c r="P34" s="2071" t="s">
        <v>1838</v>
      </c>
      <c r="Q34" s="2071" t="s">
        <v>1839</v>
      </c>
      <c r="R34" s="2071" t="s">
        <v>1840</v>
      </c>
      <c r="S34" s="3038" t="s">
        <v>1841</v>
      </c>
      <c r="T34" s="2131" t="str">
        <f>NUMBERSTRING(7-K34,1)&amp;"通"</f>
        <v>七通</v>
      </c>
      <c r="U34" s="2028"/>
      <c r="V34" s="2028"/>
    </row>
    <row r="35" spans="1:22" ht="18" customHeight="1">
      <c r="A35" s="2132"/>
      <c r="B35" s="3045" t="s">
        <v>1842</v>
      </c>
      <c r="C35" s="3045"/>
      <c r="D35" s="3045"/>
      <c r="E35" s="3045"/>
      <c r="F35" s="2133" t="str">
        <f>C10</f>
        <v>四川省成都市</v>
      </c>
      <c r="G35" s="2041"/>
      <c r="H35" s="2041"/>
      <c r="I35" s="2041"/>
      <c r="J35" s="2041"/>
      <c r="K35" s="2071"/>
      <c r="L35" s="2071"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8"/>
      <c r="T35" s="48" t="str">
        <f>IF(T34="一通",L35,IF(T34="二通",M35,IF(T34="三通",N35,IF(T34="四通",O35,IF(T34="五通",P35,IF(T34="六通",Q35,R35))))))</f>
        <v>通路、通电、通电、通上水、通下水、通热、</v>
      </c>
      <c r="U35" s="2028"/>
      <c r="V35" s="2028"/>
    </row>
    <row r="36" spans="1:22" ht="18" customHeight="1">
      <c r="A36" s="2134"/>
      <c r="B36" s="2133" t="s">
        <v>1843</v>
      </c>
      <c r="C36" s="2133" t="s">
        <v>1844</v>
      </c>
      <c r="D36" s="2133" t="s">
        <v>1845</v>
      </c>
      <c r="E36" s="2133" t="s">
        <v>1846</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1874</v>
      </c>
      <c r="AZ2" s="1270"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Sheet1!H6</f>
        <v>15217.81</v>
      </c>
      <c r="B3" s="14">
        <f>IF(C3="否",G5-AT5,G5)</f>
        <v>190214</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164273</v>
      </c>
      <c r="BA5" s="18">
        <f t="shared" si="1"/>
        <v>156302.97</v>
      </c>
      <c r="BB5" s="18">
        <f t="shared" si="1"/>
        <v>63151.97</v>
      </c>
      <c r="BC5" s="18">
        <f t="shared" si="1"/>
        <v>69497</v>
      </c>
      <c r="BD5" s="18">
        <f t="shared" si="1"/>
        <v>23654</v>
      </c>
      <c r="BE5" s="18">
        <f t="shared" si="1"/>
        <v>0</v>
      </c>
      <c r="BF5" s="18">
        <f t="shared" si="1"/>
        <v>0</v>
      </c>
      <c r="BG5" s="18">
        <f t="shared" si="1"/>
        <v>0</v>
      </c>
      <c r="BH5" s="18">
        <f t="shared" si="1"/>
        <v>0</v>
      </c>
      <c r="BI5" s="18">
        <f t="shared" si="1"/>
        <v>0</v>
      </c>
      <c r="BJ5" s="18">
        <f t="shared" si="1"/>
        <v>0</v>
      </c>
      <c r="BK5" s="18">
        <f t="shared" si="1"/>
        <v>0</v>
      </c>
      <c r="BL5" s="18">
        <f t="shared" si="1"/>
        <v>7970.0299999999961</v>
      </c>
      <c r="BM5" s="18">
        <f t="shared" si="1"/>
        <v>0</v>
      </c>
      <c r="BN5" s="18">
        <f t="shared" si="1"/>
        <v>0</v>
      </c>
      <c r="BO5" s="18">
        <f t="shared" si="1"/>
        <v>0</v>
      </c>
      <c r="BP5" s="18">
        <f t="shared" si="1"/>
        <v>0</v>
      </c>
      <c r="BQ5" s="18">
        <f t="shared" si="1"/>
        <v>169.55</v>
      </c>
      <c r="BR5" s="18">
        <f t="shared" si="1"/>
        <v>7800.4799999999959</v>
      </c>
      <c r="BS5" s="18">
        <f t="shared" si="1"/>
        <v>0</v>
      </c>
      <c r="BT5" s="19">
        <f t="shared" si="1"/>
        <v>0</v>
      </c>
    </row>
    <row r="6" spans="1:72" s="2174" customFormat="1" ht="12.75">
      <c r="A6" s="15" t="s">
        <v>1879</v>
      </c>
      <c r="B6" s="2171"/>
      <c r="C6" s="2171"/>
      <c r="D6" s="2172"/>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13142.44</v>
      </c>
      <c r="AZ6" s="16" t="s">
        <v>3</v>
      </c>
      <c r="BA6" s="16">
        <f>ROUND($AY$6*BA5/$AZ$5,2)</f>
        <v>12504.81</v>
      </c>
      <c r="BB6" s="16">
        <f>ROUND($AY$6*BB5/$AZ$5,2)</f>
        <v>5052.3900000000003</v>
      </c>
      <c r="BC6" s="16">
        <f t="shared" ref="BC6:BH6" si="4">ROUND($AY$6*BC5/$AZ$5,2)</f>
        <v>5560.01</v>
      </c>
      <c r="BD6" s="16">
        <f t="shared" si="4"/>
        <v>1892.41</v>
      </c>
      <c r="BE6" s="16">
        <f t="shared" si="4"/>
        <v>0</v>
      </c>
      <c r="BF6" s="16">
        <f t="shared" si="4"/>
        <v>0</v>
      </c>
      <c r="BG6" s="16">
        <f t="shared" si="4"/>
        <v>0</v>
      </c>
      <c r="BH6" s="16">
        <f t="shared" si="4"/>
        <v>0</v>
      </c>
      <c r="BI6" s="16">
        <f t="shared" ref="BI6:BT6" si="5">ROUND($AY$6*BI5/$AZ$5,2)</f>
        <v>0</v>
      </c>
      <c r="BJ6" s="16">
        <f t="shared" si="5"/>
        <v>0</v>
      </c>
      <c r="BK6" s="16">
        <f t="shared" si="5"/>
        <v>0</v>
      </c>
      <c r="BL6" s="16">
        <f t="shared" si="5"/>
        <v>637.63</v>
      </c>
      <c r="BM6" s="16">
        <f t="shared" si="5"/>
        <v>0</v>
      </c>
      <c r="BN6" s="16">
        <f t="shared" si="5"/>
        <v>0</v>
      </c>
      <c r="BO6" s="16">
        <f t="shared" si="5"/>
        <v>0</v>
      </c>
      <c r="BP6" s="16">
        <f t="shared" si="5"/>
        <v>0</v>
      </c>
      <c r="BQ6" s="16">
        <f t="shared" si="5"/>
        <v>13.56</v>
      </c>
      <c r="BR6" s="16">
        <f t="shared" si="5"/>
        <v>624.07000000000005</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2" t="s">
        <v>1894</v>
      </c>
      <c r="AU8" s="2179" t="s">
        <v>1895</v>
      </c>
      <c r="AV8" s="1292"/>
      <c r="AW8" s="2162"/>
      <c r="AX8" s="1292"/>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1898</v>
      </c>
      <c r="I9" s="2188" t="s">
        <v>3104</v>
      </c>
      <c r="J9" s="981"/>
      <c r="K9" s="2188" t="s">
        <v>3108</v>
      </c>
      <c r="L9" s="981"/>
      <c r="M9" s="2188" t="s">
        <v>3108</v>
      </c>
      <c r="N9" s="981"/>
      <c r="O9" s="2188"/>
      <c r="P9" s="981"/>
      <c r="Q9" s="2188"/>
      <c r="R9" s="981"/>
      <c r="S9" s="2188"/>
      <c r="T9" s="981"/>
      <c r="U9" s="2188"/>
      <c r="V9" s="981"/>
      <c r="W9" s="2188"/>
      <c r="X9" s="2189"/>
      <c r="Y9" s="2188"/>
      <c r="Z9" s="981"/>
      <c r="AA9" s="2188"/>
      <c r="AB9" s="981"/>
      <c r="AC9" s="2180"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0"/>
      <c r="AT9" s="2179"/>
      <c r="AU9" s="2179" t="s">
        <v>1901</v>
      </c>
      <c r="AV9" s="1292"/>
      <c r="AW9" s="2162"/>
      <c r="AX9" s="1292"/>
      <c r="AY9" s="28"/>
      <c r="AZ9" s="28" t="s">
        <v>1891</v>
      </c>
      <c r="BA9" s="2191" t="s">
        <v>1902</v>
      </c>
      <c r="BB9" s="2192"/>
      <c r="BC9" s="1338"/>
      <c r="BD9" s="1338"/>
      <c r="BE9" s="1338"/>
      <c r="BF9" s="1338"/>
      <c r="BG9" s="1338"/>
      <c r="BH9" s="1338"/>
      <c r="BI9" s="1338"/>
      <c r="BJ9" s="1338"/>
      <c r="BK9" s="2193"/>
      <c r="BL9" s="15" t="s">
        <v>1903</v>
      </c>
      <c r="BM9" s="1817"/>
      <c r="BN9" s="2182"/>
      <c r="BO9" s="1817"/>
      <c r="BP9" s="1817"/>
      <c r="BQ9" s="1817"/>
      <c r="BR9" s="1817"/>
      <c r="BS9" s="1817"/>
      <c r="BT9" s="26"/>
    </row>
    <row r="10" spans="1:72" s="2186" customFormat="1" ht="12.75">
      <c r="A10" s="2179"/>
      <c r="B10" s="2179"/>
      <c r="C10" s="2179"/>
      <c r="D10" s="2179"/>
      <c r="E10" s="2179"/>
      <c r="F10" s="2179"/>
      <c r="G10" s="1292"/>
      <c r="H10" s="28"/>
      <c r="I10" s="2188" t="s">
        <v>1377</v>
      </c>
      <c r="J10" s="981"/>
      <c r="K10" s="2194" t="s">
        <v>3109</v>
      </c>
      <c r="L10" s="981"/>
      <c r="M10" s="2194" t="s">
        <v>1377</v>
      </c>
      <c r="N10" s="981"/>
      <c r="O10" s="2194"/>
      <c r="P10" s="981"/>
      <c r="Q10" s="2194"/>
      <c r="R10" s="981"/>
      <c r="S10" s="2194"/>
      <c r="T10" s="981"/>
      <c r="U10" s="2194"/>
      <c r="V10" s="981"/>
      <c r="W10" s="2194"/>
      <c r="X10" s="981"/>
      <c r="Y10" s="2194"/>
      <c r="Z10" s="981"/>
      <c r="AA10" s="2194"/>
      <c r="AB10" s="981"/>
      <c r="AC10" s="1292"/>
      <c r="AD10" s="15" t="s">
        <v>1904</v>
      </c>
      <c r="AE10" s="2195"/>
      <c r="AF10" s="15" t="s">
        <v>1904</v>
      </c>
      <c r="AG10" s="2195"/>
      <c r="AH10" s="15" t="s">
        <v>1905</v>
      </c>
      <c r="AI10" s="2195"/>
      <c r="AJ10" s="15" t="s">
        <v>1905</v>
      </c>
      <c r="AK10" s="2195"/>
      <c r="AL10" s="15" t="s">
        <v>1906</v>
      </c>
      <c r="AM10" s="1298"/>
      <c r="AN10" s="15" t="s">
        <v>1906</v>
      </c>
      <c r="AO10" s="1298"/>
      <c r="AP10" s="15" t="s">
        <v>1907</v>
      </c>
      <c r="AQ10" s="1298"/>
      <c r="AR10" s="15" t="s">
        <v>1907</v>
      </c>
      <c r="AS10" s="1298"/>
      <c r="AT10" s="2179"/>
      <c r="AU10" s="2179"/>
      <c r="AV10" s="1292"/>
      <c r="AW10" s="2162"/>
      <c r="AX10" s="1292"/>
      <c r="AY10" s="28"/>
      <c r="AZ10" s="28"/>
      <c r="BA10" s="2196" t="s">
        <v>1898</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车库—商业</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3</v>
      </c>
      <c r="D13" s="2210" t="s">
        <v>3068</v>
      </c>
      <c r="E13" s="16">
        <f>IF($C$3="是",ROUND($A$3*G13/$B$3,2),ROUND($A$3*(G13-AT13)/$B$3,2))</f>
        <v>657.68</v>
      </c>
      <c r="F13" s="32"/>
      <c r="G13" s="33">
        <f>H13+AC13+AT13</f>
        <v>8220.6</v>
      </c>
      <c r="H13" s="20">
        <f>SUMIF(I$12:AB$12,"总值",I13:AB13)</f>
        <v>6893.7</v>
      </c>
      <c r="I13" s="2211">
        <f>Sheet1!I12</f>
        <v>6893.7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1326.9</v>
      </c>
      <c r="AD13" s="2212"/>
      <c r="AE13" s="2212"/>
      <c r="AF13" s="2212"/>
      <c r="AG13" s="2212"/>
      <c r="AH13" s="2212"/>
      <c r="AI13" s="2212"/>
      <c r="AJ13" s="2212"/>
      <c r="AK13" s="2212"/>
      <c r="AL13" s="2212">
        <f>Sheet1!I13</f>
        <v>1326.9</v>
      </c>
      <c r="AM13" s="2212"/>
      <c r="AN13" s="2212"/>
      <c r="AO13" s="2212"/>
      <c r="AP13" s="2212"/>
      <c r="AQ13" s="2212"/>
      <c r="AR13" s="2212"/>
      <c r="AS13" s="2212"/>
      <c r="AT13" s="2213"/>
      <c r="AU13" s="2214"/>
      <c r="AV13" s="11">
        <f t="shared" ref="AV13:AX17" si="6">A13</f>
        <v>0</v>
      </c>
      <c r="AW13" s="11">
        <f t="shared" si="6"/>
        <v>0</v>
      </c>
      <c r="AX13" s="11">
        <f t="shared" si="6"/>
        <v>3</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v>4</v>
      </c>
      <c r="D14" s="2210" t="s">
        <v>3068</v>
      </c>
      <c r="E14" s="16">
        <f>IF($C$3="是",ROUND($A$3*G14/$B$3,2),ROUND($A$3*(G14-AT14)/$B$3,2))</f>
        <v>683.15</v>
      </c>
      <c r="F14" s="32"/>
      <c r="G14" s="33">
        <f>H14+AC14+AT14</f>
        <v>8539</v>
      </c>
      <c r="H14" s="20">
        <f>SUMIF(I$12:AB$12,"总值",I14:AB14)</f>
        <v>5305.81</v>
      </c>
      <c r="I14" s="2211">
        <f>Sheet1!I14</f>
        <v>5305.81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3233.19</v>
      </c>
      <c r="AD14" s="2212"/>
      <c r="AE14" s="2212"/>
      <c r="AF14" s="2212"/>
      <c r="AG14" s="2212"/>
      <c r="AH14" s="2212"/>
      <c r="AI14" s="2212"/>
      <c r="AJ14" s="2212"/>
      <c r="AK14" s="2212"/>
      <c r="AL14" s="2212">
        <f>Sheet1!I15</f>
        <v>3233.19</v>
      </c>
      <c r="AM14" s="2212"/>
      <c r="AN14" s="2212"/>
      <c r="AO14" s="2212"/>
      <c r="AP14" s="2212"/>
      <c r="AQ14" s="2212"/>
      <c r="AR14" s="2212"/>
      <c r="AS14" s="2212"/>
      <c r="AT14" s="2213"/>
      <c r="AU14" s="2214"/>
      <c r="AV14" s="11">
        <f t="shared" si="6"/>
        <v>0</v>
      </c>
      <c r="AW14" s="11">
        <f t="shared" si="6"/>
        <v>0</v>
      </c>
      <c r="AX14" s="11">
        <f t="shared" si="6"/>
        <v>4</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v>5</v>
      </c>
      <c r="D15" s="2210" t="s">
        <v>3068</v>
      </c>
      <c r="E15" s="16">
        <f>IF($C$3="是",ROUND($A$3*G15/$B$3,2),ROUND($A$3*(G15-AT15)/$B$3,2))</f>
        <v>734.55</v>
      </c>
      <c r="F15" s="32"/>
      <c r="G15" s="33">
        <f>H15+AC15+AT15</f>
        <v>9181.4</v>
      </c>
      <c r="H15" s="20">
        <f>SUMIF(I$12:AB$12,"总值",I15:AB15)</f>
        <v>6649.94</v>
      </c>
      <c r="I15" s="2211">
        <f>Sheet1!I16</f>
        <v>6649.94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2531.46</v>
      </c>
      <c r="AD15" s="2212"/>
      <c r="AE15" s="2212"/>
      <c r="AF15" s="2212"/>
      <c r="AG15" s="2212"/>
      <c r="AH15" s="2212"/>
      <c r="AI15" s="2212"/>
      <c r="AJ15" s="2212"/>
      <c r="AK15" s="2212"/>
      <c r="AL15" s="2212">
        <f>Sheet1!I17</f>
        <v>2531.46</v>
      </c>
      <c r="AM15" s="2212"/>
      <c r="AN15" s="2212"/>
      <c r="AO15" s="2212"/>
      <c r="AP15" s="2212"/>
      <c r="AQ15" s="2212"/>
      <c r="AR15" s="2212"/>
      <c r="AS15" s="2212"/>
      <c r="AT15" s="2213"/>
      <c r="AU15" s="2214"/>
      <c r="AV15" s="11">
        <f t="shared" si="6"/>
        <v>0</v>
      </c>
      <c r="AW15" s="11">
        <f t="shared" si="6"/>
        <v>0</v>
      </c>
      <c r="AX15" s="11">
        <f t="shared" si="6"/>
        <v>5</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v>6</v>
      </c>
      <c r="D16" s="2210" t="s">
        <v>3069</v>
      </c>
      <c r="E16" s="16">
        <f>IF($C$3="是",ROUND($A$3*G16/$B$3,2),ROUND($A$3*(G16-AT16)/$B$3,2))</f>
        <v>5065.95</v>
      </c>
      <c r="F16" s="32"/>
      <c r="G16" s="33">
        <f>H16+AC16+AT16</f>
        <v>63321.520000000004</v>
      </c>
      <c r="H16" s="20">
        <f>SUMIF(I$12:AB$12,"总值",I16:AB16)</f>
        <v>63151.97</v>
      </c>
      <c r="I16" s="2211">
        <f>Sheet1!I18</f>
        <v>63151.97</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169.55</v>
      </c>
      <c r="AD16" s="2212"/>
      <c r="AE16" s="2212"/>
      <c r="AF16" s="2212"/>
      <c r="AG16" s="2212"/>
      <c r="AH16" s="2212"/>
      <c r="AI16" s="2212"/>
      <c r="AJ16" s="2212"/>
      <c r="AK16" s="2212"/>
      <c r="AL16" s="2212">
        <f>Sheet1!I19</f>
        <v>169.55</v>
      </c>
      <c r="AM16" s="2212"/>
      <c r="AN16" s="2212"/>
      <c r="AO16" s="2212"/>
      <c r="AP16" s="2212"/>
      <c r="AQ16" s="2212"/>
      <c r="AR16" s="2212"/>
      <c r="AS16" s="2212"/>
      <c r="AT16" s="2213"/>
      <c r="AU16" s="2214"/>
      <c r="AV16" s="11">
        <f t="shared" si="6"/>
        <v>0</v>
      </c>
      <c r="AW16" s="11">
        <f t="shared" si="6"/>
        <v>0</v>
      </c>
      <c r="AX16" s="11">
        <f t="shared" si="6"/>
        <v>6</v>
      </c>
      <c r="AY16" s="1805">
        <f>ROUND($AY$6*AZ16/$AZ$5,2)</f>
        <v>5065.95</v>
      </c>
      <c r="AZ16" s="16">
        <f>BA16+BL16</f>
        <v>63321.520000000004</v>
      </c>
      <c r="BA16" s="16">
        <f>SUM(BB16:BK16)</f>
        <v>63151.97</v>
      </c>
      <c r="BB16" s="16">
        <f>IF($D16="是",I16-J16,0)</f>
        <v>63151.97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169.55</v>
      </c>
      <c r="BM16" s="16">
        <f>IF($D16="是",AD16-AE16,0)</f>
        <v>0</v>
      </c>
      <c r="BN16" s="16">
        <f>IF($D16="是",AF16-AG16,0)</f>
        <v>0</v>
      </c>
      <c r="BO16" s="16">
        <f>IF($D16="是",AH16-AI16,0)</f>
        <v>0</v>
      </c>
      <c r="BP16" s="16">
        <f>IF($D16="是",AJ16-AK16,0)</f>
        <v>0</v>
      </c>
      <c r="BQ16" s="16">
        <f>IF($D16="是",AL16-AM16,0)</f>
        <v>169.55</v>
      </c>
      <c r="BR16" s="16">
        <f>IF($D16="是",AN16-AO16,0)</f>
        <v>0</v>
      </c>
      <c r="BS16" s="16">
        <f>IF($D16="是",AP16-AQ16,0)</f>
        <v>0</v>
      </c>
      <c r="BT16" s="22">
        <f>IF($D16="是",AR16-AS16,0)</f>
        <v>0</v>
      </c>
    </row>
    <row r="17" spans="1:72" s="2164" customFormat="1" ht="12.75">
      <c r="A17" s="1272"/>
      <c r="B17" s="1272"/>
      <c r="C17" s="2970" t="s">
        <v>3105</v>
      </c>
      <c r="D17" s="2210" t="s">
        <v>3069</v>
      </c>
      <c r="E17" s="16">
        <f>IF($C$3="是",ROUND($A$3*G17/$B$3,2),ROUND($A$3*(G17-AT17)/$B$3,2))</f>
        <v>5560.01</v>
      </c>
      <c r="F17" s="32"/>
      <c r="G17" s="33">
        <f>H17+AC17+AT17</f>
        <v>69497</v>
      </c>
      <c r="H17" s="20">
        <f>SUMIF(I$12:AB$12,"总值",I17:AB17)</f>
        <v>69497</v>
      </c>
      <c r="I17" s="2211"/>
      <c r="J17" s="2211"/>
      <c r="K17" s="2211">
        <f>Sheet1!I22</f>
        <v>69497</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5">
        <f>ROUND($AY$6*AZ17/$AZ$5,2)</f>
        <v>5560.01</v>
      </c>
      <c r="AZ17" s="16">
        <f>BA17+BL17</f>
        <v>69497</v>
      </c>
      <c r="BA17" s="16">
        <f>SUM(BB17:BK17)</f>
        <v>69497</v>
      </c>
      <c r="BB17" s="16">
        <f>IF($D17="是",I17-J17,0)</f>
        <v>0</v>
      </c>
      <c r="BC17" s="16">
        <f>IF($D17="是",K17-L17,0)</f>
        <v>69497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1" t="s">
        <v>3106</v>
      </c>
      <c r="D18" s="2972"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地下商业</v>
      </c>
      <c r="AY18" s="42">
        <f t="shared" ref="AY18:AY109" si="14">ROUND($AY$6*AZ18/$AZ$5,2)</f>
        <v>1892.41</v>
      </c>
      <c r="AZ18" s="35">
        <f t="shared" ref="AZ18:AZ109" si="15">BA18+BL18</f>
        <v>23654</v>
      </c>
      <c r="BA18" s="35">
        <f t="shared" ref="BA18:BA109" si="16">SUM(BB18:BK18)</f>
        <v>23654</v>
      </c>
      <c r="BB18" s="35">
        <f t="shared" ref="BB18:BB109" si="17">IF($D18="是",I18-J18,0)</f>
        <v>0</v>
      </c>
      <c r="BC18" s="35">
        <f t="shared" ref="BC18:BC109" si="18">IF($D18="是",K18-L18,0)</f>
        <v>0</v>
      </c>
      <c r="BD18" s="35">
        <f t="shared" ref="BD18:BD109" si="19">IF($D18="是",M18-N18,0)</f>
        <v>23654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t="s">
        <v>3107</v>
      </c>
      <c r="D19" s="2972"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6"/>
      <c r="AV19" s="1794">
        <f t="shared" si="11"/>
        <v>0</v>
      </c>
      <c r="AW19" s="1794">
        <f t="shared" si="12"/>
        <v>0</v>
      </c>
      <c r="AX19" s="1794" t="str">
        <f t="shared" si="13"/>
        <v>设备</v>
      </c>
      <c r="AY19" s="42">
        <f t="shared" si="14"/>
        <v>624.07000000000005</v>
      </c>
      <c r="AZ19" s="35">
        <f t="shared" si="15"/>
        <v>7800.4799999999959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7800.4799999999959</v>
      </c>
      <c r="BM19" s="35">
        <f t="shared" si="28"/>
        <v>0</v>
      </c>
      <c r="BN19" s="35">
        <f t="shared" si="29"/>
        <v>0</v>
      </c>
      <c r="BO19" s="35">
        <f t="shared" si="30"/>
        <v>0</v>
      </c>
      <c r="BP19" s="35">
        <f t="shared" si="31"/>
        <v>0</v>
      </c>
      <c r="BQ19" s="35">
        <f t="shared" si="32"/>
        <v>0</v>
      </c>
      <c r="BR19" s="35">
        <f t="shared" si="33"/>
        <v>7800.4799999999959</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2"/>
      <c r="C1" s="1392"/>
      <c r="D1" s="1392"/>
      <c r="E1" s="1392"/>
      <c r="F1" s="1392"/>
      <c r="G1" s="1392"/>
      <c r="H1" s="1392"/>
      <c r="I1" s="1392"/>
      <c r="J1" s="1392"/>
      <c r="K1" s="1392"/>
      <c r="L1" s="1392"/>
      <c r="M1" s="1392"/>
      <c r="N1" s="1392"/>
      <c r="O1" s="1392"/>
      <c r="P1" s="1392"/>
    </row>
    <row r="2" spans="1:16" ht="15">
      <c r="A2" s="3079" t="s">
        <v>1938</v>
      </c>
      <c r="B2" s="3079"/>
      <c r="C2" s="3079"/>
      <c r="D2" s="967" t="s">
        <v>1914</v>
      </c>
      <c r="E2" s="2224" t="s">
        <v>1915</v>
      </c>
      <c r="F2" s="1392"/>
      <c r="G2" s="2225"/>
      <c r="H2" s="2226"/>
      <c r="I2" s="2227" t="s">
        <v>1939</v>
      </c>
      <c r="J2" s="1392"/>
      <c r="K2" s="1392"/>
      <c r="L2" s="1392"/>
      <c r="M2" s="1392"/>
      <c r="N2" s="1427"/>
      <c r="O2" s="1392"/>
      <c r="P2" s="1392"/>
    </row>
    <row r="3" spans="1:16" ht="15.75" thickBot="1">
      <c r="A3" s="3080" t="s">
        <v>1912</v>
      </c>
      <c r="B3" s="3080"/>
      <c r="C3" s="3080"/>
      <c r="D3" s="46">
        <f>'数据-基础表'!AY6</f>
        <v>13142.44</v>
      </c>
      <c r="E3" s="46">
        <f>'数据-基础表'!AZ5</f>
        <v>164273</v>
      </c>
      <c r="F3" s="1392"/>
      <c r="G3" s="1399"/>
      <c r="H3" s="1247" t="s">
        <v>1913</v>
      </c>
      <c r="I3" s="55">
        <f>ROUND('数据-基础表'!B3/'数据-基础表'!A3,2)</f>
        <v>12.5</v>
      </c>
      <c r="J3" s="1392"/>
      <c r="K3" s="1392"/>
      <c r="L3" s="1392"/>
      <c r="M3" s="1392"/>
      <c r="N3" s="1427"/>
      <c r="O3" s="1392"/>
      <c r="P3" s="1392"/>
    </row>
    <row r="4" spans="1:16" ht="15">
      <c r="A4" s="3081"/>
      <c r="B4" s="3082"/>
      <c r="C4" s="3083"/>
      <c r="D4" s="2228" t="s">
        <v>1914</v>
      </c>
      <c r="E4" s="2229" t="s">
        <v>1915</v>
      </c>
      <c r="F4" s="1392"/>
      <c r="G4" s="2230" t="s">
        <v>1940</v>
      </c>
      <c r="H4" s="1247" t="s">
        <v>1920</v>
      </c>
      <c r="I4" s="55">
        <f>ROUND(SUMIF('数据-基础表'!I9:AS9,"地上",'数据-基础表'!I5:AS5)/'数据-基础表'!A3,2)</f>
        <v>5.87</v>
      </c>
      <c r="J4" s="1392"/>
      <c r="K4" s="1392"/>
      <c r="L4" s="1392"/>
      <c r="M4" s="1392"/>
      <c r="N4" s="1427"/>
      <c r="O4" s="1392"/>
      <c r="P4" s="1392"/>
    </row>
    <row r="5" spans="1:16">
      <c r="A5" s="47" t="s">
        <v>1916</v>
      </c>
      <c r="B5" s="3084" t="s">
        <v>1917</v>
      </c>
      <c r="C5" s="3084"/>
      <c r="D5" s="48">
        <f>ROUND($D$3*E5/$E$3,2)</f>
        <v>0</v>
      </c>
      <c r="E5" s="49">
        <f>SUMIF('数据-基础表'!$11:$11,"住宅",'数据-基础表'!$5:$5)</f>
        <v>0</v>
      </c>
      <c r="F5" s="1392"/>
      <c r="G5" s="1399"/>
      <c r="H5" s="1247" t="s">
        <v>1913</v>
      </c>
      <c r="I5" s="55">
        <f>ROUND(E31/D31,2)</f>
        <v>12.5</v>
      </c>
      <c r="J5" s="1392"/>
      <c r="K5" s="1392"/>
      <c r="L5" s="1392"/>
      <c r="M5" s="1392"/>
      <c r="N5" s="1392"/>
      <c r="O5" s="1392"/>
      <c r="P5" s="1392"/>
    </row>
    <row r="6" spans="1:16" ht="15" thickBot="1">
      <c r="A6" s="2231"/>
      <c r="B6" s="3084" t="s">
        <v>1918</v>
      </c>
      <c r="C6" s="3084"/>
      <c r="D6" s="48">
        <f>ROUND($D$3*E6/$E$3,2)</f>
        <v>13142.44</v>
      </c>
      <c r="E6" s="49">
        <f>E3-E5</f>
        <v>164273</v>
      </c>
      <c r="F6" s="1392"/>
      <c r="G6" s="2232" t="s">
        <v>1919</v>
      </c>
      <c r="H6" s="1399" t="s">
        <v>1920</v>
      </c>
      <c r="I6" s="939">
        <f>ROUND(F31/D31,2)</f>
        <v>4.82</v>
      </c>
      <c r="J6" s="1392"/>
      <c r="K6" s="1392"/>
      <c r="L6" s="1392"/>
      <c r="M6" s="1392"/>
      <c r="N6" s="1392"/>
      <c r="O6" s="1392"/>
      <c r="P6" s="1392"/>
    </row>
    <row r="7" spans="1:16" ht="15">
      <c r="A7" s="3076"/>
      <c r="B7" s="3077"/>
      <c r="C7" s="3078"/>
      <c r="D7" s="2228" t="s">
        <v>1914</v>
      </c>
      <c r="E7" s="2233" t="s">
        <v>1921</v>
      </c>
      <c r="F7" s="1392"/>
      <c r="G7" s="2225" t="s">
        <v>1922</v>
      </c>
      <c r="H7" s="64"/>
      <c r="I7" s="420"/>
      <c r="J7" s="1392"/>
      <c r="K7" s="1392"/>
      <c r="L7" s="1392"/>
      <c r="M7" s="1392"/>
      <c r="N7" s="1392"/>
      <c r="O7" s="1392"/>
      <c r="P7" s="1392"/>
    </row>
    <row r="8" spans="1:16">
      <c r="A8" s="47" t="s">
        <v>1923</v>
      </c>
      <c r="B8" s="50" t="s">
        <v>1924</v>
      </c>
      <c r="C8" s="48" t="s">
        <v>1925</v>
      </c>
      <c r="D8" s="48">
        <f t="shared" ref="D8:D15" si="0">ROUND($D$3*E8/$E$3,2)</f>
        <v>5052.3900000000003</v>
      </c>
      <c r="E8" s="51">
        <f>SUMIF('数据-基础表'!BB10:BK10,"地上",'数据-基础表'!BB5:BK5)</f>
        <v>63151.97</v>
      </c>
      <c r="F8" s="1392"/>
      <c r="G8" s="2234"/>
      <c r="H8" s="2234"/>
      <c r="I8" s="1392"/>
      <c r="J8" s="1392"/>
      <c r="K8" s="1392"/>
      <c r="L8" s="1392"/>
      <c r="M8" s="1392"/>
      <c r="N8" s="1392"/>
      <c r="O8" s="1392"/>
      <c r="P8" s="1392"/>
    </row>
    <row r="9" spans="1:16">
      <c r="A9" s="2235"/>
      <c r="B9" s="2236"/>
      <c r="C9" s="48" t="s">
        <v>1926</v>
      </c>
      <c r="D9" s="48">
        <f t="shared" si="0"/>
        <v>0</v>
      </c>
      <c r="E9" s="52">
        <v>0</v>
      </c>
      <c r="F9" s="1392"/>
      <c r="G9" s="2234"/>
      <c r="H9" s="2234"/>
      <c r="I9" s="1392"/>
      <c r="J9" s="1392"/>
      <c r="K9" s="1392"/>
      <c r="L9" s="1392"/>
      <c r="M9" s="1392"/>
      <c r="N9" s="1392"/>
      <c r="O9" s="1392"/>
      <c r="P9" s="1392"/>
    </row>
    <row r="10" spans="1:16">
      <c r="A10" s="2235"/>
      <c r="B10" s="2236"/>
      <c r="C10" s="48" t="s">
        <v>1935</v>
      </c>
      <c r="D10" s="48">
        <f t="shared" si="0"/>
        <v>1892.41</v>
      </c>
      <c r="E10" s="51">
        <f>SUMPRODUCT(('数据-基础表'!BB10:BK10="地下")*('数据-基础表'!BB11:BK11="商业")*('数据-基础表'!BB5:BK5))</f>
        <v>23654</v>
      </c>
      <c r="F10" s="1392"/>
      <c r="G10" s="2234"/>
      <c r="H10" s="2234"/>
      <c r="I10" s="1392"/>
      <c r="J10" s="1392"/>
      <c r="K10" s="1392"/>
      <c r="L10" s="1392"/>
      <c r="M10" s="1392"/>
      <c r="N10" s="1392"/>
      <c r="O10" s="1392"/>
      <c r="P10" s="1392"/>
    </row>
    <row r="11" spans="1:16">
      <c r="A11" s="2235"/>
      <c r="B11" s="2236"/>
      <c r="C11" s="48" t="s">
        <v>1927</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1928</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1929</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1941</v>
      </c>
      <c r="D14" s="48">
        <f t="shared" si="0"/>
        <v>5560.01</v>
      </c>
      <c r="E14" s="51">
        <f>SUMPRODUCT(('数据-基础表'!BB10:BK10="地下")*('数据-基础表'!BB11:BK11="车库—商业")*('数据-基础表'!BB5:BK5))</f>
        <v>69497</v>
      </c>
      <c r="F14" s="1392"/>
      <c r="G14" s="2234"/>
      <c r="H14" s="2234"/>
      <c r="I14" s="1392"/>
      <c r="J14" s="1392"/>
      <c r="K14" s="1392"/>
      <c r="L14" s="1392"/>
      <c r="M14" s="1392"/>
      <c r="N14" s="1392"/>
      <c r="O14" s="1392"/>
      <c r="P14" s="1392"/>
    </row>
    <row r="15" spans="1:16" ht="15" thickBot="1">
      <c r="A15" s="2235"/>
      <c r="B15" s="2236"/>
      <c r="C15" s="48" t="s">
        <v>1936</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1930</v>
      </c>
      <c r="D16" s="50">
        <f>SUM(D8:D15)</f>
        <v>12504.810000000001</v>
      </c>
      <c r="E16" s="53">
        <f>SUM(E8:E15)</f>
        <v>156302.97</v>
      </c>
      <c r="F16" s="1392"/>
      <c r="G16" s="2234"/>
      <c r="H16" s="2237" t="s">
        <v>1942</v>
      </c>
      <c r="I16" s="2238"/>
      <c r="J16" s="1392"/>
      <c r="K16" s="3073" t="s">
        <v>1942</v>
      </c>
      <c r="L16" s="3074"/>
      <c r="M16" s="3074"/>
      <c r="N16" s="3074"/>
      <c r="O16" s="3074"/>
      <c r="P16" s="3075"/>
    </row>
    <row r="17" spans="1:19" ht="15">
      <c r="A17" s="2239" t="s">
        <v>1943</v>
      </c>
      <c r="B17" s="2240" t="s">
        <v>1944</v>
      </c>
      <c r="C17" s="2241" t="s">
        <v>1945</v>
      </c>
      <c r="D17" s="2242" t="s">
        <v>1933</v>
      </c>
      <c r="E17" s="2243" t="s">
        <v>1934</v>
      </c>
      <c r="F17" s="2244"/>
      <c r="G17" s="2245"/>
      <c r="H17" s="2246" t="s">
        <v>1946</v>
      </c>
      <c r="I17" s="2247" t="s">
        <v>1931</v>
      </c>
      <c r="J17" s="1392"/>
      <c r="K17" s="3070" t="s">
        <v>1947</v>
      </c>
      <c r="L17" s="3071"/>
      <c r="M17" s="3072"/>
      <c r="N17" s="3070" t="s">
        <v>1948</v>
      </c>
      <c r="O17" s="3071"/>
      <c r="P17" s="3072"/>
      <c r="R17" s="2225" t="s">
        <v>1949</v>
      </c>
      <c r="S17" s="64"/>
    </row>
    <row r="18" spans="1:19" ht="15">
      <c r="A18" s="2235"/>
      <c r="B18" s="2248"/>
      <c r="C18" s="2249"/>
      <c r="D18" s="2250"/>
      <c r="E18" s="2251" t="s">
        <v>1950</v>
      </c>
      <c r="F18" s="2252" t="s">
        <v>1951</v>
      </c>
      <c r="G18" s="2253" t="s">
        <v>1952</v>
      </c>
      <c r="H18" s="1262" t="s">
        <v>1953</v>
      </c>
      <c r="I18" s="2254" t="s">
        <v>1954</v>
      </c>
      <c r="J18" s="1392"/>
      <c r="K18" s="1262" t="s">
        <v>1955</v>
      </c>
      <c r="L18" s="2255" t="s">
        <v>1956</v>
      </c>
      <c r="M18" s="1046" t="s">
        <v>1957</v>
      </c>
      <c r="N18" s="1262" t="s">
        <v>1955</v>
      </c>
      <c r="O18" s="2255" t="s">
        <v>1956</v>
      </c>
      <c r="P18" s="1046" t="s">
        <v>1957</v>
      </c>
      <c r="R18" s="1247" t="s">
        <v>1958</v>
      </c>
      <c r="S18" s="1247" t="s">
        <v>1959</v>
      </c>
    </row>
    <row r="19" spans="1:19">
      <c r="A19" s="2256"/>
      <c r="B19" s="50" t="s">
        <v>1932</v>
      </c>
      <c r="C19" s="2973" t="s">
        <v>3343</v>
      </c>
      <c r="D19" s="48">
        <f>ROUND($D$3*E19/$E$3,2)</f>
        <v>5052.3900000000003</v>
      </c>
      <c r="E19" s="56">
        <f t="shared" ref="E19:E26" si="1">SUM(F19:G19)</f>
        <v>63151.97</v>
      </c>
      <c r="F19" s="57">
        <f>'数据-基础表'!I16</f>
        <v>63151.97</v>
      </c>
      <c r="G19" s="58"/>
      <c r="H19" s="723">
        <f>ROUND($D$3*I19/$E$3,2)</f>
        <v>257.63</v>
      </c>
      <c r="I19" s="51">
        <f t="shared" ref="I19:I26" si="2">IF($I$17="自定义",P19,M19)</f>
        <v>3220.18</v>
      </c>
      <c r="J19" s="1392"/>
      <c r="K19" s="1391">
        <f t="shared" ref="K19:K26" si="3">ROUND(E$28*E19/E$27,2)</f>
        <v>3220.18</v>
      </c>
      <c r="L19" s="1247">
        <f t="shared" ref="L19:L26" si="4">ROUND(IF(COUNTIF(C19,"*住宅*")&gt;0,E$29*E19/E$32,0),2)</f>
        <v>0</v>
      </c>
      <c r="M19" s="1403">
        <f>K19+L19</f>
        <v>3220.18</v>
      </c>
      <c r="N19" s="2257"/>
      <c r="O19" s="2258"/>
      <c r="P19" s="1403">
        <f>N19+O19</f>
        <v>0</v>
      </c>
      <c r="R19" s="1247">
        <f t="shared" ref="R19:S26" si="5">D19+H19</f>
        <v>5310.02</v>
      </c>
      <c r="S19" s="1248">
        <f t="shared" si="5"/>
        <v>66372.149999999994</v>
      </c>
    </row>
    <row r="20" spans="1:19">
      <c r="A20" s="2259"/>
      <c r="B20" s="50" t="s">
        <v>1960</v>
      </c>
      <c r="C20" s="2973" t="s">
        <v>3344</v>
      </c>
      <c r="D20" s="48">
        <f t="shared" ref="D20:D26" si="6">ROUND($D$3*E20/$E$3,2)</f>
        <v>5560.01</v>
      </c>
      <c r="E20" s="56">
        <f t="shared" si="1"/>
        <v>69497</v>
      </c>
      <c r="F20" s="57"/>
      <c r="G20" s="58">
        <f>'数据-基础表'!K17</f>
        <v>69497</v>
      </c>
      <c r="H20" s="723">
        <f t="shared" ref="H20:H26" si="7">ROUND($D$3*I20/$E$3,2)</f>
        <v>283.51</v>
      </c>
      <c r="I20" s="51">
        <f t="shared" si="2"/>
        <v>3543.71</v>
      </c>
      <c r="J20" s="1392"/>
      <c r="K20" s="1391">
        <f t="shared" si="3"/>
        <v>3543.71</v>
      </c>
      <c r="L20" s="1247">
        <f t="shared" si="4"/>
        <v>0</v>
      </c>
      <c r="M20" s="1403">
        <f t="shared" ref="M20:M26" si="8">K20+L20</f>
        <v>3543.71</v>
      </c>
      <c r="N20" s="2257"/>
      <c r="O20" s="2258"/>
      <c r="P20" s="1403">
        <f t="shared" ref="P20:P26" si="9">N20+O20</f>
        <v>0</v>
      </c>
      <c r="R20" s="1247">
        <f t="shared" si="5"/>
        <v>5843.52</v>
      </c>
      <c r="S20" s="1248">
        <f t="shared" si="5"/>
        <v>73040.710000000006</v>
      </c>
    </row>
    <row r="21" spans="1:19">
      <c r="A21" s="2259"/>
      <c r="B21" s="50" t="s">
        <v>1960</v>
      </c>
      <c r="C21" s="2973" t="s">
        <v>3346</v>
      </c>
      <c r="D21" s="48">
        <f t="shared" si="6"/>
        <v>1892.41</v>
      </c>
      <c r="E21" s="56">
        <f t="shared" si="1"/>
        <v>23654</v>
      </c>
      <c r="F21" s="57"/>
      <c r="G21" s="58">
        <f>'数据-基础表'!M18</f>
        <v>23654</v>
      </c>
      <c r="H21" s="723">
        <f t="shared" si="7"/>
        <v>96.5</v>
      </c>
      <c r="I21" s="51">
        <f t="shared" si="2"/>
        <v>1206.1400000000001</v>
      </c>
      <c r="J21" s="1392"/>
      <c r="K21" s="1391">
        <f t="shared" si="3"/>
        <v>1206.1400000000001</v>
      </c>
      <c r="L21" s="1247">
        <f t="shared" si="4"/>
        <v>0</v>
      </c>
      <c r="M21" s="1403">
        <f t="shared" si="8"/>
        <v>1206.1400000000001</v>
      </c>
      <c r="N21" s="2257"/>
      <c r="O21" s="2258"/>
      <c r="P21" s="1403">
        <f t="shared" si="9"/>
        <v>0</v>
      </c>
      <c r="R21" s="1247">
        <f t="shared" si="5"/>
        <v>1988.91</v>
      </c>
      <c r="S21" s="1248">
        <f t="shared" si="5"/>
        <v>24860.14</v>
      </c>
    </row>
    <row r="22" spans="1:19">
      <c r="A22" s="2259"/>
      <c r="B22" s="50" t="s">
        <v>1960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1960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1960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1961</v>
      </c>
      <c r="D27" s="1393">
        <f>SUM(D19:D26)</f>
        <v>12504.810000000001</v>
      </c>
      <c r="E27" s="1394">
        <f>IF(SUM(E19:E26)='数据-基础表'!BA5,SUM(E19:E26),IF(F27="地上面积有误","面积有误","地下面积有误"))</f>
        <v>156302.97</v>
      </c>
      <c r="F27" s="1393">
        <f>IF(SUM(F19:F26)=E8,SUM(F19:F26),"地上面积有误")</f>
        <v>63151.97</v>
      </c>
      <c r="G27" s="1395">
        <f>SUM(G19:G26)</f>
        <v>93151</v>
      </c>
      <c r="H27" s="1396">
        <f>SUM(H19:H26)</f>
        <v>637.64</v>
      </c>
      <c r="I27" s="1397">
        <f>SUM(I19:I26)</f>
        <v>7970.03</v>
      </c>
      <c r="J27" s="1392"/>
      <c r="K27" s="1400">
        <f>SUM(K19:K26)</f>
        <v>7970.03</v>
      </c>
      <c r="L27" s="1401">
        <f>SUM(L19:L26)</f>
        <v>0</v>
      </c>
      <c r="M27" s="1404">
        <f>SUM(M19:M26)</f>
        <v>7970.03</v>
      </c>
      <c r="N27" s="1400">
        <f t="shared" ref="N27:O27" si="10">SUM(N19:N26)</f>
        <v>0</v>
      </c>
      <c r="O27" s="1401">
        <f t="shared" si="10"/>
        <v>0</v>
      </c>
      <c r="P27" s="1402">
        <f>SUM(P19:P26)</f>
        <v>0</v>
      </c>
      <c r="R27" s="1249" t="str">
        <f>IF(SUM(R19:R26)=$D$3,SUM(R19:R26),SUM(R19:R26)&amp;"误差"&amp;ROUND(SUM(R19:R26)-$D$3,2))</f>
        <v>13142.45误差0.01</v>
      </c>
      <c r="S27" s="1247">
        <f>IF(SUM(S19:S26)=$E$3,SUM(S19:S26),SUM(S19:S26)&amp;"误差"&amp;ROUND(SUM(S19:S26)-E3,2))</f>
        <v>164273</v>
      </c>
    </row>
    <row r="28" spans="1:19">
      <c r="A28" s="2259"/>
      <c r="B28" s="50" t="s">
        <v>1962</v>
      </c>
      <c r="C28" s="1259" t="s">
        <v>1963</v>
      </c>
      <c r="D28" s="48">
        <f>ROUND($D$3*E28/$E$3,2)</f>
        <v>637.63</v>
      </c>
      <c r="E28" s="56">
        <f>SUM(F28:G28)</f>
        <v>7970.0299999999961</v>
      </c>
      <c r="F28" s="64">
        <f>'数据-基础表'!BQ5+'数据-基础表'!BS5</f>
        <v>169.55</v>
      </c>
      <c r="G28" s="65">
        <f>'数据-基础表'!BR5+'数据-基础表'!BT5</f>
        <v>7800.4799999999959</v>
      </c>
      <c r="H28" s="1392"/>
      <c r="I28" s="1392"/>
      <c r="J28" s="1392"/>
      <c r="K28" s="1392"/>
      <c r="L28" s="1392"/>
      <c r="M28" s="1392"/>
      <c r="N28" s="1392"/>
      <c r="O28" s="1392"/>
      <c r="P28" s="1392"/>
    </row>
    <row r="29" spans="1:19">
      <c r="A29" s="2259"/>
      <c r="B29" s="50" t="s">
        <v>1962</v>
      </c>
      <c r="C29" s="2263"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1961</v>
      </c>
      <c r="D30" s="1393">
        <f>SUM(D28:D29)</f>
        <v>637.63</v>
      </c>
      <c r="E30" s="1393">
        <f>SUM(E28:E29)</f>
        <v>7970.0299999999961</v>
      </c>
      <c r="F30" s="1393">
        <f>SUM(F28:F29)</f>
        <v>169.55</v>
      </c>
      <c r="G30" s="1395">
        <f>SUM(G28:G29)</f>
        <v>7800.4799999999959</v>
      </c>
      <c r="H30" s="1392"/>
      <c r="I30" s="1392"/>
      <c r="J30" s="1392"/>
      <c r="K30" s="1392"/>
      <c r="L30" s="1392"/>
      <c r="M30" s="1392"/>
      <c r="N30" s="1392"/>
      <c r="O30" s="1392"/>
      <c r="P30" s="1392"/>
    </row>
    <row r="31" spans="1:19" ht="15.75" thickBot="1">
      <c r="A31" s="2265"/>
      <c r="B31" s="2266"/>
      <c r="C31" s="1007" t="s">
        <v>1965</v>
      </c>
      <c r="D31" s="729">
        <f>D27+D30</f>
        <v>13142.44</v>
      </c>
      <c r="E31" s="729">
        <f>E27+E30</f>
        <v>164273</v>
      </c>
      <c r="F31" s="730">
        <f>F27+F30</f>
        <v>63321.520000000004</v>
      </c>
      <c r="G31" s="731">
        <f>G27+G30</f>
        <v>100951.48</v>
      </c>
      <c r="H31" s="1392"/>
      <c r="I31" s="1392"/>
      <c r="J31" s="1392"/>
      <c r="K31" s="1392"/>
      <c r="L31" s="1392"/>
      <c r="M31" s="1392"/>
      <c r="N31" s="1392"/>
      <c r="O31" s="1392"/>
      <c r="P31" s="1392"/>
    </row>
    <row r="32" spans="1:19">
      <c r="A32" s="2230"/>
      <c r="B32" s="2230" t="s">
        <v>1966</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K6" sqref="K6:K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1968</v>
      </c>
      <c r="B2" s="1266">
        <f>项目基本情况!D3</f>
        <v>43324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1975</v>
      </c>
      <c r="B5" s="2286" t="s">
        <v>1976</v>
      </c>
      <c r="C5" s="2287" t="s">
        <v>1977</v>
      </c>
      <c r="D5" s="2288" t="s">
        <v>1978</v>
      </c>
      <c r="E5" s="1268" t="s">
        <v>1979</v>
      </c>
      <c r="F5" s="2289" t="s">
        <v>1980</v>
      </c>
      <c r="G5" s="1268" t="s">
        <v>1981</v>
      </c>
      <c r="H5" s="1268" t="s">
        <v>1982</v>
      </c>
      <c r="I5" s="1268" t="s">
        <v>1983</v>
      </c>
      <c r="J5" s="2290" t="s">
        <v>1984</v>
      </c>
      <c r="K5" s="2291" t="s">
        <v>1985</v>
      </c>
      <c r="L5" s="2292" t="s">
        <v>1986</v>
      </c>
      <c r="M5" s="2293" t="s">
        <v>1987</v>
      </c>
      <c r="N5" s="2294" t="s">
        <v>3347</v>
      </c>
      <c r="O5" s="2292" t="s">
        <v>1988</v>
      </c>
      <c r="P5" s="2295" t="s">
        <v>1989</v>
      </c>
      <c r="Q5" s="69" t="s">
        <v>1990</v>
      </c>
      <c r="R5" s="2296" t="s">
        <v>1991</v>
      </c>
      <c r="S5" s="2297" t="s">
        <v>1992</v>
      </c>
      <c r="T5" s="2298" t="s">
        <v>1993</v>
      </c>
      <c r="U5" s="1267" t="s">
        <v>1994</v>
      </c>
      <c r="V5" s="1268" t="s">
        <v>1995</v>
      </c>
      <c r="W5" s="1268" t="s">
        <v>1996</v>
      </c>
      <c r="X5" s="71"/>
      <c r="Y5" s="70" t="s">
        <v>1997</v>
      </c>
      <c r="Z5" s="2299" t="s">
        <v>1994</v>
      </c>
      <c r="AA5" s="1268" t="s">
        <v>1995</v>
      </c>
      <c r="AB5" s="1268" t="s">
        <v>1996</v>
      </c>
      <c r="AC5" s="71"/>
      <c r="AD5" s="71" t="s">
        <v>1997</v>
      </c>
      <c r="AE5" s="1267" t="s">
        <v>1998</v>
      </c>
      <c r="AF5" s="1268" t="s">
        <v>1999</v>
      </c>
      <c r="AG5" s="70" t="s">
        <v>2000</v>
      </c>
      <c r="AH5" s="1267" t="s">
        <v>2001</v>
      </c>
      <c r="AI5" s="2299" t="s">
        <v>2002</v>
      </c>
      <c r="AJ5" s="2299" t="s">
        <v>2003</v>
      </c>
      <c r="AK5" s="1268" t="s">
        <v>2004</v>
      </c>
      <c r="AL5" s="1268" t="s">
        <v>2005</v>
      </c>
      <c r="AM5" s="70" t="s">
        <v>2006</v>
      </c>
      <c r="AN5" s="2300" t="s">
        <v>2007</v>
      </c>
      <c r="AO5" s="2071" t="s">
        <v>2008</v>
      </c>
      <c r="AP5" s="1249"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购物中心</v>
      </c>
      <c r="B6" s="2303" t="str">
        <f>IF(A6=0,"","经营性")</f>
        <v>经营性</v>
      </c>
      <c r="C6" s="2304" t="s">
        <v>1377</v>
      </c>
      <c r="D6" s="1051">
        <f>SUMIF(项目基本情况!D$12:I$12,C6,项目基本情况!D$14:I$14)</f>
        <v>40</v>
      </c>
      <c r="E6" s="1048">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51">
        <f>SUMIF('数据-汇总表'!C$19:C$33,A6,'数据-汇总表'!E$19:E$33)</f>
        <v>63151.97</v>
      </c>
      <c r="L6" s="803">
        <v>6000</v>
      </c>
      <c r="M6" s="75">
        <f t="shared" ref="M6:M14" si="0">ROUND(K6*L6/10000,0)</f>
        <v>37891</v>
      </c>
      <c r="N6" s="801">
        <v>0.95</v>
      </c>
      <c r="O6" s="75">
        <f>IF($N$5="成新度","——",ROUND(M6*N6,0))</f>
        <v>35996</v>
      </c>
      <c r="P6" s="76">
        <f>IF($N$5="成新度","——",M6-O6)</f>
        <v>1895</v>
      </c>
      <c r="Q6" s="804">
        <v>0.2</v>
      </c>
      <c r="R6" s="77">
        <f ca="1">SUMIF('数据-汇总表'!C$19:C$33,A6,'数据-汇总表'!R$19:R$27)</f>
        <v>5310.02</v>
      </c>
      <c r="S6" s="54">
        <f>IF('数据-汇总表'!$I$17="按面积比例",SUMIF('数据-汇总表'!C$19:C$33,A6,'数据-汇总表'!K$19:K$33),SUMIF('数据-汇总表'!C$19:C$33,A6,'数据-汇总表'!N$19:N$33))</f>
        <v>3220.18</v>
      </c>
      <c r="T6" s="1443">
        <f>ROUND($L$14*S6/10000,0)</f>
        <v>1127</v>
      </c>
      <c r="U6" s="78">
        <v>5.6</v>
      </c>
      <c r="V6" s="79">
        <v>0.03</v>
      </c>
      <c r="W6" s="79">
        <v>0.1</v>
      </c>
      <c r="X6" s="1261"/>
      <c r="Y6" s="80">
        <v>1</v>
      </c>
      <c r="Z6" s="81"/>
      <c r="AA6" s="74"/>
      <c r="AB6" s="74"/>
      <c r="AC6" s="1261"/>
      <c r="AD6" s="82"/>
      <c r="AE6" s="1262">
        <f ca="1">IF(AN6="",0,SUMIF(INDIRECT("'"&amp;AN6&amp;"'"&amp;"!E:E"),$AE$5,INDIRECT("'"&amp;AN6&amp;"'"&amp;"!F:F")))</f>
        <v>28.869999999999997</v>
      </c>
      <c r="AF6" s="1803"/>
      <c r="AG6" s="147">
        <f>IF(AF6="",0,AE6-AF6)</f>
        <v>0</v>
      </c>
      <c r="AH6" s="83"/>
      <c r="AI6" s="85">
        <v>365</v>
      </c>
      <c r="AJ6" s="86"/>
      <c r="AK6" s="87">
        <v>1.4999999999999999E-2</v>
      </c>
      <c r="AL6" s="88">
        <v>1.5E-3</v>
      </c>
      <c r="AM6" s="89">
        <v>0.01</v>
      </c>
      <c r="AN6" s="2305" t="s">
        <v>3356</v>
      </c>
      <c r="AO6" s="55">
        <f ca="1">SUMIF(INDIRECT("'"&amp;AN6&amp;"'"&amp;"!A:A"),"总价",INDIRECT("'"&amp;AN6&amp;"'"&amp;"!B:B"))</f>
        <v>159514</v>
      </c>
      <c r="AP6" s="2306">
        <f>IF(C6="住宅",K6*L6,0)</f>
        <v>0</v>
      </c>
      <c r="AQ6" s="55">
        <f>ROUND($L$14*$N$14*S6/10000,0)</f>
        <v>1071</v>
      </c>
      <c r="AR6" s="55">
        <f>ROUND($L$14*(1-$N$14)*S6/10000,0)</f>
        <v>56</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地下车库</v>
      </c>
      <c r="B7" s="2303" t="str">
        <f t="shared" ref="B7:B13" si="1">IF(A7=0,"","经营性")</f>
        <v>经营性</v>
      </c>
      <c r="C7" s="2304" t="s">
        <v>1377</v>
      </c>
      <c r="D7" s="1051">
        <f>SUMIF(项目基本情况!D$12:I$12,C7,项目基本情况!D$14:I$14)</f>
        <v>40</v>
      </c>
      <c r="E7" s="1048">
        <f>IF(B7="","",SUMIF(项目基本情况!D$12:I$12,C7,项目基本情况!D$13:I$13))</f>
        <v>53900</v>
      </c>
      <c r="F7" s="72">
        <f>SUMIF(项目基本情况!D$12:I$12,C7,项目基本情况!D$15:I$15)</f>
        <v>28.97</v>
      </c>
      <c r="G7" s="73">
        <f t="shared" ref="G7:G11" si="2">IF(ISERROR(ROUND(POWER(1+H7,D7-F7)*(POWER(1+H7,F7)-1)/(POWER(1+H7,D7)-1),3)),0,ROUND(POWER(1+H7,D7-F7)*(POWER(1+H7,F7)-1)/(POWER(1+H7,D7)-1),3))</f>
        <v>0.89300000000000002</v>
      </c>
      <c r="H7" s="802">
        <v>5.5E-2</v>
      </c>
      <c r="I7" s="802">
        <v>0.06</v>
      </c>
      <c r="J7" s="74">
        <v>8.5000000000000006E-2</v>
      </c>
      <c r="K7" s="1251">
        <f>SUMIF('数据-汇总表'!C$19:C$33,A7,'数据-汇总表'!E$19:E$33)</f>
        <v>69497</v>
      </c>
      <c r="L7" s="803">
        <v>3500</v>
      </c>
      <c r="M7" s="75">
        <f t="shared" si="0"/>
        <v>24324</v>
      </c>
      <c r="N7" s="801">
        <v>0.95</v>
      </c>
      <c r="O7" s="75">
        <f t="shared" ref="O7:O14" si="3">IF($N$5="成新度","——",ROUND(M7*N7,0))</f>
        <v>23108</v>
      </c>
      <c r="P7" s="76">
        <f t="shared" ref="P7:P14" si="4">IF($N$5="成新度","——",M7-O7)</f>
        <v>1216</v>
      </c>
      <c r="Q7" s="804">
        <v>0.03</v>
      </c>
      <c r="R7" s="77">
        <f ca="1">SUMIF('数据-汇总表'!C$19:C$33,A7,'数据-汇总表'!R$19:R$27)</f>
        <v>5843.52</v>
      </c>
      <c r="S7" s="54">
        <f>IF('数据-汇总表'!$I$17="按面积比例",SUMIF('数据-汇总表'!C$19:C$33,A7,'数据-汇总表'!K$19:K$33),SUMIF('数据-汇总表'!C$19:C$33,A7,'数据-汇总表'!N$19:N$33))</f>
        <v>3543.71</v>
      </c>
      <c r="T7" s="1443">
        <f t="shared" ref="T7:T13" si="5">ROUND($L$14*S7/10000,0)</f>
        <v>1240</v>
      </c>
      <c r="U7" s="78">
        <v>1</v>
      </c>
      <c r="V7" s="79">
        <v>0.03</v>
      </c>
      <c r="W7" s="79">
        <v>0.1</v>
      </c>
      <c r="X7" s="1261"/>
      <c r="Y7" s="80">
        <v>1</v>
      </c>
      <c r="Z7" s="81"/>
      <c r="AA7" s="74"/>
      <c r="AB7" s="74"/>
      <c r="AC7" s="1261"/>
      <c r="AD7" s="82"/>
      <c r="AE7" s="1262">
        <f t="shared" ref="AE7:AE13" ca="1" si="6">IF(AN7="",0,SUMIF(INDIRECT("'"&amp;AN7&amp;"'"&amp;"!E:E"),$AE$5,INDIRECT("'"&amp;AN7&amp;"'"&amp;"!F:F")))</f>
        <v>28.869999999999997</v>
      </c>
      <c r="AF7" s="1803"/>
      <c r="AG7" s="147">
        <f t="shared" ref="AG7:AG13" si="7">IF(AF7="",0,AE7-AF7)</f>
        <v>0</v>
      </c>
      <c r="AH7" s="83"/>
      <c r="AI7" s="85">
        <v>365</v>
      </c>
      <c r="AJ7" s="86"/>
      <c r="AK7" s="87">
        <v>1.4999999999999999E-2</v>
      </c>
      <c r="AL7" s="88">
        <v>1.5E-3</v>
      </c>
      <c r="AM7" s="89">
        <v>0.01</v>
      </c>
      <c r="AN7" s="2305" t="s">
        <v>3358</v>
      </c>
      <c r="AO7" s="55">
        <f t="shared" ref="AO7:AO13" ca="1" si="8">SUMIF(INDIRECT("'"&amp;AN7&amp;"'"&amp;"!A:A"),"总价",INDIRECT("'"&amp;AN7&amp;"'"&amp;"!B:B"))</f>
        <v>24078</v>
      </c>
      <c r="AP7" s="2306">
        <f t="shared" ref="AP7:AP13" si="9">IF(C7="住宅",K7*L7,0)</f>
        <v>0</v>
      </c>
      <c r="AQ7" s="55">
        <f t="shared" ref="AQ7:AQ13" si="10">ROUND($L$14*$N$14*S7/10000,0)</f>
        <v>1178</v>
      </c>
      <c r="AR7" s="55">
        <f t="shared" ref="AR7:AR13" si="11">ROUND($L$14*(1-$N$14)*S7/10000,0)</f>
        <v>62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地下商业</v>
      </c>
      <c r="B8" s="2303" t="str">
        <f t="shared" si="1"/>
        <v>经营性</v>
      </c>
      <c r="C8" s="2304" t="s">
        <v>1377</v>
      </c>
      <c r="D8" s="1051">
        <f>SUMIF(项目基本情况!D$12:I$12,C8,项目基本情况!D$14:I$14)</f>
        <v>40</v>
      </c>
      <c r="E8" s="1048">
        <f>IF(B8="","",SUMIF(项目基本情况!D$12:I$12,C8,项目基本情况!D$13:I$13))</f>
        <v>53900</v>
      </c>
      <c r="F8" s="72">
        <f>SUMIF(项目基本情况!D$12:I$12,C8,项目基本情况!D$15:I$15)</f>
        <v>28.97</v>
      </c>
      <c r="G8" s="73">
        <f t="shared" si="2"/>
        <v>0.89300000000000002</v>
      </c>
      <c r="H8" s="802">
        <v>5.5E-2</v>
      </c>
      <c r="I8" s="802">
        <v>0.06</v>
      </c>
      <c r="J8" s="74">
        <v>8.5000000000000006E-2</v>
      </c>
      <c r="K8" s="1251">
        <f>SUMIF('数据-汇总表'!C$19:C$33,A8,'数据-汇总表'!E$19:E$33)</f>
        <v>23654</v>
      </c>
      <c r="L8" s="803">
        <v>6000</v>
      </c>
      <c r="M8" s="75">
        <f>ROUND(K8*L8/10000,0)</f>
        <v>14192</v>
      </c>
      <c r="N8" s="801">
        <v>0.95</v>
      </c>
      <c r="O8" s="75">
        <f t="shared" si="3"/>
        <v>13482</v>
      </c>
      <c r="P8" s="76">
        <f t="shared" si="4"/>
        <v>710</v>
      </c>
      <c r="Q8" s="804">
        <v>0.1</v>
      </c>
      <c r="R8" s="77">
        <f ca="1">SUMIF('数据-汇总表'!C$19:C$33,A8,'数据-汇总表'!R$19:R$27)</f>
        <v>1988.91</v>
      </c>
      <c r="S8" s="54">
        <f>IF('数据-汇总表'!$I$17="按面积比例",SUMIF('数据-汇总表'!C$19:C$33,A8,'数据-汇总表'!K$19:K$33),SUMIF('数据-汇总表'!C$19:C$33,A8,'数据-汇总表'!N$19:N$33))</f>
        <v>1206.1400000000001</v>
      </c>
      <c r="T8" s="1443">
        <f t="shared" si="5"/>
        <v>422</v>
      </c>
      <c r="U8" s="805">
        <f>10*0.9*0.5</f>
        <v>4.5</v>
      </c>
      <c r="V8" s="806">
        <v>0.03</v>
      </c>
      <c r="W8" s="806">
        <v>0.1</v>
      </c>
      <c r="X8" s="1261"/>
      <c r="Y8" s="807">
        <v>1</v>
      </c>
      <c r="Z8" s="81"/>
      <c r="AA8" s="74"/>
      <c r="AB8" s="74"/>
      <c r="AC8" s="1261"/>
      <c r="AD8" s="82"/>
      <c r="AE8" s="1262">
        <f t="shared" ca="1" si="6"/>
        <v>28.869999999999997</v>
      </c>
      <c r="AF8" s="1803"/>
      <c r="AG8" s="147">
        <f t="shared" si="7"/>
        <v>0</v>
      </c>
      <c r="AH8" s="808"/>
      <c r="AI8" s="85">
        <v>365</v>
      </c>
      <c r="AJ8" s="86"/>
      <c r="AK8" s="87">
        <v>1.4999999999999999E-2</v>
      </c>
      <c r="AL8" s="88">
        <v>1.5E-3</v>
      </c>
      <c r="AM8" s="89">
        <v>0.01</v>
      </c>
      <c r="AN8" s="2305" t="s">
        <v>3357</v>
      </c>
      <c r="AO8" s="55">
        <f t="shared" ca="1" si="8"/>
        <v>47199</v>
      </c>
      <c r="AP8" s="2306">
        <f t="shared" si="9"/>
        <v>0</v>
      </c>
      <c r="AQ8" s="55">
        <f t="shared" si="10"/>
        <v>401</v>
      </c>
      <c r="AR8" s="55">
        <f t="shared" si="11"/>
        <v>21</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2012</v>
      </c>
      <c r="B14" s="2303" t="s">
        <v>2013</v>
      </c>
      <c r="C14" s="2308" t="s">
        <v>2012</v>
      </c>
      <c r="D14" s="1051"/>
      <c r="E14" s="1048"/>
      <c r="F14" s="72"/>
      <c r="G14" s="73"/>
      <c r="H14" s="1250"/>
      <c r="I14" s="1250"/>
      <c r="J14" s="1250"/>
      <c r="K14" s="1251">
        <f>SUMIF('数据-汇总表'!C$19:C$33,A14,'数据-汇总表'!E$19:E$33)</f>
        <v>7970.0299999999961</v>
      </c>
      <c r="L14" s="91">
        <v>3500</v>
      </c>
      <c r="M14" s="75">
        <f t="shared" si="0"/>
        <v>2790</v>
      </c>
      <c r="N14" s="92">
        <v>0.95</v>
      </c>
      <c r="O14" s="75">
        <f t="shared" si="3"/>
        <v>2651</v>
      </c>
      <c r="P14" s="76">
        <f t="shared" si="4"/>
        <v>139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2014</v>
      </c>
      <c r="B15" s="2303" t="s">
        <v>2013</v>
      </c>
      <c r="C15" s="2308"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2016</v>
      </c>
      <c r="B16" s="97"/>
      <c r="C16" s="1005"/>
      <c r="D16" s="2310"/>
      <c r="E16" s="97"/>
      <c r="F16" s="97"/>
      <c r="G16" s="98">
        <f>ROUND(SUMPRODUCT(G6:G13,K6:K13)/SUMPRODUCT((G6:G13&gt;0)*(K6:K13)),3)</f>
        <v>0.89300000000000002</v>
      </c>
      <c r="H16" s="99">
        <f>ROUND(SUMPRODUCT(H6:H13,K6:K13)/SUMPRODUCT((H6:H13&gt;0)*(K6:K13)),3)</f>
        <v>5.5E-2</v>
      </c>
      <c r="I16" s="100"/>
      <c r="J16" s="100"/>
      <c r="K16" s="101">
        <f>SUM(K6:K15)</f>
        <v>164273</v>
      </c>
      <c r="L16" s="102">
        <f>ROUND(M16*10000/SUM(K6:K14),0)</f>
        <v>4821</v>
      </c>
      <c r="M16" s="102">
        <f>SUM(M6:M14)</f>
        <v>79197</v>
      </c>
      <c r="N16" s="103">
        <f>ROUND(SUMPRODUCT(M6:M14,N6:N14)/M16,3)</f>
        <v>0.95</v>
      </c>
      <c r="O16" s="102">
        <f>SUM(O6:O14)</f>
        <v>75237</v>
      </c>
      <c r="P16" s="102">
        <f>SUM(P6:P14)</f>
        <v>3960</v>
      </c>
      <c r="Q16" s="104">
        <f>ROUND(SUMPRODUCT(Q6:Q13,K6:K13)/SUMPRODUCT((Q6:Q13&gt;0)*(K6:K13)),2)</f>
        <v>0.11</v>
      </c>
      <c r="R16" s="1255">
        <f ca="1">SUM(R6:R13)</f>
        <v>13142.45</v>
      </c>
      <c r="S16" s="105">
        <f>SUM(S6:S13)</f>
        <v>7970.03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2018</v>
      </c>
      <c r="B19" s="112">
        <v>0</v>
      </c>
      <c r="C19" s="2273" t="s">
        <v>2019</v>
      </c>
      <c r="D19" s="2274"/>
      <c r="E19" s="2273"/>
      <c r="F19" s="2273"/>
      <c r="G19" s="2273"/>
      <c r="H19" s="2273"/>
      <c r="I19" s="2273"/>
      <c r="J19" s="2273"/>
      <c r="K19" s="168"/>
      <c r="L19" s="168"/>
      <c r="M19" s="1580"/>
      <c r="N19" s="1580"/>
      <c r="O19" s="1580"/>
      <c r="P19" s="1580"/>
      <c r="Q19" s="1580"/>
      <c r="R19" s="1580"/>
      <c r="S19" s="1580"/>
      <c r="T19" s="1580"/>
      <c r="U19" s="1580" t="s">
        <v>3348</v>
      </c>
      <c r="V19" s="1580">
        <v>10</v>
      </c>
      <c r="W19" s="1580">
        <v>1</v>
      </c>
      <c r="X19" s="1580"/>
      <c r="Y19" s="1580"/>
      <c r="Z19" s="1580"/>
      <c r="AA19" s="1580"/>
      <c r="AB19" s="1580"/>
      <c r="AC19" s="1580"/>
      <c r="AD19" s="1580"/>
      <c r="AE19" s="1580"/>
      <c r="AF19" s="1580"/>
      <c r="AG19" s="1580"/>
      <c r="AH19" s="1580"/>
      <c r="AI19" s="1580"/>
      <c r="AJ19" s="1580"/>
      <c r="AK19" s="1580"/>
      <c r="AL19" s="1580"/>
      <c r="AM19" s="1580"/>
    </row>
    <row r="20" spans="1:67" ht="14.25">
      <c r="A20" s="2313" t="s">
        <v>2020</v>
      </c>
      <c r="B20" s="113">
        <v>2.5</v>
      </c>
      <c r="C20" s="2273" t="s">
        <v>2021</v>
      </c>
      <c r="D20" s="2274"/>
      <c r="E20" s="2273"/>
      <c r="F20" s="2273"/>
      <c r="G20" s="2273"/>
      <c r="H20" s="2273"/>
      <c r="I20" s="2273"/>
      <c r="J20" s="2273"/>
      <c r="K20" s="168"/>
      <c r="L20" s="168"/>
      <c r="M20" s="1580"/>
      <c r="N20" s="1580"/>
      <c r="O20" s="1580"/>
      <c r="P20" s="1580"/>
      <c r="Q20" s="1580"/>
      <c r="R20" s="1580"/>
      <c r="S20" s="1580"/>
      <c r="T20" s="1580"/>
      <c r="U20" s="1580" t="s">
        <v>3349</v>
      </c>
      <c r="V20" s="1580">
        <f>V19*W20</f>
        <v>7</v>
      </c>
      <c r="W20" s="1580">
        <v>0.7</v>
      </c>
      <c r="X20" s="1580"/>
      <c r="Y20" s="1580"/>
      <c r="Z20" s="1580"/>
      <c r="AA20" s="1580"/>
      <c r="AB20" s="1580"/>
      <c r="AC20" s="1580"/>
      <c r="AD20" s="1580"/>
      <c r="AE20" s="1580"/>
      <c r="AF20" s="1580"/>
      <c r="AG20" s="1580"/>
      <c r="AH20" s="1580"/>
      <c r="AI20" s="1580"/>
      <c r="AJ20" s="1580"/>
      <c r="AK20" s="1580"/>
      <c r="AL20" s="1580"/>
      <c r="AM20" s="1580"/>
    </row>
    <row r="21" spans="1:67" ht="14.25">
      <c r="A21" s="2314" t="s">
        <v>2022</v>
      </c>
      <c r="B21" s="113">
        <f>ROUND(B20*N16,1)</f>
        <v>2.4</v>
      </c>
      <c r="C21" s="2273"/>
      <c r="D21" s="2274"/>
      <c r="E21" s="2273"/>
      <c r="F21" s="2273"/>
      <c r="G21" s="2273"/>
      <c r="H21" s="2273"/>
      <c r="I21" s="2273"/>
      <c r="J21" s="2273"/>
      <c r="K21" s="168"/>
      <c r="L21" s="168"/>
      <c r="M21" s="1580"/>
      <c r="N21" s="1580"/>
      <c r="O21" s="1580"/>
      <c r="P21" s="1580"/>
      <c r="Q21" s="1580"/>
      <c r="R21" s="1580"/>
      <c r="S21" s="1580"/>
      <c r="T21" s="1580"/>
      <c r="U21" s="1580" t="s">
        <v>3350</v>
      </c>
      <c r="V21" s="1580">
        <f>V19*W21</f>
        <v>6.5</v>
      </c>
      <c r="W21" s="1580">
        <v>0.65</v>
      </c>
      <c r="X21" s="1580"/>
      <c r="Y21" s="1580"/>
      <c r="Z21" s="1580"/>
      <c r="AA21" s="1580"/>
      <c r="AB21" s="1580"/>
      <c r="AC21" s="1580"/>
      <c r="AD21" s="1580"/>
      <c r="AE21" s="1580"/>
      <c r="AF21" s="1580"/>
      <c r="AG21" s="1580"/>
      <c r="AH21" s="1580"/>
      <c r="AI21" s="1580"/>
      <c r="AJ21" s="1580"/>
      <c r="AK21" s="1580"/>
      <c r="AL21" s="1580"/>
      <c r="AM21" s="1580"/>
    </row>
    <row r="22" spans="1:67" ht="14.25">
      <c r="A22" s="2313" t="s">
        <v>2023</v>
      </c>
      <c r="B22" s="114">
        <f>B19+B20</f>
        <v>2.5</v>
      </c>
      <c r="C22" s="2273"/>
      <c r="D22" s="2274"/>
      <c r="E22" s="2273"/>
      <c r="F22" s="2273"/>
      <c r="G22" s="2273"/>
      <c r="H22" s="2273"/>
      <c r="I22" s="2273"/>
      <c r="J22" s="2273"/>
      <c r="K22" s="168"/>
      <c r="L22" s="168"/>
      <c r="M22" s="1580"/>
      <c r="N22" s="1580"/>
      <c r="O22" s="1580"/>
      <c r="P22" s="1580"/>
      <c r="Q22" s="1580"/>
      <c r="R22" s="1580"/>
      <c r="S22" s="1580"/>
      <c r="T22" s="1580"/>
      <c r="U22" s="1580" t="s">
        <v>3351</v>
      </c>
      <c r="V22" s="1580">
        <f>V19*W22</f>
        <v>6</v>
      </c>
      <c r="W22" s="1580">
        <v>0.6</v>
      </c>
      <c r="X22" s="1580"/>
      <c r="Y22" s="1580"/>
      <c r="Z22" s="1580"/>
      <c r="AA22" s="1580"/>
      <c r="AB22" s="1580"/>
      <c r="AC22" s="1580"/>
      <c r="AD22" s="1580"/>
      <c r="AE22" s="1580"/>
      <c r="AF22" s="1580"/>
      <c r="AG22" s="1580"/>
      <c r="AH22" s="1580"/>
      <c r="AI22" s="1580"/>
      <c r="AJ22" s="1580"/>
      <c r="AK22" s="1580"/>
      <c r="AL22" s="1580"/>
      <c r="AM22" s="1580"/>
    </row>
    <row r="23" spans="1:67" ht="14.25">
      <c r="A23" s="2314" t="s">
        <v>2024</v>
      </c>
      <c r="B23" s="114">
        <f>B19+B21</f>
        <v>2.4</v>
      </c>
      <c r="C23" s="2273"/>
      <c r="D23" s="2274"/>
      <c r="E23" s="2273"/>
      <c r="F23" s="2273"/>
      <c r="G23" s="2273"/>
      <c r="H23" s="2273"/>
      <c r="I23" s="2273"/>
      <c r="J23" s="2273"/>
      <c r="K23" s="168"/>
      <c r="L23" s="168"/>
      <c r="M23" s="1580"/>
      <c r="N23" s="1580"/>
      <c r="O23" s="1580"/>
      <c r="P23" s="1580"/>
      <c r="Q23" s="1580"/>
      <c r="R23" s="1580"/>
      <c r="S23" s="1580"/>
      <c r="T23" s="1580"/>
      <c r="U23" s="1580" t="s">
        <v>3352</v>
      </c>
      <c r="V23" s="1580">
        <f>V19*W23</f>
        <v>5.5</v>
      </c>
      <c r="W23" s="1580">
        <v>0.55000000000000004</v>
      </c>
      <c r="X23" s="1580"/>
      <c r="Y23" s="1580"/>
      <c r="Z23" s="1580"/>
      <c r="AA23" s="1580"/>
      <c r="AB23" s="1580"/>
      <c r="AC23" s="1580"/>
      <c r="AD23" s="1580"/>
      <c r="AE23" s="1580"/>
      <c r="AF23" s="1580"/>
      <c r="AG23" s="1580"/>
      <c r="AH23" s="1580"/>
      <c r="AI23" s="1580"/>
      <c r="AJ23" s="1580"/>
      <c r="AK23" s="1580"/>
      <c r="AL23" s="1580"/>
      <c r="AM23" s="1580"/>
    </row>
    <row r="24" spans="1:67" ht="15" thickBot="1">
      <c r="A24" s="2315" t="s">
        <v>2025</v>
      </c>
      <c r="B24" s="115">
        <f>B20-B21</f>
        <v>0.10000000000000009</v>
      </c>
      <c r="C24" s="2273"/>
      <c r="D24" s="2274"/>
      <c r="E24" s="2273"/>
      <c r="F24" s="2273"/>
      <c r="G24" s="2273"/>
      <c r="H24" s="2273"/>
      <c r="I24" s="2273"/>
      <c r="J24" s="2273"/>
      <c r="K24" s="168"/>
      <c r="L24" s="168"/>
      <c r="M24" s="1580"/>
      <c r="N24" s="1580"/>
      <c r="O24" s="1580"/>
      <c r="P24" s="1580"/>
      <c r="Q24" s="1580"/>
      <c r="R24" s="1580"/>
      <c r="S24" s="1580"/>
      <c r="T24" s="1580"/>
      <c r="U24" s="1580" t="s">
        <v>3353</v>
      </c>
      <c r="V24" s="1580">
        <f>V19*W24</f>
        <v>5.5</v>
      </c>
      <c r="W24" s="1580">
        <f>W23</f>
        <v>0.55000000000000004</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t="s">
        <v>3354</v>
      </c>
      <c r="V25" s="1580">
        <f>V19*W25</f>
        <v>5.5</v>
      </c>
      <c r="W25" s="1580">
        <f>W23</f>
        <v>0.55000000000000004</v>
      </c>
      <c r="X25" s="1580"/>
      <c r="Y25" s="1580"/>
      <c r="Z25" s="1580"/>
      <c r="AA25" s="1580"/>
      <c r="AB25" s="1580"/>
      <c r="AC25" s="1580"/>
      <c r="AD25" s="1580"/>
      <c r="AE25" s="1580"/>
      <c r="AF25" s="1580"/>
      <c r="AG25" s="1580"/>
      <c r="AH25" s="1580"/>
      <c r="AI25" s="1580"/>
      <c r="AJ25" s="1580"/>
      <c r="AK25" s="1580"/>
      <c r="AL25" s="1580"/>
      <c r="AM25" s="1580"/>
    </row>
    <row r="26" spans="1:67" ht="15" thickBot="1">
      <c r="A26" s="2272" t="s">
        <v>2026</v>
      </c>
      <c r="B26" s="2316" t="s">
        <v>2027</v>
      </c>
      <c r="C26" s="2317" t="s">
        <v>2028</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2029</v>
      </c>
      <c r="B27" s="116"/>
      <c r="C27" s="1763" t="s">
        <v>2030</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2031</v>
      </c>
      <c r="B28" s="119">
        <v>220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2032</v>
      </c>
      <c r="B29" s="121">
        <f ca="1">成本法!C10</f>
        <v>3614</v>
      </c>
      <c r="C29" s="1763" t="s">
        <v>2033</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2034</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2035</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2036</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2037</v>
      </c>
      <c r="B33" s="726">
        <v>0.05</v>
      </c>
      <c r="C33" s="1762" t="s">
        <v>2038</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2039</v>
      </c>
      <c r="B34" s="122">
        <v>0</v>
      </c>
      <c r="C34" s="1762" t="s">
        <v>2040</v>
      </c>
      <c r="D34" s="2274" t="s">
        <v>2041</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2042</v>
      </c>
      <c r="B35" s="119">
        <v>200</v>
      </c>
      <c r="C35" s="1762" t="s">
        <v>2043</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2044</v>
      </c>
      <c r="B36" s="123">
        <v>1.4999999999999999E-2</v>
      </c>
      <c r="C36" s="1762" t="s">
        <v>2045</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2046</v>
      </c>
      <c r="B37" s="124">
        <v>0.02</v>
      </c>
      <c r="C37" s="1762" t="s">
        <v>2047</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2048</v>
      </c>
      <c r="B38" s="122">
        <v>0.03</v>
      </c>
      <c r="C38" s="1762" t="s">
        <v>2047</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2049</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2050</v>
      </c>
      <c r="B40" s="1300">
        <f ca="1">存贷款利率!G1</f>
        <v>4.7500000000000001E-2</v>
      </c>
      <c r="C40" s="1762" t="s">
        <v>2051</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2052</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2053</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2054</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2055</v>
      </c>
      <c r="B44" s="128">
        <v>7.0000000000000007E-2</v>
      </c>
      <c r="C44" s="1762" t="s">
        <v>2056</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2057</v>
      </c>
      <c r="B45" s="126">
        <v>0.03</v>
      </c>
      <c r="C45" s="1763" t="s">
        <v>2058</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2059</v>
      </c>
      <c r="B46" s="126">
        <v>0.02</v>
      </c>
      <c r="C46" s="1763" t="s">
        <v>2060</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2061</v>
      </c>
      <c r="B47" s="129"/>
      <c r="C47" s="1763" t="s">
        <v>2062</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2063</v>
      </c>
      <c r="B48" s="130">
        <v>0.03</v>
      </c>
      <c r="C48" s="1770" t="s">
        <v>2064</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2065</v>
      </c>
      <c r="B49" s="126">
        <v>5.0000000000000001E-4</v>
      </c>
      <c r="C49" s="1770" t="s">
        <v>2066</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2067</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2068</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2069</v>
      </c>
      <c r="B52" s="133">
        <f>SUMIF(A54:A63,B53,B54:B63)</f>
        <v>12</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2070</v>
      </c>
      <c r="B53" s="2332" t="s">
        <v>137</v>
      </c>
      <c r="C53" s="1427" t="s">
        <v>2071</v>
      </c>
      <c r="D53" s="2333" t="s">
        <v>2072</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2073</v>
      </c>
      <c r="B54" s="84">
        <v>30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2074</v>
      </c>
      <c r="B55" s="84">
        <v>20</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2075</v>
      </c>
      <c r="B56" s="84">
        <v>16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2076</v>
      </c>
      <c r="B57" s="84">
        <v>12</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2077</v>
      </c>
      <c r="B58" s="84">
        <v>6</v>
      </c>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2078</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2079</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2080</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2081</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2082</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5" t="s">
        <v>2083</v>
      </c>
      <c r="B1" s="3086"/>
      <c r="C1" s="3086"/>
      <c r="D1" s="3086"/>
      <c r="E1" s="3086"/>
      <c r="F1" s="3086"/>
      <c r="G1" s="308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68"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4" t="s">
        <v>2090</v>
      </c>
      <c r="C4" s="2989" t="s">
        <v>3323</v>
      </c>
      <c r="D4" s="2367"/>
      <c r="E4" s="2371"/>
      <c r="F4" s="42" t="s">
        <v>2091</v>
      </c>
      <c r="G4" s="2372" t="s">
        <v>2092</v>
      </c>
      <c r="H4" s="2364"/>
      <c r="I4" s="2364"/>
      <c r="J4" s="2364"/>
      <c r="K4" s="2364"/>
      <c r="L4" s="2364"/>
      <c r="M4" s="2364"/>
      <c r="N4" s="2364"/>
      <c r="O4" s="2364"/>
      <c r="P4" s="2364"/>
      <c r="Q4" s="2364"/>
      <c r="R4" s="2364"/>
    </row>
    <row r="5" spans="1:29" ht="41.25">
      <c r="A5" s="431"/>
      <c r="B5" s="1794" t="s">
        <v>2093</v>
      </c>
      <c r="C5" s="2370" t="s">
        <v>2094</v>
      </c>
      <c r="D5" s="2367"/>
      <c r="E5" s="2371"/>
      <c r="F5" s="1794" t="s">
        <v>2095</v>
      </c>
      <c r="G5" s="2372" t="s">
        <v>2096</v>
      </c>
      <c r="H5" s="2364"/>
      <c r="I5" s="2364"/>
      <c r="J5" s="2364"/>
      <c r="K5" s="2364"/>
      <c r="L5" s="2364"/>
      <c r="M5" s="2364"/>
      <c r="N5" s="2364"/>
      <c r="O5" s="2364"/>
      <c r="P5" s="2364"/>
      <c r="Q5" s="2364"/>
      <c r="R5" s="2364"/>
    </row>
    <row r="6" spans="1:29" ht="81">
      <c r="A6" s="431"/>
      <c r="B6" s="1794" t="s">
        <v>2097</v>
      </c>
      <c r="C6" s="2990" t="s">
        <v>3324</v>
      </c>
      <c r="D6" s="2367"/>
      <c r="E6" s="2371"/>
      <c r="F6" s="1794" t="s">
        <v>2098</v>
      </c>
      <c r="G6" s="2372" t="s">
        <v>2099</v>
      </c>
      <c r="H6" s="2364"/>
      <c r="I6" s="2364"/>
      <c r="J6" s="2364"/>
      <c r="K6" s="2364"/>
      <c r="L6" s="2364"/>
      <c r="M6" s="2364"/>
      <c r="N6" s="2364"/>
      <c r="O6" s="2364"/>
      <c r="P6" s="2364"/>
      <c r="Q6" s="2364"/>
      <c r="R6" s="2364"/>
    </row>
    <row r="7" spans="1:29" ht="122.25" thickBot="1">
      <c r="A7" s="431"/>
      <c r="B7" s="1794" t="s">
        <v>2095</v>
      </c>
      <c r="C7" s="2990" t="s">
        <v>3326</v>
      </c>
      <c r="D7" s="2373"/>
      <c r="E7" s="2374"/>
      <c r="F7" s="2375" t="s">
        <v>2100</v>
      </c>
      <c r="G7" s="2376" t="s">
        <v>2101</v>
      </c>
      <c r="H7" s="2364"/>
      <c r="I7" s="2364"/>
      <c r="J7" s="2364"/>
      <c r="K7" s="2364"/>
      <c r="L7" s="2364"/>
      <c r="M7" s="2364"/>
      <c r="N7" s="2364"/>
      <c r="O7" s="2364"/>
      <c r="P7" s="2364"/>
      <c r="Q7" s="2364"/>
      <c r="R7" s="2364"/>
    </row>
    <row r="8" spans="1:29" ht="27">
      <c r="A8" s="431"/>
      <c r="B8" s="1794" t="s">
        <v>2098</v>
      </c>
      <c r="C8" s="2990" t="s">
        <v>3325</v>
      </c>
      <c r="D8" s="2373"/>
      <c r="E8" s="2373"/>
      <c r="F8" s="1133"/>
      <c r="G8" s="1133"/>
      <c r="H8" s="2364"/>
      <c r="I8" s="2364"/>
      <c r="J8" s="2364"/>
      <c r="K8" s="2364"/>
      <c r="L8" s="2364"/>
      <c r="M8" s="2364"/>
      <c r="N8" s="2364"/>
      <c r="O8" s="2364"/>
      <c r="P8" s="2364"/>
      <c r="Q8" s="2364"/>
      <c r="R8" s="2364"/>
    </row>
    <row r="9" spans="1:29" ht="40.5">
      <c r="A9" s="431"/>
      <c r="B9" s="1794" t="s">
        <v>2102</v>
      </c>
      <c r="C9" s="2989" t="s">
        <v>3327</v>
      </c>
      <c r="D9" s="2367"/>
      <c r="E9" s="2373"/>
      <c r="F9" s="1133"/>
      <c r="G9" s="1133"/>
      <c r="H9" s="2364"/>
      <c r="I9" s="2364"/>
      <c r="J9" s="2364"/>
      <c r="K9" s="2364"/>
      <c r="L9" s="2364"/>
      <c r="M9" s="2364"/>
      <c r="N9" s="2364"/>
      <c r="O9" s="2364"/>
      <c r="P9" s="2364"/>
      <c r="Q9" s="2364"/>
      <c r="R9" s="2364"/>
    </row>
    <row r="10" spans="1:29" s="117" customFormat="1" ht="15.75" thickBot="1">
      <c r="A10" s="2377"/>
      <c r="B10" s="2378" t="s">
        <v>2103</v>
      </c>
      <c r="C10" s="2992" t="s">
        <v>3333</v>
      </c>
      <c r="D10" s="2367"/>
      <c r="E10" s="2367"/>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2104</v>
      </c>
      <c r="B13" s="2383"/>
      <c r="C13" s="2383"/>
      <c r="D13" s="2390"/>
      <c r="E13" s="2383"/>
      <c r="F13" s="2383"/>
      <c r="G13" s="2383"/>
    </row>
    <row r="14" spans="1:29" ht="15.75" thickBot="1">
      <c r="A14" s="2394"/>
      <c r="B14" s="2395"/>
      <c r="C14" s="2396" t="s">
        <v>2105</v>
      </c>
      <c r="D14" s="2367"/>
      <c r="E14" s="2397"/>
      <c r="F14" s="2397"/>
      <c r="G14" s="2361" t="s">
        <v>2106</v>
      </c>
    </row>
    <row r="15" spans="1:29" ht="42.75">
      <c r="A15" s="68" t="s">
        <v>2107</v>
      </c>
      <c r="B15" s="1267" t="s">
        <v>2087</v>
      </c>
      <c r="C15" s="2398">
        <f>C3</f>
        <v>0</v>
      </c>
      <c r="D15" s="2367"/>
      <c r="E15" s="2399" t="s">
        <v>2108</v>
      </c>
      <c r="F15" s="1267" t="s">
        <v>2109</v>
      </c>
      <c r="G15" s="135" t="str">
        <f>G3</f>
        <v>估价对象位于XX开发区，园区建设成熟度XX，产业集聚程度XX</v>
      </c>
    </row>
    <row r="16" spans="1:29" ht="71.25">
      <c r="A16" s="645"/>
      <c r="B16" s="2400" t="s">
        <v>2090</v>
      </c>
      <c r="C16" s="2401" t="str">
        <f>C4</f>
        <v>估价对象位于成都市高新区，周边商业氛围较成熟，人流量较大，有九方购物中心、天虹商场等商业项目，商业繁华度较好。</v>
      </c>
      <c r="D16" s="2367"/>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3"/>
      <c r="E17" s="2402"/>
      <c r="F17" s="2403" t="s">
        <v>2110</v>
      </c>
      <c r="G17" s="1568"/>
    </row>
    <row r="18" spans="1:18" ht="85.5">
      <c r="A18" s="645"/>
      <c r="B18" s="2403" t="s">
        <v>2097</v>
      </c>
      <c r="C18" s="136" t="str">
        <f>C6</f>
        <v>估价对象周边路网较密集、公共交通通达情况较好，有115、236路及地铁1号线等公共交通，停车便捷程度较好，综合评价交通便捷度较好。</v>
      </c>
      <c r="D18" s="2373"/>
      <c r="E18" s="2402"/>
      <c r="F18" s="2403" t="s">
        <v>2100</v>
      </c>
      <c r="G18" s="136" t="str">
        <f>G7</f>
        <v>该园区内是否有污染型企业，绿化情况，卫生条件，整体环境状况判断</v>
      </c>
    </row>
    <row r="19" spans="1:18" ht="28.5">
      <c r="A19" s="645"/>
      <c r="B19" s="2403" t="s">
        <v>2111</v>
      </c>
      <c r="C19" s="2991" t="s">
        <v>3332</v>
      </c>
      <c r="D19" s="2367"/>
      <c r="E19" s="2402"/>
      <c r="F19" s="1794" t="s">
        <v>2095</v>
      </c>
      <c r="G19" s="136" t="str">
        <f>G5</f>
        <v>估价对象所在区域公共配套设施齐备情况</v>
      </c>
    </row>
    <row r="20" spans="1:18" ht="42.75">
      <c r="A20" s="645"/>
      <c r="B20" s="2403" t="s">
        <v>2112</v>
      </c>
      <c r="C20" s="2401" t="str">
        <f>C9</f>
        <v>区域自然环境：鲨鱼公园；人文环境：成都规划馆；综合评价环境状况一般。</v>
      </c>
      <c r="D20" s="2373"/>
      <c r="E20" s="2402"/>
      <c r="F20" s="1794" t="s">
        <v>2113</v>
      </c>
      <c r="G20" s="136" t="str">
        <f>G6</f>
        <v>估价对象所在区域基础设施水平</v>
      </c>
    </row>
    <row r="21" spans="1:18" ht="128.25">
      <c r="A21" s="645"/>
      <c r="B21" s="1794"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67"/>
      <c r="E21" s="2402"/>
      <c r="F21" s="2403" t="s">
        <v>2114</v>
      </c>
      <c r="G21" s="2404"/>
    </row>
    <row r="22" spans="1:18" ht="13.5" customHeight="1">
      <c r="A22" s="645"/>
      <c r="B22" s="1794" t="s">
        <v>2098</v>
      </c>
      <c r="C22" s="136" t="str">
        <f>C8</f>
        <v>估价对象所在区域基础设施水平达到“六通”。</v>
      </c>
      <c r="D22" s="2367"/>
      <c r="E22" s="2402"/>
      <c r="F22" s="2403" t="s">
        <v>2103</v>
      </c>
      <c r="G22" s="1568"/>
    </row>
    <row r="23" spans="1:18" s="2364" customFormat="1" ht="15.75" thickBot="1">
      <c r="A23" s="645"/>
      <c r="B23" s="2403" t="s">
        <v>2114</v>
      </c>
      <c r="C23" s="2404" t="s">
        <v>3292</v>
      </c>
      <c r="D23" s="2391"/>
      <c r="E23" s="2405"/>
      <c r="F23" s="2406" t="s">
        <v>2115</v>
      </c>
      <c r="G23" s="2407"/>
      <c r="H23" s="2391"/>
      <c r="I23" s="2392"/>
      <c r="J23" s="2391"/>
      <c r="K23" s="2391"/>
      <c r="L23" s="2392"/>
      <c r="M23" s="2391"/>
      <c r="N23" s="2391"/>
      <c r="O23" s="2392"/>
      <c r="P23" s="2391"/>
      <c r="Q23" s="2391"/>
      <c r="R23" s="2393"/>
    </row>
    <row r="24" spans="1:18" s="2364" customFormat="1" ht="15.75" thickBot="1">
      <c r="A24" s="2408"/>
      <c r="B24" s="2406" t="s">
        <v>2116</v>
      </c>
      <c r="C24" s="137" t="str">
        <f>C10</f>
        <v>城市次干道——交子大道</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4" sqref="I14"/>
    </sheetView>
  </sheetViews>
  <sheetFormatPr defaultRowHeight="13.5"/>
  <cols>
    <col min="1" max="1" width="23.375" style="1737" customWidth="1"/>
    <col min="2" max="9" width="15.75" style="1737" customWidth="1"/>
    <col min="10" max="16384" width="9" style="1737"/>
  </cols>
  <sheetData>
    <row r="1" spans="1:10" ht="16.5">
      <c r="A1" s="1742" t="s">
        <v>1365</v>
      </c>
      <c r="B1" s="1742">
        <f>SUM(B14:B23)</f>
        <v>190214</v>
      </c>
      <c r="C1" s="1741"/>
      <c r="D1" s="1741"/>
      <c r="E1" s="1741"/>
      <c r="F1" s="1741"/>
      <c r="G1" s="1739"/>
    </row>
    <row r="2" spans="1:10" ht="16.5">
      <c r="A2" s="1742" t="s">
        <v>1353</v>
      </c>
      <c r="B2" s="1742">
        <f>SUM(C14:C23)</f>
        <v>15217.810000000001</v>
      </c>
      <c r="C2" s="1741"/>
      <c r="D2" s="1741"/>
      <c r="E2" s="1741"/>
      <c r="F2" s="1741"/>
      <c r="G2" s="1739"/>
    </row>
    <row r="3" spans="1:10" ht="16.5">
      <c r="A3" s="1742" t="s">
        <v>1362</v>
      </c>
      <c r="B3" s="1743">
        <f>项目基本情况!D3</f>
        <v>43324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236022</v>
      </c>
      <c r="C5" s="1742">
        <f ca="1">ROUND(B5*10000/$B$1,0)</f>
        <v>12408</v>
      </c>
      <c r="D5" s="1742">
        <f ca="1">ROUND(B5*10000/$B$2,0)</f>
        <v>155096</v>
      </c>
      <c r="E5" s="1741"/>
      <c r="F5" s="1739"/>
      <c r="G5" s="1739"/>
    </row>
    <row r="6" spans="1:10" ht="16.5">
      <c r="A6" s="1742" t="s">
        <v>1356</v>
      </c>
      <c r="B6" s="1742">
        <f ca="1">SUM(G14:G23)</f>
        <v>234422</v>
      </c>
      <c r="C6" s="1742">
        <f ca="1">ROUND(B6*10000/$B$1,0)</f>
        <v>12324</v>
      </c>
      <c r="D6" s="1742">
        <f ca="1">ROUND(B6*10000/$B$2,0)</f>
        <v>154045</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 ca="1">SUM(I14:I23)</f>
        <v>205754</v>
      </c>
      <c r="C8" s="1742">
        <f ca="1">ROUND(B8*10000/$B$1,0)</f>
        <v>10817</v>
      </c>
      <c r="D8" s="1742">
        <f ca="1">ROUND(B8*10000/$B$2,0)</f>
        <v>135206</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164273</v>
      </c>
      <c r="C14" s="1740">
        <f>结果表!C118</f>
        <v>13142.44</v>
      </c>
      <c r="D14" s="1740">
        <f ca="1">结果表!H118</f>
        <v>188179</v>
      </c>
      <c r="E14" s="1740">
        <f ca="1">ROUND(D14*10000/B14,0)</f>
        <v>11455</v>
      </c>
      <c r="F14" s="1740">
        <f ca="1">ROUND(D14*10000/C14,0)</f>
        <v>143184</v>
      </c>
      <c r="G14" s="1740">
        <f ca="1">结果表!D122</f>
        <v>186579</v>
      </c>
      <c r="H14" s="1740" t="str">
        <f>结果表!D124</f>
        <v>——</v>
      </c>
      <c r="I14" s="1740">
        <f ca="1">结果表!D126</f>
        <v>205754</v>
      </c>
      <c r="J14" s="1739"/>
    </row>
    <row r="15" spans="1:10" ht="16.5">
      <c r="A15" s="1738" t="s">
        <v>1349</v>
      </c>
      <c r="B15" s="1745">
        <f>[1]系统读取表!$B$14</f>
        <v>25941</v>
      </c>
      <c r="C15" s="1745">
        <f>[1]系统读取表!$C$14</f>
        <v>2075.37</v>
      </c>
      <c r="D15" s="1745">
        <f ca="1">[1]系统读取表!$D$14</f>
        <v>47843</v>
      </c>
      <c r="E15" s="1740">
        <f t="shared" ref="E15:E23" ca="1" si="0">ROUND(D15*10000/B15,0)</f>
        <v>18443</v>
      </c>
      <c r="F15" s="1740">
        <f t="shared" ref="F15:F23" ca="1" si="1">ROUND(D15*10000/C15,0)</f>
        <v>230528</v>
      </c>
      <c r="G15" s="1746">
        <f ca="1">[1]系统读取表!$G$14</f>
        <v>47843</v>
      </c>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SheetLayoutView="100" zoomScalePageLayoutView="80" workbookViewId="0">
      <selection activeCell="H48" sqref="H4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2117</v>
      </c>
      <c r="B1" s="2414"/>
      <c r="C1" s="2415"/>
      <c r="D1" s="2414"/>
      <c r="E1" s="2414"/>
      <c r="F1" s="2416" t="s">
        <v>2118</v>
      </c>
      <c r="G1" s="2067" t="s">
        <v>3373</v>
      </c>
      <c r="H1" s="2417" t="str">
        <f>IF(G1="现房","——","估价对象范围")</f>
        <v>估价对象范围</v>
      </c>
      <c r="I1" s="2418" t="s">
        <v>3116</v>
      </c>
    </row>
    <row r="2" spans="1:12" ht="21.75" customHeight="1" thickBot="1">
      <c r="A2" s="3120" t="str">
        <f>项目基本情况!S2</f>
        <v>四川省成都市高新区交子大道300号出让国有建设用地使用权及在建建筑物房地产</v>
      </c>
      <c r="B2" s="3121"/>
      <c r="C2" s="3121"/>
      <c r="D2" s="3121"/>
      <c r="E2" s="3121"/>
      <c r="F2" s="3121"/>
      <c r="G2" s="3121"/>
      <c r="H2" s="3121"/>
      <c r="I2" s="3122"/>
    </row>
    <row r="3" spans="1:12" ht="12.75">
      <c r="A3" s="3124" t="s">
        <v>2119</v>
      </c>
      <c r="B3" s="3125"/>
      <c r="C3" s="3125"/>
      <c r="D3" s="3125"/>
      <c r="E3" s="3125"/>
      <c r="F3" s="3125"/>
      <c r="G3" s="3125"/>
      <c r="H3" s="3125"/>
      <c r="I3" s="3125"/>
    </row>
    <row r="4" spans="1:12" ht="14.25">
      <c r="A4" s="2421" t="s">
        <v>2120</v>
      </c>
      <c r="B4" s="2422" t="s">
        <v>2121</v>
      </c>
      <c r="C4" s="2423" t="s">
        <v>3360</v>
      </c>
      <c r="D4" s="2423" t="s">
        <v>3361</v>
      </c>
      <c r="E4" s="3117" t="s">
        <v>2122</v>
      </c>
      <c r="F4" s="3118"/>
      <c r="G4" s="3118"/>
      <c r="H4" s="3118"/>
      <c r="I4" s="312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2123</v>
      </c>
      <c r="B5" s="3038">
        <v>25</v>
      </c>
      <c r="C5" s="3103"/>
      <c r="D5" s="3123"/>
      <c r="E5" s="140" t="s">
        <v>2124</v>
      </c>
      <c r="F5" s="2425"/>
      <c r="G5" s="2425"/>
      <c r="H5" s="2425"/>
      <c r="I5" s="1830"/>
    </row>
    <row r="6" spans="1:12" ht="12.75">
      <c r="A6" s="3100"/>
      <c r="B6" s="3038"/>
      <c r="C6" s="3104"/>
      <c r="D6" s="3123"/>
      <c r="E6" s="140" t="s">
        <v>2125</v>
      </c>
      <c r="F6" s="2425"/>
      <c r="G6" s="2425"/>
      <c r="H6" s="2425"/>
      <c r="I6" s="1830"/>
    </row>
    <row r="7" spans="1:12" ht="12.75">
      <c r="A7" s="3100"/>
      <c r="B7" s="3038"/>
      <c r="C7" s="3105"/>
      <c r="D7" s="3123"/>
      <c r="E7" s="140" t="s">
        <v>2126</v>
      </c>
      <c r="F7" s="2425"/>
      <c r="G7" s="2425"/>
      <c r="H7" s="2425"/>
      <c r="I7" s="1830"/>
    </row>
    <row r="8" spans="1:12" ht="12.75">
      <c r="A8" s="3100" t="s">
        <v>2127</v>
      </c>
      <c r="B8" s="3038">
        <v>15</v>
      </c>
      <c r="C8" s="3103"/>
      <c r="D8" s="3123"/>
      <c r="E8" s="140" t="s">
        <v>2128</v>
      </c>
      <c r="F8" s="2425"/>
      <c r="G8" s="2425"/>
      <c r="H8" s="2425"/>
      <c r="I8" s="1830"/>
    </row>
    <row r="9" spans="1:12" ht="12.75">
      <c r="A9" s="3100"/>
      <c r="B9" s="3038"/>
      <c r="C9" s="3105"/>
      <c r="D9" s="3123"/>
      <c r="E9" s="140" t="s">
        <v>2129</v>
      </c>
      <c r="F9" s="2425"/>
      <c r="G9" s="2425"/>
      <c r="H9" s="2425"/>
      <c r="I9" s="1830"/>
    </row>
    <row r="10" spans="1:12" ht="12.75">
      <c r="A10" s="3100" t="s">
        <v>2130</v>
      </c>
      <c r="B10" s="3038">
        <v>15</v>
      </c>
      <c r="C10" s="3103"/>
      <c r="D10" s="3123"/>
      <c r="E10" s="140" t="s">
        <v>2131</v>
      </c>
      <c r="F10" s="2425"/>
      <c r="G10" s="2425"/>
      <c r="H10" s="2425"/>
      <c r="I10" s="1830"/>
    </row>
    <row r="11" spans="1:12" ht="12.75">
      <c r="A11" s="3100"/>
      <c r="B11" s="3038"/>
      <c r="C11" s="3105"/>
      <c r="D11" s="3123"/>
      <c r="E11" s="140" t="s">
        <v>2132</v>
      </c>
      <c r="F11" s="2425"/>
      <c r="G11" s="2425"/>
      <c r="H11" s="2425"/>
      <c r="I11" s="1830"/>
    </row>
    <row r="12" spans="1:12" ht="12.75">
      <c r="A12" s="3100" t="s">
        <v>2133</v>
      </c>
      <c r="B12" s="3038">
        <v>15</v>
      </c>
      <c r="C12" s="3103"/>
      <c r="D12" s="3123"/>
      <c r="E12" s="140" t="s">
        <v>2134</v>
      </c>
      <c r="F12" s="2425"/>
      <c r="G12" s="2425"/>
      <c r="H12" s="2425"/>
      <c r="I12" s="1830"/>
    </row>
    <row r="13" spans="1:12" ht="12.75">
      <c r="A13" s="3100"/>
      <c r="B13" s="3038"/>
      <c r="C13" s="3105"/>
      <c r="D13" s="3123"/>
      <c r="E13" s="140" t="s">
        <v>2135</v>
      </c>
      <c r="F13" s="2425"/>
      <c r="G13" s="2425"/>
      <c r="H13" s="2425"/>
      <c r="I13" s="1830"/>
    </row>
    <row r="14" spans="1:12" ht="12.75">
      <c r="A14" s="3100" t="s">
        <v>2136</v>
      </c>
      <c r="B14" s="3038">
        <v>30</v>
      </c>
      <c r="C14" s="3103">
        <v>5</v>
      </c>
      <c r="D14" s="3123">
        <v>5</v>
      </c>
      <c r="E14" s="140" t="s">
        <v>2137</v>
      </c>
      <c r="F14" s="2425"/>
      <c r="G14" s="2425"/>
      <c r="H14" s="2425"/>
      <c r="I14" s="1830"/>
    </row>
    <row r="15" spans="1:12" ht="12.75">
      <c r="A15" s="3100"/>
      <c r="B15" s="3038"/>
      <c r="C15" s="3104"/>
      <c r="D15" s="3123"/>
      <c r="E15" s="140" t="s">
        <v>2138</v>
      </c>
      <c r="F15" s="2425"/>
      <c r="G15" s="2425"/>
      <c r="H15" s="2425"/>
      <c r="I15" s="1830"/>
    </row>
    <row r="16" spans="1:12" ht="12.75">
      <c r="A16" s="3100"/>
      <c r="B16" s="3038"/>
      <c r="C16" s="3105"/>
      <c r="D16" s="3123"/>
      <c r="E16" s="140" t="s">
        <v>2139</v>
      </c>
      <c r="F16" s="2425"/>
      <c r="G16" s="2425"/>
      <c r="H16" s="2425"/>
      <c r="I16" s="1830"/>
    </row>
    <row r="17" spans="1:35" ht="15">
      <c r="A17" s="2426" t="s">
        <v>2140</v>
      </c>
      <c r="B17" s="64"/>
      <c r="C17" s="141">
        <f>SUM(C5:C16)</f>
        <v>5</v>
      </c>
      <c r="D17" s="141">
        <f>SUM(D5:D16)</f>
        <v>5</v>
      </c>
      <c r="E17" s="138"/>
      <c r="F17" s="138"/>
      <c r="G17" s="138"/>
      <c r="H17" s="138"/>
      <c r="I17" s="138"/>
      <c r="K17" s="2424"/>
      <c r="L17" s="2427" t="s">
        <v>2141</v>
      </c>
      <c r="M17" s="2427" t="s">
        <v>2142</v>
      </c>
    </row>
    <row r="18" spans="1:35" ht="15.75" thickBot="1">
      <c r="A18" s="2428" t="s">
        <v>2143</v>
      </c>
      <c r="B18" s="2429"/>
      <c r="C18" s="142">
        <f>ROUND(C17/SUM(C17:D17),2)</f>
        <v>0.5</v>
      </c>
      <c r="D18" s="142">
        <f>1-C18</f>
        <v>0.5</v>
      </c>
      <c r="E18" s="138"/>
      <c r="F18" s="138"/>
      <c r="G18" s="138"/>
      <c r="H18" s="138"/>
      <c r="I18" s="138"/>
      <c r="K18" s="2424" t="s">
        <v>2144</v>
      </c>
      <c r="L18" s="2424">
        <f>IF(C1="",'数据-汇总表'!E3,SUMIF(项目类型,C1,'数据-汇总表'!E17:E26)+SUMIF(项目类型,C1,'数据-汇总表'!I17:I26))</f>
        <v>164273</v>
      </c>
      <c r="M18" s="2424">
        <f>IF(C1="",'数据-汇总表'!E3,SUMIF(项目类型,C1,'数据-汇总表'!E17:E26))</f>
        <v>164273</v>
      </c>
    </row>
    <row r="19" spans="1:35" ht="15">
      <c r="A19" s="2430" t="s">
        <v>2145</v>
      </c>
      <c r="B19" s="2431" t="s">
        <v>2146</v>
      </c>
      <c r="C19" s="143">
        <f ca="1">SUMIF(INDIRECT("'"&amp;C4&amp;"'"&amp;"!A:A"),结果表!B19,INDIRECT("'"&amp;C4&amp;"'"&amp;"!B:B"))</f>
        <v>171094</v>
      </c>
      <c r="D19" s="144">
        <f ca="1">SUMIF(INDIRECT("'"&amp;D4&amp;"'"&amp;"!A:A"),结果表!B19,INDIRECT("'"&amp;D4&amp;"'"&amp;"!B:B"))</f>
        <v>205264</v>
      </c>
      <c r="E19" s="2430" t="s">
        <v>2147</v>
      </c>
      <c r="F19" s="2431" t="s">
        <v>2146</v>
      </c>
      <c r="G19" s="145">
        <f ca="1">ROUND(C19*$C$18+D19*$D$18,0)</f>
        <v>188179</v>
      </c>
      <c r="H19" s="2432" t="s">
        <v>2148</v>
      </c>
      <c r="I19" s="138"/>
      <c r="K19" s="2424" t="s">
        <v>2149</v>
      </c>
      <c r="L19" s="2424">
        <f>IF(C1="",'数据-汇总表'!D3,SUMIF(项目类型,C1,'数据-汇总表'!D17:D26)+SUMIF(项目类型,C1,'数据-汇总表'!H17:H27))</f>
        <v>13142.44</v>
      </c>
      <c r="M19" s="2424">
        <f>IF(C1="",'数据-汇总表'!D3,SUMIF(项目类型,C1,'数据-汇总表'!D17:D26))</f>
        <v>13142.44</v>
      </c>
    </row>
    <row r="20" spans="1:35" ht="15">
      <c r="A20" s="2433"/>
      <c r="B20" s="1247" t="s">
        <v>2150</v>
      </c>
      <c r="C20" s="146">
        <f ca="1">SUMIF(INDIRECT("'"&amp;C4&amp;"'"&amp;"!A:A"),结果表!B20,INDIRECT("'"&amp;C4&amp;"'"&amp;"!B:B"))</f>
        <v>10415</v>
      </c>
      <c r="D20" s="147">
        <f ca="1">SUMIF(INDIRECT("'"&amp;D4&amp;"'"&amp;"!A:A"),结果表!B20,INDIRECT("'"&amp;D4&amp;"'"&amp;"!B:B"))</f>
        <v>12495</v>
      </c>
      <c r="E20" s="2433"/>
      <c r="F20" s="1247" t="s">
        <v>2150</v>
      </c>
      <c r="G20" s="148">
        <f ca="1">ROUND(C20*$C$18+D20*$D$18,0)</f>
        <v>11455</v>
      </c>
      <c r="H20" s="980" t="s">
        <v>2151</v>
      </c>
      <c r="I20" s="138"/>
    </row>
    <row r="21" spans="1:35" ht="15" customHeight="1" thickBot="1">
      <c r="A21" s="1000"/>
      <c r="B21" s="2434" t="s">
        <v>2152</v>
      </c>
      <c r="C21" s="789">
        <f ca="1">ROUND(C19*10000/L19,0)</f>
        <v>130184</v>
      </c>
      <c r="D21" s="790">
        <f ca="1">ROUND(D19*10000/L19,0)</f>
        <v>156184</v>
      </c>
      <c r="E21" s="1000"/>
      <c r="F21" s="2434" t="s">
        <v>2152</v>
      </c>
      <c r="G21" s="149">
        <f ca="1">ROUND(G19*10000/L19,0)</f>
        <v>143184</v>
      </c>
      <c r="H21" s="2435" t="s">
        <v>2151</v>
      </c>
      <c r="I21" s="138"/>
    </row>
    <row r="22" spans="1:35" ht="15" thickBot="1">
      <c r="A22" s="2277" t="s">
        <v>2153</v>
      </c>
      <c r="B22" s="2436"/>
      <c r="C22" s="2437"/>
      <c r="D22" s="791">
        <f ca="1">IF(C19&lt;D19,D19/C19-1,C19/D19-1)</f>
        <v>0.1997147766724725</v>
      </c>
      <c r="E22" s="138"/>
      <c r="F22" s="138"/>
      <c r="G22" s="138"/>
      <c r="H22" s="138"/>
      <c r="I22" s="138"/>
    </row>
    <row r="23" spans="1:35" ht="13.5" thickBot="1">
      <c r="A23" s="2414"/>
      <c r="B23" s="2414"/>
      <c r="C23" s="2414"/>
      <c r="D23" s="2414"/>
      <c r="E23" s="138"/>
      <c r="F23" s="138"/>
      <c r="G23" s="138"/>
      <c r="H23" s="138"/>
      <c r="I23" s="138"/>
    </row>
    <row r="24" spans="1:35" ht="14.25">
      <c r="A24" s="3094" t="s">
        <v>2154</v>
      </c>
      <c r="B24" s="2431" t="s">
        <v>2146</v>
      </c>
      <c r="C24" s="145">
        <f>IF(B30=0,0,D30)</f>
        <v>0</v>
      </c>
      <c r="D24" s="2438"/>
      <c r="E24" s="138"/>
      <c r="F24" s="138"/>
      <c r="G24" s="138"/>
      <c r="H24" s="138"/>
      <c r="I24" s="138"/>
    </row>
    <row r="25" spans="1:35" ht="14.25">
      <c r="A25" s="3095"/>
      <c r="B25" s="1247"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2160</v>
      </c>
      <c r="B32" s="2444"/>
      <c r="C32" s="153">
        <f ca="1">IF(D32="总价",G19-C24,G20-C25)</f>
        <v>188179</v>
      </c>
      <c r="D32" s="2445" t="s">
        <v>2161</v>
      </c>
      <c r="E32" s="138"/>
      <c r="F32" s="138"/>
      <c r="G32" s="138"/>
      <c r="H32" s="138"/>
      <c r="I32" s="138"/>
    </row>
    <row r="33" spans="1:15" ht="15">
      <c r="A33" s="957" t="s">
        <v>2162</v>
      </c>
      <c r="B33" s="2446"/>
      <c r="C33" s="2447"/>
      <c r="D33" s="2448"/>
      <c r="E33" s="2449" t="s">
        <v>2163</v>
      </c>
      <c r="F33" s="2450" t="str">
        <f>IF(D32="楼面单价","取值（单价）","取值（总价）")</f>
        <v>取值（总价）</v>
      </c>
      <c r="G33" s="138"/>
      <c r="H33" s="138"/>
      <c r="I33" s="138"/>
    </row>
    <row r="34" spans="1:15" ht="15">
      <c r="A34" s="2451"/>
      <c r="B34" s="2452"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2165</v>
      </c>
      <c r="F34" s="1735"/>
      <c r="G34" s="138"/>
      <c r="H34" s="138"/>
      <c r="I34" s="138"/>
    </row>
    <row r="35" spans="1:15" ht="15.75" thickBot="1">
      <c r="A35" s="2454"/>
      <c r="B35" s="2455"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2167</v>
      </c>
      <c r="F35" s="163"/>
      <c r="G35" s="138"/>
      <c r="H35" s="138"/>
      <c r="I35" s="138"/>
    </row>
    <row r="36" spans="1:15" ht="15.75" thickBot="1">
      <c r="A36" s="3112" t="s">
        <v>2168</v>
      </c>
      <c r="B36" s="2457" t="s">
        <v>2169</v>
      </c>
      <c r="C36" s="154">
        <v>50000</v>
      </c>
      <c r="D36" s="2458"/>
      <c r="E36" s="2459"/>
      <c r="F36" s="2460"/>
      <c r="G36" s="138"/>
      <c r="H36" s="138"/>
      <c r="I36" s="138"/>
    </row>
    <row r="37" spans="1:15" ht="15.75" thickBot="1">
      <c r="A37" s="3113"/>
      <c r="B37" s="2263" t="s">
        <v>2170</v>
      </c>
      <c r="C37" s="156">
        <v>1600</v>
      </c>
      <c r="D37" s="1392"/>
      <c r="E37" s="1392"/>
      <c r="F37" s="2460"/>
      <c r="G37" s="138"/>
      <c r="H37" s="138"/>
      <c r="I37" s="138"/>
    </row>
    <row r="38" spans="1:15" ht="15.75" thickBot="1">
      <c r="A38" s="3114"/>
      <c r="B38" s="2461" t="s">
        <v>2171</v>
      </c>
      <c r="C38" s="727"/>
      <c r="D38" s="2462" t="s">
        <v>2172</v>
      </c>
      <c r="E38" s="1392"/>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091" t="s">
        <v>2182</v>
      </c>
      <c r="B45" s="3092"/>
      <c r="C45" s="3093"/>
      <c r="D45" s="164">
        <f ca="1">M48</f>
        <v>236022</v>
      </c>
      <c r="E45" s="165" t="s">
        <v>2183</v>
      </c>
      <c r="F45" s="166">
        <v>1</v>
      </c>
      <c r="G45" s="167" t="s">
        <v>2184</v>
      </c>
      <c r="H45" s="138"/>
      <c r="I45" s="138"/>
      <c r="J45" s="3151" t="s">
        <v>2185</v>
      </c>
      <c r="K45" s="3151"/>
      <c r="L45" s="3151"/>
      <c r="M45" s="3151"/>
      <c r="N45" s="3151"/>
      <c r="O45" s="3151"/>
    </row>
    <row r="46" spans="1:15" ht="14.25" customHeight="1">
      <c r="A46" s="3088" t="s">
        <v>2186</v>
      </c>
      <c r="B46" s="3089"/>
      <c r="C46" s="3089"/>
      <c r="D46" s="3089"/>
      <c r="E46" s="3089"/>
      <c r="F46" s="3089"/>
      <c r="G46" s="3090"/>
      <c r="H46" s="2476"/>
      <c r="I46" s="168"/>
      <c r="J46" s="1808">
        <v>1</v>
      </c>
      <c r="K46" s="3151" t="s">
        <v>2187</v>
      </c>
      <c r="L46" s="3151"/>
      <c r="M46" s="3171"/>
      <c r="N46" s="3171"/>
      <c r="O46" s="3171"/>
    </row>
    <row r="47" spans="1:15" ht="12" customHeight="1">
      <c r="A47" s="169" t="s">
        <v>2188</v>
      </c>
      <c r="B47" s="170"/>
      <c r="C47" s="171"/>
      <c r="D47" s="172" t="s">
        <v>2189</v>
      </c>
      <c r="E47" s="24" t="s">
        <v>2190</v>
      </c>
      <c r="F47" s="173" t="s">
        <v>2191</v>
      </c>
      <c r="G47" s="174" t="s">
        <v>2192</v>
      </c>
      <c r="H47" s="2476"/>
      <c r="I47" s="168"/>
      <c r="J47" s="1808">
        <v>2</v>
      </c>
      <c r="K47" s="3151" t="s">
        <v>2193</v>
      </c>
      <c r="L47" s="3151"/>
      <c r="M47" s="3172">
        <f>'数据-取费表'!B2</f>
        <v>43324</v>
      </c>
      <c r="N47" s="3172"/>
      <c r="O47" s="3172"/>
    </row>
    <row r="48" spans="1:15" ht="25.5">
      <c r="A48" s="3119" t="s">
        <v>2194</v>
      </c>
      <c r="B48" s="3102"/>
      <c r="C48" s="3102"/>
      <c r="D48" s="140">
        <f ca="1">IF(H48="情况1",0,IF(H48="情况2",D52,IF(H48="情况3",D53,IF(H48="情况4",D54))))</f>
        <v>12588</v>
      </c>
      <c r="E48" s="1797" t="str">
        <f>IF(H48="情况4","(销售额-原购置价)×税（费）率","销售额×税（费）率")</f>
        <v>销售额×税（费）率</v>
      </c>
      <c r="F48" s="175">
        <f>IF(H48="情况1","免征",'数据-取费表'!B41)</f>
        <v>5.6000000000000001E-2</v>
      </c>
      <c r="G48" s="2477" t="s">
        <v>2195</v>
      </c>
      <c r="H48" s="2478" t="s">
        <v>3378</v>
      </c>
      <c r="I48" s="2476"/>
      <c r="J48" s="1808">
        <v>3</v>
      </c>
      <c r="K48" s="3151" t="s">
        <v>2196</v>
      </c>
      <c r="L48" s="3151"/>
      <c r="M48" s="3173">
        <f ca="1">H101+[1]典型户型修正!$B$20</f>
        <v>236022</v>
      </c>
      <c r="N48" s="3173"/>
      <c r="O48" s="3173"/>
    </row>
    <row r="49" spans="1:35" ht="25.5" customHeight="1">
      <c r="A49" s="176" t="s">
        <v>2197</v>
      </c>
      <c r="B49" s="3087" t="s">
        <v>2198</v>
      </c>
      <c r="C49" s="3087"/>
      <c r="D49" s="177">
        <v>0</v>
      </c>
      <c r="E49" s="23" t="s">
        <v>2199</v>
      </c>
      <c r="F49" s="28" t="s">
        <v>34</v>
      </c>
      <c r="G49" s="3157"/>
      <c r="H49" s="138"/>
      <c r="I49" s="2479"/>
      <c r="J49" s="1808">
        <v>4</v>
      </c>
      <c r="K49" s="3151" t="str">
        <f>IF(项目基本情况!E8="房地产抵押价值","房地产抵押价值","抵押担保权已注销时的房地产抵押价值")</f>
        <v>房地产抵押价值</v>
      </c>
      <c r="L49" s="3151"/>
      <c r="M49" s="3173">
        <f ca="1">M48-C37</f>
        <v>234422</v>
      </c>
      <c r="N49" s="3173"/>
      <c r="O49" s="3173"/>
    </row>
    <row r="50" spans="1:35" ht="25.5" customHeight="1">
      <c r="A50" s="178"/>
      <c r="B50" s="3087" t="s">
        <v>2200</v>
      </c>
      <c r="C50" s="3087"/>
      <c r="D50" s="179"/>
      <c r="E50" s="31"/>
      <c r="F50" s="180"/>
      <c r="G50" s="3158"/>
      <c r="H50" s="138"/>
      <c r="I50" s="2479"/>
      <c r="J50" s="3151" t="s">
        <v>2201</v>
      </c>
      <c r="K50" s="3151"/>
      <c r="L50" s="3151"/>
      <c r="M50" s="3151"/>
      <c r="N50" s="3151"/>
      <c r="O50" s="3151"/>
    </row>
    <row r="51" spans="1:35" ht="12" customHeight="1">
      <c r="A51" s="181"/>
      <c r="B51" s="3087" t="s">
        <v>2202</v>
      </c>
      <c r="C51" s="3087"/>
      <c r="D51" s="182"/>
      <c r="E51" s="30"/>
      <c r="F51" s="180"/>
      <c r="G51" s="3159"/>
      <c r="H51" s="138"/>
      <c r="I51" s="2479"/>
      <c r="J51" s="2480" t="s">
        <v>2203</v>
      </c>
      <c r="K51" s="3151" t="s">
        <v>2204</v>
      </c>
      <c r="L51" s="3151"/>
      <c r="M51" s="2480" t="s">
        <v>2205</v>
      </c>
      <c r="N51" s="2480" t="s">
        <v>2206</v>
      </c>
      <c r="O51" s="2480" t="s">
        <v>2207</v>
      </c>
    </row>
    <row r="52" spans="1:35" ht="24" customHeight="1">
      <c r="A52" s="183" t="s">
        <v>2208</v>
      </c>
      <c r="B52" s="3087" t="s">
        <v>2209</v>
      </c>
      <c r="C52" s="3087"/>
      <c r="D52" s="182">
        <f ca="1">ROUND(D45*'数据-取费表'!B41/(1+'数据-取费表'!C42),0)</f>
        <v>12588</v>
      </c>
      <c r="E52" s="11" t="s">
        <v>2210</v>
      </c>
      <c r="F52" s="184">
        <f>'数据-取费表'!B41</f>
        <v>5.6000000000000001E-2</v>
      </c>
      <c r="G52" s="2481"/>
      <c r="H52" s="138"/>
      <c r="I52" s="2479"/>
      <c r="J52" s="1808">
        <v>1</v>
      </c>
      <c r="K52" s="3152" t="s">
        <v>2211</v>
      </c>
      <c r="L52" s="3152"/>
      <c r="M52" s="1750">
        <f ca="1">D48</f>
        <v>12588</v>
      </c>
      <c r="N52" s="1808" t="str">
        <f>E48</f>
        <v>销售额×税（费）率</v>
      </c>
      <c r="O52" s="1751">
        <f>F48</f>
        <v>5.6000000000000001E-2</v>
      </c>
    </row>
    <row r="53" spans="1:35" ht="12" customHeight="1">
      <c r="A53" s="183" t="s">
        <v>2212</v>
      </c>
      <c r="B53" s="3110" t="s">
        <v>2213</v>
      </c>
      <c r="C53" s="3111"/>
      <c r="D53" s="182">
        <f ca="1">ROUND(D45*'数据-取费表'!B41/(1+'数据-取费表'!C42),0)</f>
        <v>12588</v>
      </c>
      <c r="E53" s="11" t="s">
        <v>2210</v>
      </c>
      <c r="F53" s="184">
        <f>'数据-取费表'!B41</f>
        <v>5.6000000000000001E-2</v>
      </c>
      <c r="G53" s="2481"/>
      <c r="H53" s="138"/>
      <c r="I53" s="2479"/>
      <c r="J53" s="1808">
        <v>2</v>
      </c>
      <c r="K53" s="3152" t="s">
        <v>2214</v>
      </c>
      <c r="L53" s="3152"/>
      <c r="M53" s="1750">
        <f t="shared" ref="M53:O54" ca="1" si="0">D55</f>
        <v>118</v>
      </c>
      <c r="N53" s="1808" t="str">
        <f t="shared" si="0"/>
        <v>销售额×税（费）率</v>
      </c>
      <c r="O53" s="1751">
        <f t="shared" si="0"/>
        <v>5.0000000000000001E-4</v>
      </c>
    </row>
    <row r="54" spans="1:35" ht="12" customHeight="1">
      <c r="A54" s="183" t="s">
        <v>2215</v>
      </c>
      <c r="B54" s="3110" t="s">
        <v>2216</v>
      </c>
      <c r="C54" s="3111"/>
      <c r="D54" s="182">
        <f ca="1">C68</f>
        <v>12588</v>
      </c>
      <c r="E54" s="30" t="s">
        <v>2217</v>
      </c>
      <c r="F54" s="184">
        <f>'数据-取费表'!B41</f>
        <v>5.6000000000000001E-2</v>
      </c>
      <c r="G54" s="2481"/>
      <c r="H54" s="2482"/>
      <c r="I54" s="2479"/>
      <c r="J54" s="1808">
        <v>3</v>
      </c>
      <c r="K54" s="3152" t="s">
        <v>2218</v>
      </c>
      <c r="L54" s="3152"/>
      <c r="M54" s="1750">
        <f t="shared" ca="1" si="0"/>
        <v>15962</v>
      </c>
      <c r="N54" s="1808" t="str">
        <f t="shared" si="0"/>
        <v>增值额×税（费）率</v>
      </c>
      <c r="O54" s="1752" t="str">
        <f t="shared" si="0"/>
        <v>——</v>
      </c>
    </row>
    <row r="55" spans="1:35" ht="24" customHeight="1">
      <c r="A55" s="3101" t="s">
        <v>2219</v>
      </c>
      <c r="B55" s="3102"/>
      <c r="C55" s="3102"/>
      <c r="D55" s="185">
        <f ca="1">IF(H55="个人住宅",0,ROUND(D45*I55,0))</f>
        <v>118</v>
      </c>
      <c r="E55" s="11" t="s">
        <v>2220</v>
      </c>
      <c r="F55" s="184">
        <f>IF(H55="正常",I55,"免征")</f>
        <v>5.0000000000000001E-4</v>
      </c>
      <c r="G55" s="2481"/>
      <c r="H55" s="2478" t="s">
        <v>2221</v>
      </c>
      <c r="I55" s="186">
        <f>'数据-取费表'!B49</f>
        <v>5.0000000000000001E-4</v>
      </c>
      <c r="J55" s="1808" t="str">
        <f>IF(H59="非个人房产","",4)</f>
        <v/>
      </c>
      <c r="K55" s="3152" t="str">
        <f>IF(H59="非个人房产","——","个人所得税")</f>
        <v>——</v>
      </c>
      <c r="L55" s="3152"/>
      <c r="M55" s="1753" t="str">
        <f>D59</f>
        <v>——</v>
      </c>
      <c r="N55" s="1806" t="str">
        <f>E59</f>
        <v>——</v>
      </c>
      <c r="O55" s="1754" t="str">
        <f>F59</f>
        <v>——</v>
      </c>
    </row>
    <row r="56" spans="1:35" ht="24.75">
      <c r="A56" s="3101" t="s">
        <v>2222</v>
      </c>
      <c r="B56" s="3102"/>
      <c r="C56" s="3102"/>
      <c r="D56" s="185">
        <f ca="1">IF(H56="个人住宅",D57,D58)</f>
        <v>15962</v>
      </c>
      <c r="E56" s="11" t="s">
        <v>2223</v>
      </c>
      <c r="F56" s="184" t="str">
        <f>IF(H56="正常",F58,"免征")</f>
        <v>——</v>
      </c>
      <c r="G56" s="2483" t="s">
        <v>2224</v>
      </c>
      <c r="H56" s="2484" t="s">
        <v>2221</v>
      </c>
      <c r="I56" s="2485"/>
      <c r="J56" s="1808" t="str">
        <f>IF(项目基本情况!K6="上海银行",IF(J55="",4,J55+1),"")</f>
        <v/>
      </c>
      <c r="K56" s="3175" t="str">
        <f>IF(项目基本情况!K6="上海银行","其他处置费用","")</f>
        <v/>
      </c>
      <c r="L56" s="3176"/>
      <c r="M56" s="1750" t="str">
        <f>IF(项目基本情况!K6="上海银行",M69,"")</f>
        <v/>
      </c>
      <c r="N56" s="3178" t="str">
        <f>IF(项目基本情况!K6="上海银行","包含处置中涉及的律师、诉讼、拍卖、评估等费用","")</f>
        <v/>
      </c>
      <c r="O56" s="3179"/>
    </row>
    <row r="57" spans="1:35" ht="12.75">
      <c r="A57" s="183" t="s">
        <v>2197</v>
      </c>
      <c r="B57" s="3117" t="s">
        <v>2225</v>
      </c>
      <c r="C57" s="3126"/>
      <c r="D57" s="187">
        <v>0</v>
      </c>
      <c r="E57" s="23" t="s">
        <v>2199</v>
      </c>
      <c r="F57" s="155"/>
      <c r="G57" s="2481"/>
      <c r="H57" s="2485"/>
      <c r="I57" s="2485"/>
      <c r="J57" s="3152">
        <f>IF(AND(J55="",J56=""),4,IF(项目基本情况!K6="上海银行",结果表!J56+1,结果表!J55+1))</f>
        <v>4</v>
      </c>
      <c r="K57" s="3152" t="s">
        <v>2226</v>
      </c>
      <c r="L57" s="2486" t="s">
        <v>2227</v>
      </c>
      <c r="M57" s="1755"/>
      <c r="N57" s="1756">
        <f ca="1">SUMIF(M52:M56,"&lt;9e307")</f>
        <v>28668</v>
      </c>
      <c r="O57" s="2487"/>
      <c r="P57" s="1749">
        <f ca="1">N57/M49</f>
        <v>0.12229227632218818</v>
      </c>
    </row>
    <row r="58" spans="1:35" ht="24.75">
      <c r="A58" s="183" t="s">
        <v>2208</v>
      </c>
      <c r="B58" s="3117" t="s">
        <v>2228</v>
      </c>
      <c r="C58" s="3118"/>
      <c r="D58" s="185">
        <f ca="1">IF(H58="转让取得",C81,C97)</f>
        <v>15962</v>
      </c>
      <c r="E58" s="11" t="s">
        <v>2223</v>
      </c>
      <c r="F58" s="24" t="s">
        <v>34</v>
      </c>
      <c r="G58" s="2481"/>
      <c r="H58" s="2484" t="s">
        <v>2229</v>
      </c>
      <c r="I58" s="2485"/>
      <c r="J58" s="3152"/>
      <c r="K58" s="3152"/>
      <c r="L58" s="2486" t="s">
        <v>2230</v>
      </c>
      <c r="M58" s="1757"/>
      <c r="N58" s="2488" t="str">
        <f ca="1">NUMBERSTRING(INT(N57*10000),2)&amp;"元整"</f>
        <v>贰亿捌仟陆佰陆拾捌万元整</v>
      </c>
      <c r="O58" s="2489"/>
    </row>
    <row r="59" spans="1:35" ht="24.75" thickBot="1">
      <c r="A59" s="3155" t="s">
        <v>2231</v>
      </c>
      <c r="B59" s="3156"/>
      <c r="C59" s="3156"/>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53">
        <f>J57+1</f>
        <v>5</v>
      </c>
      <c r="K59" s="3152" t="s">
        <v>2233</v>
      </c>
      <c r="L59" s="1808" t="s">
        <v>2227</v>
      </c>
      <c r="M59" s="1758"/>
      <c r="N59" s="1759">
        <f ca="1">M49-N57</f>
        <v>205754</v>
      </c>
      <c r="O59" s="2491"/>
    </row>
    <row r="60" spans="1:35" ht="12" customHeight="1">
      <c r="A60" s="2492"/>
      <c r="B60" s="2414"/>
      <c r="C60" s="2414"/>
      <c r="D60" s="2414"/>
      <c r="E60" s="2163"/>
      <c r="F60" s="2485"/>
      <c r="G60" s="2485"/>
      <c r="H60" s="2493"/>
      <c r="I60" s="138"/>
      <c r="J60" s="3154"/>
      <c r="K60" s="3152"/>
      <c r="L60" s="2486" t="s">
        <v>2230</v>
      </c>
      <c r="M60" s="1757"/>
      <c r="N60" s="2488" t="str">
        <f ca="1">NUMBERSTRING(INT(N59*10000),2)&amp;"元整"</f>
        <v>贰拾亿伍仟柒佰伍拾肆万元整</v>
      </c>
      <c r="O60" s="2489"/>
    </row>
    <row r="61" spans="1:35" ht="13.5" thickBot="1">
      <c r="A61" s="3099" t="s">
        <v>2234</v>
      </c>
      <c r="B61" s="3099"/>
      <c r="C61" s="3099"/>
      <c r="D61" s="3099"/>
      <c r="E61" s="3099"/>
      <c r="F61" s="2485"/>
      <c r="G61" s="2485"/>
      <c r="H61" s="2493"/>
      <c r="I61" s="138"/>
      <c r="J61" s="1808">
        <f>J59+1</f>
        <v>6</v>
      </c>
      <c r="K61" s="3152" t="s">
        <v>2235</v>
      </c>
      <c r="L61" s="3152"/>
      <c r="M61" s="1760"/>
      <c r="N61" s="1761">
        <f ca="1">ROUND(N59*10000/'数据-汇总表'!E3,0)</f>
        <v>12525</v>
      </c>
      <c r="O61" s="2494"/>
    </row>
    <row r="62" spans="1:35" ht="12.75">
      <c r="A62" s="3115" t="s">
        <v>2236</v>
      </c>
      <c r="B62" s="3116"/>
      <c r="C62" s="1800"/>
      <c r="D62" s="1800" t="s">
        <v>2237</v>
      </c>
      <c r="E62" s="192" t="s">
        <v>2238</v>
      </c>
      <c r="F62" s="2485"/>
      <c r="G62" s="2485"/>
      <c r="H62" s="2493"/>
      <c r="I62" s="138"/>
    </row>
    <row r="63" spans="1:35" ht="12.75">
      <c r="A63" s="203" t="s">
        <v>775</v>
      </c>
      <c r="B63" s="193" t="s">
        <v>2239</v>
      </c>
      <c r="C63" s="194">
        <f ca="1">ROUND((C64+C65)/(1+'数据-取费表'!C42),0)</f>
        <v>224783</v>
      </c>
      <c r="D63" s="195"/>
      <c r="E63" s="196"/>
      <c r="F63" s="2485"/>
      <c r="G63" s="2485"/>
      <c r="H63" s="2493"/>
      <c r="I63" s="138"/>
      <c r="J63" s="3177" t="s">
        <v>2240</v>
      </c>
      <c r="K63" s="2495" t="s">
        <v>2241</v>
      </c>
      <c r="L63" s="1748">
        <f ca="1">IF(M49&gt;10000,M49*0.5%,IF(AND(M49&gt;1000,M49&lt;=10000),M49*1%,IF(AND(M49&gt;100,M49&lt;=1000),M49*3%,IF(AND(M49&gt;10,M49&lt;=100),M49*5%,M49*8%))))</f>
        <v>1172.1100000000001</v>
      </c>
      <c r="M63" s="24">
        <f ca="1">ROUND(L63,1)</f>
        <v>1172.0999999999999</v>
      </c>
      <c r="Z63" s="2419"/>
      <c r="AI63" s="2420"/>
    </row>
    <row r="64" spans="1:35" ht="14.25" customHeight="1">
      <c r="A64" s="197" t="s">
        <v>770</v>
      </c>
      <c r="B64" s="198" t="s">
        <v>2242</v>
      </c>
      <c r="C64" s="199">
        <f ca="1">D45</f>
        <v>236022</v>
      </c>
      <c r="D64" s="200" t="s">
        <v>32</v>
      </c>
      <c r="E64" s="201"/>
      <c r="F64" s="2485"/>
      <c r="G64" s="2485"/>
      <c r="H64" s="2493"/>
      <c r="I64" s="138"/>
      <c r="J64" s="3177"/>
      <c r="K64" s="2495" t="s">
        <v>2243</v>
      </c>
      <c r="L64" s="1748">
        <f ca="1">IF(M49&gt;2000,M49*0.5%,IF(AND(M49&gt;1000,M49&lt;=2000),M49*0.6%,IF(AND(M49&gt;500,M49&lt;=1000),M49*0.7%,IF(AND(M49&gt;200,M49&lt;=500),M49*0.8%,IF(AND(M49&gt;100,M49&lt;=200),M49*0.9%,IF(AND(M49&gt;50,M49&lt;=100),M49*1%,IF(AND(M49&gt;20,M49&lt;=50),M49*1.5%,IF(AND(M49&gt;10,M49&lt;=20),M49*2%,IF(AND(M49&gt;1,M49&lt;=10),M49*2.5%)))))))))</f>
        <v>1172.1100000000001</v>
      </c>
      <c r="M64" s="24">
        <f t="shared" ref="M64:M65" ca="1" si="1">ROUND(L64,1)</f>
        <v>1172.0999999999999</v>
      </c>
      <c r="N64" s="138" t="s">
        <v>2244</v>
      </c>
      <c r="Z64" s="2419"/>
      <c r="AI64" s="2420"/>
    </row>
    <row r="65" spans="1:35" ht="14.25" customHeight="1">
      <c r="A65" s="197" t="s">
        <v>771</v>
      </c>
      <c r="B65" s="198" t="s">
        <v>2245</v>
      </c>
      <c r="C65" s="202"/>
      <c r="D65" s="200"/>
      <c r="E65" s="201"/>
      <c r="F65" s="2485"/>
      <c r="G65" s="2485"/>
      <c r="H65" s="2493"/>
      <c r="I65" s="138"/>
      <c r="J65" s="3177"/>
      <c r="K65" s="2495" t="s">
        <v>2246</v>
      </c>
      <c r="L65" s="1748">
        <f ca="1">IF(M49&gt;1000,M49*0.1%,IF(AND(M49&gt;500,M49&lt;=1000),M49*0.5%,IF(AND(M49&gt;50,M49&lt;=500),M49*1%,IF(AND(M49&gt;1,M49&lt;=50),M49*1.5%))))</f>
        <v>234.422</v>
      </c>
      <c r="M65" s="24">
        <f t="shared" ca="1" si="1"/>
        <v>234.4</v>
      </c>
      <c r="N65" s="138" t="s">
        <v>2244</v>
      </c>
      <c r="Z65" s="2419"/>
      <c r="AI65" s="2420"/>
    </row>
    <row r="66" spans="1:35" ht="14.25" customHeight="1">
      <c r="A66" s="203" t="s">
        <v>772</v>
      </c>
      <c r="B66" s="204" t="s">
        <v>2247</v>
      </c>
      <c r="C66" s="205"/>
      <c r="D66" s="206" t="s">
        <v>32</v>
      </c>
      <c r="E66" s="1772" t="s">
        <v>1371</v>
      </c>
      <c r="F66" s="2485"/>
      <c r="G66" s="2485"/>
      <c r="H66" s="2493"/>
      <c r="I66" s="138"/>
      <c r="J66" s="3177"/>
      <c r="K66" s="2495" t="s">
        <v>2248</v>
      </c>
      <c r="L66" s="1748">
        <f ca="1">M49*0.5%</f>
        <v>1172.1100000000001</v>
      </c>
      <c r="M66" s="24">
        <f ca="1">IF(L66&gt;0.5,0.5,ROUND(L66,0))</f>
        <v>0.5</v>
      </c>
      <c r="N66" s="138" t="s">
        <v>2249</v>
      </c>
      <c r="Z66" s="2419"/>
      <c r="AI66" s="2420"/>
    </row>
    <row r="67" spans="1:35" ht="14.25" customHeight="1">
      <c r="A67" s="203" t="s">
        <v>773</v>
      </c>
      <c r="B67" s="204" t="s">
        <v>2250</v>
      </c>
      <c r="C67" s="207">
        <f ca="1">C63-C66</f>
        <v>224783</v>
      </c>
      <c r="D67" s="200" t="s">
        <v>32</v>
      </c>
      <c r="E67" s="201"/>
      <c r="F67" s="2485"/>
      <c r="G67" s="2485"/>
      <c r="H67" s="2493"/>
      <c r="I67" s="138"/>
      <c r="J67" s="3177"/>
      <c r="K67" s="2495" t="s">
        <v>2251</v>
      </c>
      <c r="L67" s="1748">
        <f ca="1">IF(M49&gt;=10000,(8.25+(M49-10000)*0.01%),IF(AND(M49&gt;=8000,M49&lt;10000),(7.85+(M49-8000)*0.02%),IF(AND(M49&gt;=5000,M49&lt;8000),(6.65+(M49-5000)*0.04%),IF(AND(M49&gt;=2000,M49&lt;5000),(4.25+(PM49-2000)*0.08%),IF(AND(M49&gt;=1000,M49&lt;2000),(2.75+(M49-1000)*0.15%),IF(AND(M49&gt;=100,M49&lt;1000),(0.5+(M49-100)*0.25%),IF(AND(M49&gt;0,M49&lt;100),M49*0.5%)))))))</f>
        <v>30.6922</v>
      </c>
      <c r="M67" s="24">
        <f ca="1">ROUND(L67*0.9,1)</f>
        <v>27.6</v>
      </c>
      <c r="Z67" s="2419"/>
      <c r="AI67" s="2420"/>
    </row>
    <row r="68" spans="1:35" ht="14.25" customHeight="1" thickBot="1">
      <c r="A68" s="208" t="s">
        <v>774</v>
      </c>
      <c r="B68" s="209" t="s">
        <v>2252</v>
      </c>
      <c r="C68" s="210">
        <f ca="1">IF(C67&lt;=0,0,ROUND(C67*D68,0))</f>
        <v>12588</v>
      </c>
      <c r="D68" s="211">
        <f>'数据-取费表'!B41</f>
        <v>5.6000000000000001E-2</v>
      </c>
      <c r="E68" s="212"/>
      <c r="F68" s="2485"/>
      <c r="G68" s="2485"/>
      <c r="H68" s="2493"/>
      <c r="I68" s="138"/>
      <c r="J68" s="3177"/>
      <c r="K68" s="2495" t="s">
        <v>2253</v>
      </c>
      <c r="L68" s="1748">
        <f ca="1">IF(M49&gt;10000,M49*0.5%,IF(AND(M49&gt;5000,M49&lt;=10000),M49*1%,IF(AND(M49&gt;1000,M49&lt;=5000),M49*2%,IF(AND(M49&gt;200,M49&lt;=1000),M49*3%,M49*5%))))</f>
        <v>1172.1100000000001</v>
      </c>
      <c r="M68" s="24">
        <f ca="1">ROUND(L68,1)</f>
        <v>1172.0999999999999</v>
      </c>
      <c r="Z68" s="2419"/>
      <c r="AI68" s="2420"/>
    </row>
    <row r="69" spans="1:35" s="2442" customFormat="1" ht="16.5" customHeight="1">
      <c r="A69" s="2496"/>
      <c r="B69" s="2497"/>
      <c r="C69" s="2498"/>
      <c r="D69" s="2499"/>
      <c r="E69" s="2500"/>
      <c r="F69" s="2163"/>
      <c r="G69" s="2163"/>
      <c r="H69" s="2162"/>
      <c r="I69" s="2414"/>
      <c r="J69" s="3177"/>
      <c r="K69" s="2495" t="s">
        <v>2254</v>
      </c>
      <c r="L69" s="2501"/>
      <c r="M69" s="24">
        <f ca="1">ROUND(SUM(M63:M68),0)</f>
        <v>3779</v>
      </c>
      <c r="N69" s="1749">
        <f ca="1">M69/M49</f>
        <v>1.6120500635605873E-2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6" t="s">
        <v>2255</v>
      </c>
      <c r="B70" s="3137"/>
      <c r="C70" s="3137"/>
      <c r="D70" s="3137"/>
      <c r="E70" s="3137"/>
      <c r="F70" s="3137"/>
      <c r="G70" s="3137"/>
      <c r="H70" s="313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5" t="s">
        <v>2236</v>
      </c>
      <c r="B71" s="3116"/>
      <c r="C71" s="1800"/>
      <c r="D71" s="1800"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224783</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1349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10" t="s">
        <v>2264</v>
      </c>
      <c r="F76" s="3087"/>
      <c r="G76" s="3087"/>
      <c r="H76" s="313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1349</v>
      </c>
      <c r="D78" s="226">
        <f>'数据-取费表'!B43</f>
        <v>6.000000000000001E-3</v>
      </c>
      <c r="E78" s="3096" t="s">
        <v>2269</v>
      </c>
      <c r="F78" s="3097"/>
      <c r="G78" s="3097"/>
      <c r="H78" s="310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223434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165.62935507783544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133588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6" t="s">
        <v>2273</v>
      </c>
      <c r="B83" s="3137"/>
      <c r="C83" s="3137"/>
      <c r="D83" s="3137"/>
      <c r="E83" s="3137"/>
      <c r="F83" s="3137"/>
      <c r="G83" s="3137"/>
      <c r="H83" s="313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5" t="s">
        <v>2236</v>
      </c>
      <c r="B84" s="3116"/>
      <c r="C84" s="1800"/>
      <c r="D84" s="1800"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224783</v>
      </c>
      <c r="D85" s="200" t="s">
        <v>32</v>
      </c>
      <c r="E85" s="1799"/>
      <c r="F85" s="1793"/>
      <c r="G85" s="1793"/>
      <c r="H85" s="234"/>
      <c r="I85" s="2508"/>
      <c r="J85" s="2504" t="s">
        <v>3374</v>
      </c>
      <c r="K85" s="2504" t="s">
        <v>3375</v>
      </c>
      <c r="L85" s="2504">
        <v>17925</v>
      </c>
      <c r="M85" s="2504">
        <v>27278</v>
      </c>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171578</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28110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f>M85</f>
        <v>27278</v>
      </c>
      <c r="D88" s="226"/>
      <c r="E88" s="237" t="s">
        <v>2276</v>
      </c>
      <c r="F88" s="1796"/>
      <c r="G88" s="238" t="s">
        <v>2277</v>
      </c>
      <c r="H88" s="2513"/>
      <c r="I88" s="2508"/>
      <c r="J88" s="2504"/>
      <c r="K88" s="2504" t="s">
        <v>3376</v>
      </c>
      <c r="L88" s="2504">
        <v>341511278.95775074</v>
      </c>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832</v>
      </c>
      <c r="D89" s="226">
        <f>'数据-取费表'!B48+'数据-取费表'!B49</f>
        <v>3.0499999999999999E-2</v>
      </c>
      <c r="E89" s="237" t="s">
        <v>2278</v>
      </c>
      <c r="F89" s="1796"/>
      <c r="G89" s="1796"/>
      <c r="H89" s="1798"/>
      <c r="I89" s="2508"/>
      <c r="J89" s="2504"/>
      <c r="K89" s="2504" t="s">
        <v>3377</v>
      </c>
      <c r="L89" s="2504">
        <v>427009357.0139032</v>
      </c>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6"/>
      <c r="G90" s="1796"/>
      <c r="H90" s="1798"/>
      <c r="I90" s="2508"/>
      <c r="J90" s="2504"/>
      <c r="K90" s="2504"/>
      <c r="L90" s="2504">
        <v>768520635.97165394</v>
      </c>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102835</v>
      </c>
      <c r="D91" s="226"/>
      <c r="E91" s="3096" t="s">
        <v>2282</v>
      </c>
      <c r="F91" s="3097"/>
      <c r="G91" s="3097"/>
      <c r="H91" s="2514" t="s">
        <v>2283</v>
      </c>
      <c r="I91" s="2515">
        <v>102835</v>
      </c>
      <c r="J91" s="2504"/>
      <c r="K91" s="2504"/>
      <c r="L91" s="2504">
        <v>20891</v>
      </c>
      <c r="M91" s="2504">
        <v>31792</v>
      </c>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13095</v>
      </c>
      <c r="D92" s="226">
        <v>0.1</v>
      </c>
      <c r="E92" s="3096" t="s">
        <v>2286</v>
      </c>
      <c r="F92" s="3097"/>
      <c r="G92" s="3097"/>
      <c r="H92" s="310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1349</v>
      </c>
      <c r="D93" s="226">
        <f>'数据-取费表'!B43</f>
        <v>6.000000000000001E-3</v>
      </c>
      <c r="E93" s="3096" t="s">
        <v>2269</v>
      </c>
      <c r="F93" s="3097"/>
      <c r="G93" s="3097"/>
      <c r="H93" s="310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26189</v>
      </c>
      <c r="D94" s="226">
        <v>0.2</v>
      </c>
      <c r="E94" s="3107" t="s">
        <v>2290</v>
      </c>
      <c r="F94" s="3108"/>
      <c r="G94" s="3108"/>
      <c r="H94" s="310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53205</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0.31009220296308382</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15962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2291</v>
      </c>
      <c r="B99" s="2414"/>
      <c r="C99" s="2414"/>
      <c r="D99" s="2414"/>
      <c r="E99" s="2163"/>
      <c r="F99" s="2163"/>
      <c r="G99" s="2163"/>
      <c r="H99" s="2162"/>
      <c r="I99" s="138"/>
    </row>
    <row r="100" spans="1:35" ht="18.75" customHeight="1">
      <c r="A100" s="3081" t="s">
        <v>2292</v>
      </c>
      <c r="B100" s="3082"/>
      <c r="C100" s="3082"/>
      <c r="D100" s="3098"/>
      <c r="E100" s="3082" t="s">
        <v>2293</v>
      </c>
      <c r="F100" s="3082"/>
      <c r="G100" s="3082"/>
      <c r="H100" s="3098"/>
      <c r="I100" s="138"/>
    </row>
    <row r="101" spans="1:35" ht="18.75" customHeight="1">
      <c r="A101" s="3160" t="s">
        <v>2294</v>
      </c>
      <c r="B101" s="3161"/>
      <c r="C101" s="736" t="str">
        <f>C4</f>
        <v>成本法</v>
      </c>
      <c r="D101" s="737" t="str">
        <f>D4</f>
        <v>假设开发法</v>
      </c>
      <c r="E101" s="3174" t="s">
        <v>2295</v>
      </c>
      <c r="F101" s="3128"/>
      <c r="G101" s="2516" t="s">
        <v>2296</v>
      </c>
      <c r="H101" s="1045">
        <f ca="1">H118</f>
        <v>188179</v>
      </c>
      <c r="I101" s="138"/>
    </row>
    <row r="102" spans="1:35" ht="18.75" customHeight="1">
      <c r="A102" s="3130" t="s">
        <v>2297</v>
      </c>
      <c r="B102" s="2516" t="s">
        <v>2296</v>
      </c>
      <c r="C102" s="736">
        <f ca="1">C19</f>
        <v>171094</v>
      </c>
      <c r="D102" s="737">
        <f ca="1">D19</f>
        <v>205264</v>
      </c>
      <c r="E102" s="3174"/>
      <c r="F102" s="3128"/>
      <c r="G102" s="2516" t="s">
        <v>2298</v>
      </c>
      <c r="H102" s="371">
        <f ca="1">I118</f>
        <v>11455</v>
      </c>
      <c r="I102" s="138"/>
    </row>
    <row r="103" spans="1:35" ht="42.75" customHeight="1">
      <c r="A103" s="3130"/>
      <c r="B103" s="2516" t="s">
        <v>2298</v>
      </c>
      <c r="C103" s="738">
        <f ca="1">C20</f>
        <v>10415</v>
      </c>
      <c r="D103" s="739">
        <f ca="1">D20</f>
        <v>12495</v>
      </c>
      <c r="E103" s="3169" t="s">
        <v>2299</v>
      </c>
      <c r="F103" s="3170"/>
      <c r="G103" s="2517" t="s">
        <v>2300</v>
      </c>
      <c r="H103" s="1045">
        <f>IF(D36="正常操作",H104+H105+H106,H105+H106)</f>
        <v>1600</v>
      </c>
      <c r="I103" s="138"/>
    </row>
    <row r="104" spans="1:35" ht="18.75" customHeight="1">
      <c r="A104" s="3130" t="s">
        <v>2301</v>
      </c>
      <c r="B104" s="2518" t="s">
        <v>2296</v>
      </c>
      <c r="C104" s="740">
        <f ca="1">H118</f>
        <v>188179</v>
      </c>
      <c r="D104" s="741"/>
      <c r="E104" s="2263" t="s">
        <v>2302</v>
      </c>
      <c r="F104" s="2255"/>
      <c r="G104" s="2517" t="s">
        <v>2300</v>
      </c>
      <c r="H104" s="1046">
        <f>IF(D36="同一抵押权人同一抵押物续贷",C36&amp;"（未扣减，详见特别提示）",C36)</f>
        <v>50000</v>
      </c>
      <c r="I104" s="138"/>
    </row>
    <row r="105" spans="1:35" ht="18.75" customHeight="1" thickBot="1">
      <c r="A105" s="3131"/>
      <c r="B105" s="2519" t="s">
        <v>2298</v>
      </c>
      <c r="C105" s="742">
        <f ca="1">I118</f>
        <v>11455</v>
      </c>
      <c r="D105" s="743"/>
      <c r="E105" s="2263" t="s">
        <v>2303</v>
      </c>
      <c r="F105" s="2255"/>
      <c r="G105" s="2517" t="s">
        <v>2300</v>
      </c>
      <c r="H105" s="1046">
        <f>C37</f>
        <v>1600</v>
      </c>
      <c r="I105" s="138"/>
    </row>
    <row r="106" spans="1:35" ht="18.75" customHeight="1">
      <c r="A106" s="2414" t="s">
        <v>2304</v>
      </c>
      <c r="B106" s="2414"/>
      <c r="C106" s="2414"/>
      <c r="D106" s="2414"/>
      <c r="E106" s="2520" t="s">
        <v>2305</v>
      </c>
      <c r="F106" s="2255"/>
      <c r="G106" s="2517" t="s">
        <v>2300</v>
      </c>
      <c r="H106" s="1046">
        <f>C38</f>
        <v>0</v>
      </c>
      <c r="I106" s="138"/>
    </row>
    <row r="107" spans="1:35" ht="18.75" customHeight="1">
      <c r="A107" s="138"/>
      <c r="B107" s="138"/>
      <c r="C107" s="138"/>
      <c r="D107" s="138"/>
      <c r="E107" s="3127" t="str">
        <f>IF(项目基本情况!E8="已注销","——","3.房地产抵押价值")</f>
        <v>3.房地产抵押价值</v>
      </c>
      <c r="F107" s="3128"/>
      <c r="G107" s="2516" t="s">
        <v>2296</v>
      </c>
      <c r="H107" s="1045">
        <f ca="1">IF(E107="——","——",H101-H103)</f>
        <v>186579</v>
      </c>
      <c r="I107" s="138"/>
    </row>
    <row r="108" spans="1:35" ht="18.75" customHeight="1">
      <c r="A108" s="138"/>
      <c r="B108" s="138"/>
      <c r="C108" s="138"/>
      <c r="D108" s="138"/>
      <c r="E108" s="3127"/>
      <c r="F108" s="3128"/>
      <c r="G108" s="2516" t="s">
        <v>2298</v>
      </c>
      <c r="H108" s="371">
        <f ca="1">ROUND(H107*10000/'数据-汇总表'!E3,0)</f>
        <v>11358</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6" t="s">
        <v>2296</v>
      </c>
      <c r="H109" s="348" t="str">
        <f>IF(E109="——","——",H101-H105-H106)</f>
        <v>——</v>
      </c>
      <c r="I109" s="138"/>
    </row>
    <row r="110" spans="1:35" ht="18.75" customHeight="1">
      <c r="A110" s="138"/>
      <c r="B110" s="138"/>
      <c r="C110" s="138"/>
      <c r="D110" s="138"/>
      <c r="E110" s="3127"/>
      <c r="F110" s="3128"/>
      <c r="G110" s="2516" t="s">
        <v>2298</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4.抵押净值</v>
      </c>
      <c r="F111" s="3163"/>
      <c r="G111" s="2516" t="s">
        <v>2296</v>
      </c>
      <c r="H111" s="1045">
        <f ca="1">IF(E111="——","——",N59)</f>
        <v>205754</v>
      </c>
      <c r="I111" s="138"/>
    </row>
    <row r="112" spans="1:35" ht="18.75" customHeight="1" thickBot="1">
      <c r="A112" s="138"/>
      <c r="B112" s="138"/>
      <c r="C112" s="138"/>
      <c r="D112" s="138"/>
      <c r="E112" s="3164"/>
      <c r="F112" s="3165"/>
      <c r="G112" s="2521" t="s">
        <v>2298</v>
      </c>
      <c r="H112" s="790">
        <f ca="1">IF(E111="——","——",N61)</f>
        <v>12525</v>
      </c>
      <c r="I112" s="138"/>
    </row>
    <row r="113" spans="1:11" ht="18.75" customHeight="1">
      <c r="A113" s="138"/>
      <c r="B113" s="138"/>
      <c r="C113" s="138"/>
      <c r="D113" s="138"/>
      <c r="E113" s="3132" t="s">
        <v>2304</v>
      </c>
      <c r="F113" s="3132"/>
      <c r="G113" s="3132"/>
      <c r="H113" s="3132"/>
      <c r="I113" s="138"/>
    </row>
    <row r="114" spans="1:11" ht="3.75" customHeight="1">
      <c r="A114" s="2414"/>
      <c r="B114" s="2414"/>
      <c r="C114" s="2414"/>
      <c r="D114" s="2414"/>
      <c r="E114" s="2492"/>
      <c r="F114" s="2492"/>
      <c r="G114" s="2492"/>
      <c r="H114" s="2492"/>
      <c r="I114" s="2414"/>
    </row>
    <row r="115" spans="1:11" ht="18.75" customHeight="1">
      <c r="A115" s="3145" t="s">
        <v>2306</v>
      </c>
      <c r="B115" s="3146"/>
      <c r="C115" s="3146"/>
      <c r="D115" s="3146"/>
      <c r="E115" s="3146"/>
      <c r="F115" s="3146"/>
      <c r="G115" s="3146"/>
      <c r="H115" s="3146"/>
      <c r="I115" s="3147"/>
    </row>
    <row r="116" spans="1:11" ht="27" customHeight="1">
      <c r="A116" s="3038" t="s">
        <v>2307</v>
      </c>
      <c r="B116" s="3133" t="s">
        <v>2308</v>
      </c>
      <c r="C116" s="3133" t="s">
        <v>2309</v>
      </c>
      <c r="D116" s="3149" t="s">
        <v>2310</v>
      </c>
      <c r="E116" s="3150"/>
      <c r="F116" s="3141" t="s">
        <v>2311</v>
      </c>
      <c r="G116" s="3141"/>
      <c r="H116" s="3038" t="s">
        <v>2312</v>
      </c>
      <c r="I116" s="3038"/>
    </row>
    <row r="117" spans="1:11" ht="18.75" customHeight="1">
      <c r="A117" s="3038"/>
      <c r="B117" s="3134"/>
      <c r="C117" s="3134"/>
      <c r="D117" s="1794" t="s">
        <v>2313</v>
      </c>
      <c r="E117" s="1794" t="s">
        <v>2314</v>
      </c>
      <c r="F117" s="1794" t="s">
        <v>2313</v>
      </c>
      <c r="G117" s="1794" t="s">
        <v>2315</v>
      </c>
      <c r="H117" s="1794" t="s">
        <v>2313</v>
      </c>
      <c r="I117" s="1794" t="s">
        <v>2315</v>
      </c>
    </row>
    <row r="118" spans="1:11" ht="24.75" customHeight="1">
      <c r="A118" s="2522" t="str">
        <f>项目基本情况!S2</f>
        <v>四川省成都市高新区交子大道300号出让国有建设用地使用权及在建建筑物房地产</v>
      </c>
      <c r="B118" s="1794">
        <f>M18</f>
        <v>164273</v>
      </c>
      <c r="C118" s="1794">
        <f>M19</f>
        <v>13142.44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188179</v>
      </c>
      <c r="I118" s="1794">
        <f ca="1">ROUND(IF(D32="楼面单价",C32,H118*10000/B118),0)</f>
        <v>11455</v>
      </c>
    </row>
    <row r="119" spans="1:11" ht="18.75" customHeight="1">
      <c r="A119" s="3038" t="s">
        <v>2316</v>
      </c>
      <c r="B119" s="3038"/>
      <c r="C119" s="3038"/>
      <c r="D119" s="3138" t="e">
        <f ca="1">NUMBERSTRING(INT(D118*10000),2)&amp;"元整"</f>
        <v>#REF!</v>
      </c>
      <c r="E119" s="3140"/>
      <c r="F119" s="3138" t="e">
        <f ca="1">NUMBERSTRING(INT(F118*10000),2)&amp;"元整"</f>
        <v>#REF!</v>
      </c>
      <c r="G119" s="3140"/>
      <c r="H119" s="3138" t="str">
        <f ca="1">NUMBERSTRING(INT(H118*10000),2)&amp;"元整"</f>
        <v>壹拾捌亿捌仟壹佰柒拾玖万元整</v>
      </c>
      <c r="I119" s="3140"/>
    </row>
    <row r="120" spans="1:11" ht="18.75" customHeight="1">
      <c r="A120" s="3166" t="str">
        <f>IF(项目基本情况!B9="房地产市场价值","",MID(E103,3,LEN(E103)-2))</f>
        <v>估价师知悉的法定优先受偿款</v>
      </c>
      <c r="B120" s="3167"/>
      <c r="C120" s="3168"/>
      <c r="D120" s="3166">
        <f>H103</f>
        <v>1600</v>
      </c>
      <c r="E120" s="3167"/>
      <c r="F120" s="3167"/>
      <c r="G120" s="3167"/>
      <c r="H120" s="3167"/>
      <c r="I120" s="3168"/>
      <c r="K120" s="2419" t="str">
        <f>IF(D120=0,"故，本次评估不存在"&amp;A120,"故，本次评估"&amp;A120&amp;"为人民币"&amp;D120&amp;"万元整。")</f>
        <v>故，本次评估估价师知悉的法定优先受偿款为人民币1600万元整。</v>
      </c>
    </row>
    <row r="121" spans="1:11" ht="18.75" customHeight="1">
      <c r="A121" s="3142" t="s">
        <v>2316</v>
      </c>
      <c r="B121" s="3143"/>
      <c r="C121" s="3144"/>
      <c r="D121" s="3138" t="str">
        <f>IF(D120=0,"零元整",NUMBERSTRING(INT(D120*10000),2)&amp;"元整")</f>
        <v>壹仟陆佰万元整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186579</v>
      </c>
      <c r="E122" s="3167"/>
      <c r="F122" s="3167"/>
      <c r="G122" s="3167"/>
      <c r="H122" s="3167"/>
      <c r="I122" s="3168"/>
    </row>
    <row r="123" spans="1:11" ht="18.75" customHeight="1">
      <c r="A123" s="3038" t="s">
        <v>2316</v>
      </c>
      <c r="B123" s="3038"/>
      <c r="C123" s="3038"/>
      <c r="D123" s="3138" t="str">
        <f ca="1">NUMBERSTRING(INT(D122*10000),2)&amp;"元整"</f>
        <v>壹拾捌亿陆仟伍佰柒拾玖万元整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2316</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抵押净值</v>
      </c>
      <c r="B126" s="3129"/>
      <c r="C126" s="3129"/>
      <c r="D126" s="3166">
        <f ca="1">H111</f>
        <v>205754</v>
      </c>
      <c r="E126" s="3167"/>
      <c r="F126" s="3167"/>
      <c r="G126" s="3167"/>
      <c r="H126" s="3167"/>
      <c r="I126" s="3168"/>
    </row>
    <row r="127" spans="1:11" ht="18.75" customHeight="1">
      <c r="A127" s="3038" t="s">
        <v>2316</v>
      </c>
      <c r="B127" s="3038"/>
      <c r="C127" s="3038"/>
      <c r="D127" s="3138" t="str">
        <f ca="1">NUMBERSTRING(INT(D126*10000),2)&amp;"元整"</f>
        <v>贰拾亿伍仟柒佰伍拾肆万元整</v>
      </c>
      <c r="E127" s="3139"/>
      <c r="F127" s="3139"/>
      <c r="G127" s="3139"/>
      <c r="H127" s="3139"/>
      <c r="I127" s="3140"/>
    </row>
    <row r="128" spans="1:11" ht="21.75" customHeight="1">
      <c r="A128" s="3148" t="s">
        <v>2317</v>
      </c>
      <c r="B128" s="3148"/>
      <c r="C128" s="3148"/>
      <c r="D128" s="3148"/>
      <c r="E128" s="3148"/>
      <c r="F128" s="3148"/>
      <c r="G128" s="3148"/>
      <c r="H128" s="3148"/>
      <c r="I128" s="3148"/>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55" sqref="C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9</v>
      </c>
    </row>
    <row r="2" spans="1:9" s="244" customFormat="1" ht="18" customHeight="1">
      <c r="A2" s="245" t="s">
        <v>2326</v>
      </c>
      <c r="B2" s="246">
        <f ca="1">IF(D2="——",C52,C52-E2)</f>
        <v>171094</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10415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45622</v>
      </c>
      <c r="D5" s="255" t="s">
        <v>2333</v>
      </c>
      <c r="E5" s="256" t="s">
        <v>2334</v>
      </c>
      <c r="F5" s="256" t="s">
        <v>2335</v>
      </c>
      <c r="G5" s="257"/>
    </row>
    <row r="6" spans="1:9" s="258" customFormat="1" ht="13.5" customHeight="1">
      <c r="A6" s="949" t="s">
        <v>2336</v>
      </c>
      <c r="B6" s="259" t="s">
        <v>2337</v>
      </c>
      <c r="C6" s="260">
        <f>'土地比较法-住宅、综合'!B2</f>
        <v>40765</v>
      </c>
      <c r="D6" s="261"/>
      <c r="E6" s="262"/>
      <c r="F6" s="262"/>
      <c r="G6" s="263"/>
    </row>
    <row r="7" spans="1:9" s="258" customFormat="1" ht="13.5" customHeight="1">
      <c r="A7" s="949" t="s">
        <v>2338</v>
      </c>
      <c r="B7" s="259" t="s">
        <v>2339</v>
      </c>
      <c r="C7" s="264">
        <f>ROUND(C6*F7,0)</f>
        <v>1243</v>
      </c>
      <c r="D7" s="264"/>
      <c r="E7" s="262"/>
      <c r="F7" s="265">
        <f>'数据-取费表'!B48+'数据-取费表'!B49</f>
        <v>3.0499999999999999E-2</v>
      </c>
      <c r="G7" s="263"/>
    </row>
    <row r="8" spans="1:9" s="267" customFormat="1">
      <c r="A8" s="949" t="s">
        <v>2340</v>
      </c>
      <c r="B8" s="259" t="s">
        <v>2341</v>
      </c>
      <c r="C8" s="264">
        <f ca="1">IF(G8="已包含在土地购买价格中","0",IF(B1="",'数据-取费表'!B29,IF(G9="全部缴纳",C9+C10,H9)))</f>
        <v>3614</v>
      </c>
      <c r="D8" s="266"/>
      <c r="E8" s="264"/>
      <c r="F8" s="265"/>
      <c r="G8" s="2548" t="s">
        <v>3115</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9"/>
      <c r="H9" s="1390"/>
      <c r="I9" s="2550" t="s">
        <v>2343</v>
      </c>
    </row>
    <row r="10" spans="1:9" s="258" customFormat="1" ht="13.5" customHeight="1">
      <c r="A10" s="950" t="s">
        <v>801</v>
      </c>
      <c r="B10" s="268" t="s">
        <v>2344</v>
      </c>
      <c r="C10" s="269">
        <f ca="1">ROUND(D10*E10/10000,0)</f>
        <v>3614</v>
      </c>
      <c r="D10" s="1032">
        <f ca="1">IF(B1="",'数据-汇总表'!E6,IF(INDIRECT("'数据-取费表'!c"&amp;$G$1)="住宅",INDIRECT("'数据-取费表'!s"&amp;$G$1),INDIRECT("'数据-取费表'!k"&amp;$G$1)+INDIRECT("'数据-取费表'!s"&amp;$G$1)))</f>
        <v>164273</v>
      </c>
      <c r="E10" s="269">
        <f>'数据-取费表'!B28</f>
        <v>220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164273</v>
      </c>
      <c r="E19" s="255">
        <f>'数据-取费表'!B31</f>
        <v>200</v>
      </c>
      <c r="F19" s="275"/>
      <c r="G19" s="2548" t="s">
        <v>3114</v>
      </c>
    </row>
    <row r="20" spans="1:7" s="258" customFormat="1" ht="13.5" customHeight="1">
      <c r="A20" s="299" t="s">
        <v>2357</v>
      </c>
      <c r="B20" s="254" t="s">
        <v>2358</v>
      </c>
      <c r="C20" s="276">
        <f ca="1">ROUND((C5+C19)*F20,0)</f>
        <v>912</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5427</v>
      </c>
      <c r="D22" s="279">
        <f ca="1">C26</f>
        <v>1.6999999999999999E-3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5375</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52</v>
      </c>
      <c r="D25" s="282"/>
      <c r="E25" s="285"/>
      <c r="F25" s="283"/>
      <c r="G25" s="286" t="s">
        <v>2374</v>
      </c>
    </row>
    <row r="26" spans="1:7" s="258" customFormat="1">
      <c r="A26" s="951" t="s">
        <v>795</v>
      </c>
      <c r="B26" s="259" t="s">
        <v>2375</v>
      </c>
      <c r="C26" s="282">
        <f ca="1">ROUND(IF('数据-取费表'!B22&lt;=1,F21*F22*'数据-取费表'!B23/2,F21*(POWER((1+F22),'数据-取费表'!B23/2)-1)),4)</f>
        <v>1.6999999999999999E-3</v>
      </c>
      <c r="D26" s="282"/>
      <c r="E26" s="285"/>
      <c r="F26" s="283"/>
      <c r="G26" s="287"/>
    </row>
    <row r="27" spans="1:7" s="258" customFormat="1" ht="24.75">
      <c r="A27" s="299" t="s">
        <v>2376</v>
      </c>
      <c r="B27" s="288" t="s">
        <v>2377</v>
      </c>
      <c r="C27" s="289">
        <f ca="1">C28</f>
        <v>4914</v>
      </c>
      <c r="D27" s="279">
        <f ca="1">C29</f>
        <v>3.2000000000000002E-3</v>
      </c>
      <c r="E27" s="280" t="s">
        <v>2378</v>
      </c>
      <c r="F27" s="290">
        <f ca="1">IF(B1="",'数据-取费表'!Q16,INDIRECT("'数据-取费表'!q"&amp;$G$1))</f>
        <v>0.11</v>
      </c>
      <c r="G27" s="291" t="s">
        <v>2379</v>
      </c>
    </row>
    <row r="28" spans="1:7" s="258" customFormat="1" ht="13.5" customHeight="1">
      <c r="A28" s="951" t="s">
        <v>791</v>
      </c>
      <c r="B28" s="292" t="s">
        <v>2380</v>
      </c>
      <c r="C28" s="293">
        <f ca="1">ROUND((C5+C19+C20)*F27*'数据-取费表'!B21/'数据-取费表'!B20,0)</f>
        <v>4914</v>
      </c>
      <c r="D28" s="279"/>
      <c r="E28" s="280"/>
      <c r="F28" s="290"/>
      <c r="G28" s="291"/>
    </row>
    <row r="29" spans="1:7" s="258" customFormat="1" ht="13.5" customHeight="1">
      <c r="A29" s="951" t="s">
        <v>792</v>
      </c>
      <c r="B29" s="292" t="s">
        <v>2381</v>
      </c>
      <c r="C29" s="282">
        <f ca="1">ROUND(C21*F27*'数据-取费表'!B21/'数据-取费表'!B20,4)</f>
        <v>3.2000000000000002E-3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62377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83249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75237</v>
      </c>
      <c r="D34" s="261"/>
      <c r="E34" s="264"/>
      <c r="F34" s="301">
        <f ca="1">IF('数据-取费表'!B24=0,1,IF(B1="",'数据-取费表'!N16,INDIRECT("'数据-取费表'!n"&amp;$G$1)))</f>
        <v>0.95</v>
      </c>
      <c r="G34" s="263" t="s">
        <v>2390</v>
      </c>
    </row>
    <row r="35" spans="1:7" ht="13.5" customHeight="1">
      <c r="A35" s="951" t="s">
        <v>796</v>
      </c>
      <c r="B35" s="259" t="s">
        <v>2391</v>
      </c>
      <c r="C35" s="264">
        <f ca="1">ROUND(C34*F35,0)</f>
        <v>3762</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3121</v>
      </c>
      <c r="D37" s="261">
        <f ca="1">D19</f>
        <v>164273</v>
      </c>
      <c r="E37" s="293">
        <f>'数据-取费表'!B35</f>
        <v>200</v>
      </c>
      <c r="F37" s="303"/>
      <c r="G37" s="305" t="s">
        <v>2396</v>
      </c>
    </row>
    <row r="38" spans="1:7" ht="13.5" customHeight="1">
      <c r="A38" s="951" t="s">
        <v>799</v>
      </c>
      <c r="B38" s="259" t="s">
        <v>2397</v>
      </c>
      <c r="C38" s="264">
        <f ca="1">ROUND(C34*F38,0)</f>
        <v>1129</v>
      </c>
      <c r="D38" s="264"/>
      <c r="E38" s="264"/>
      <c r="F38" s="303">
        <f>'数据-取费表'!B36</f>
        <v>1.4999999999999999E-2</v>
      </c>
      <c r="G38" s="263" t="s">
        <v>2392</v>
      </c>
    </row>
    <row r="39" spans="1:7" s="258" customFormat="1" ht="13.5" customHeight="1">
      <c r="A39" s="299" t="s">
        <v>2398</v>
      </c>
      <c r="B39" s="254" t="s">
        <v>2399</v>
      </c>
      <c r="C39" s="276">
        <f ca="1">ROUND(C33*F20,0)</f>
        <v>1665</v>
      </c>
      <c r="D39" s="276"/>
      <c r="E39" s="276"/>
      <c r="F39" s="277"/>
      <c r="G39" s="278" t="s">
        <v>2400</v>
      </c>
    </row>
    <row r="40" spans="1:7" s="258" customFormat="1" ht="13.5" customHeight="1">
      <c r="A40" s="299" t="s">
        <v>2401</v>
      </c>
      <c r="B40" s="254" t="s">
        <v>2402</v>
      </c>
      <c r="C40" s="1727">
        <f>F21</f>
        <v>0.03</v>
      </c>
      <c r="D40" s="280" t="s">
        <v>2403</v>
      </c>
      <c r="E40" s="276"/>
      <c r="F40" s="277"/>
      <c r="G40" s="278" t="s">
        <v>2404</v>
      </c>
    </row>
    <row r="41" spans="1:7" s="258" customFormat="1" ht="13.5" customHeight="1">
      <c r="A41" s="299" t="s">
        <v>2405</v>
      </c>
      <c r="B41" s="254" t="s">
        <v>2406</v>
      </c>
      <c r="C41" s="276">
        <f ca="1">ROUND(SUM(C42:C43),0)</f>
        <v>4862</v>
      </c>
      <c r="D41" s="279">
        <f ca="1">C44</f>
        <v>1.6999999999999999E-3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4767</v>
      </c>
      <c r="D42" s="282"/>
      <c r="E42" s="282"/>
      <c r="F42" s="283"/>
      <c r="G42" s="3180" t="s">
        <v>2408</v>
      </c>
    </row>
    <row r="43" spans="1:7" ht="13.5" customHeight="1">
      <c r="A43" s="951" t="s">
        <v>792</v>
      </c>
      <c r="B43" s="259" t="s">
        <v>2409</v>
      </c>
      <c r="C43" s="282">
        <f ca="1">ROUND(IF('数据-取费表'!B22&lt;=1,C39*F22*'数据-取费表'!B21/2,C39*(POWER((1+F22),'数据-取费表'!B21/2)-1)),0)</f>
        <v>95</v>
      </c>
      <c r="D43" s="282"/>
      <c r="E43" s="282"/>
      <c r="F43" s="283"/>
      <c r="G43" s="3181"/>
    </row>
    <row r="44" spans="1:7" ht="13.5" customHeight="1">
      <c r="A44" s="951" t="s">
        <v>793</v>
      </c>
      <c r="B44" s="259" t="s">
        <v>2410</v>
      </c>
      <c r="C44" s="282">
        <f ca="1">ROUND(IF('数据-取费表'!B22&lt;=1,C40*F22*'数据-取费表'!B21/2,C40*(POWER((1+F22),'数据-取费表'!B21/2)-1)),4)</f>
        <v>1.6999999999999999E-3</v>
      </c>
      <c r="D44" s="282"/>
      <c r="E44" s="282"/>
      <c r="F44" s="283"/>
      <c r="G44" s="3182"/>
    </row>
    <row r="45" spans="1:7" s="258" customFormat="1" ht="13.5" customHeight="1">
      <c r="A45" s="299" t="s">
        <v>2411</v>
      </c>
      <c r="B45" s="288" t="s">
        <v>2377</v>
      </c>
      <c r="C45" s="289">
        <f ca="1">C46</f>
        <v>9341</v>
      </c>
      <c r="D45" s="279">
        <f ca="1">C47</f>
        <v>3.3E-3</v>
      </c>
      <c r="E45" s="280" t="s">
        <v>2403</v>
      </c>
      <c r="F45" s="290"/>
      <c r="G45" s="291" t="s">
        <v>2412</v>
      </c>
    </row>
    <row r="46" spans="1:7" s="258" customFormat="1" ht="13.5" customHeight="1">
      <c r="A46" s="951" t="s">
        <v>791</v>
      </c>
      <c r="B46" s="292" t="s">
        <v>2413</v>
      </c>
      <c r="C46" s="293">
        <f ca="1">ROUND((C33+C39)*F27,0)</f>
        <v>9341</v>
      </c>
      <c r="D46" s="307"/>
      <c r="E46" s="280"/>
      <c r="F46" s="290"/>
      <c r="G46" s="291"/>
    </row>
    <row r="47" spans="1:7" s="258" customFormat="1" ht="13.5" customHeight="1">
      <c r="A47" s="951" t="s">
        <v>792</v>
      </c>
      <c r="B47" s="292" t="s">
        <v>2414</v>
      </c>
      <c r="C47" s="282">
        <f ca="1">ROUND(C40*F27,4)</f>
        <v>3.3E-3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108717</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108717</v>
      </c>
      <c r="D51" s="276"/>
      <c r="E51" s="276"/>
      <c r="F51" s="308"/>
      <c r="G51" s="278" t="s">
        <v>2424</v>
      </c>
    </row>
    <row r="52" spans="1:7" s="252" customFormat="1" ht="16.5" thickBot="1">
      <c r="A52" s="309" t="s">
        <v>2425</v>
      </c>
      <c r="B52" s="310"/>
      <c r="C52" s="311">
        <f ca="1">C31+C51</f>
        <v>171094</v>
      </c>
      <c r="D52" s="310"/>
      <c r="E52" s="310"/>
      <c r="F52" s="310"/>
      <c r="G52" s="312"/>
    </row>
    <row r="55" spans="1:7" ht="15">
      <c r="B55" s="314" t="s">
        <v>2426</v>
      </c>
      <c r="C55" s="315"/>
    </row>
    <row r="56" spans="1:7">
      <c r="B56" s="317" t="s">
        <v>1513</v>
      </c>
      <c r="C56" s="319">
        <f ca="1">1-C57</f>
        <v>0.36499999999999999</v>
      </c>
    </row>
    <row r="57" spans="1:7">
      <c r="B57" s="317" t="s">
        <v>1514</v>
      </c>
      <c r="C57" s="318">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四川省成都市高新区交子大道300号出让国有建设用地使用权及在建建筑物房地产抵押价值预评估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41" t="str">
        <f>项目基本情况!B5</f>
        <v>成都市中天盈房地产开发有限公司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3110</v>
      </c>
      <c r="C1" s="2551" t="s">
        <v>2427</v>
      </c>
      <c r="D1" s="242"/>
      <c r="E1" s="242"/>
      <c r="F1" s="242"/>
      <c r="G1" s="1379" t="e">
        <f>MATCH(B1,'数据-取费表'!A6:A16,0)+5</f>
        <v>#N/A</v>
      </c>
      <c r="H1" s="1282" t="str">
        <f>IF(ISERROR(FIND("住宅",B1)),"非住宅","住宅")</f>
        <v>非住宅</v>
      </c>
    </row>
    <row r="2" spans="1:8" s="244" customFormat="1" ht="18" customHeight="1">
      <c r="A2" s="245" t="s">
        <v>2326</v>
      </c>
      <c r="B2" s="246" t="e">
        <f ca="1">ROUND(IF(D2="——",C52/10000,C52/10000-E2),0)</f>
        <v>#N/A</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#N/A</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t="e">
        <f ca="1">C6+C7+C8</f>
        <v>#N/A</v>
      </c>
      <c r="D5" s="255" t="s">
        <v>2333</v>
      </c>
      <c r="E5" s="256" t="s">
        <v>2334</v>
      </c>
      <c r="F5" s="256" t="s">
        <v>2335</v>
      </c>
      <c r="G5" s="257"/>
    </row>
    <row r="6" spans="1:8" s="258" customFormat="1" ht="13.5" customHeight="1">
      <c r="A6" s="949" t="s">
        <v>2336</v>
      </c>
      <c r="B6" s="259" t="s">
        <v>2337</v>
      </c>
      <c r="C6" s="260">
        <f>'土地比较法-住宅、综合'!B3*'数据-汇总表'!F19</f>
        <v>156743189.53999999</v>
      </c>
      <c r="D6" s="261"/>
      <c r="E6" s="262"/>
      <c r="F6" s="262"/>
      <c r="G6" s="263"/>
    </row>
    <row r="7" spans="1:8" s="258" customFormat="1" ht="13.5" customHeight="1">
      <c r="A7" s="949" t="s">
        <v>2338</v>
      </c>
      <c r="B7" s="259" t="s">
        <v>2339</v>
      </c>
      <c r="C7" s="264">
        <f>ROUND(C6*F7,0)</f>
        <v>4780667</v>
      </c>
      <c r="D7" s="264"/>
      <c r="E7" s="262"/>
      <c r="F7" s="265">
        <f>'数据-取费表'!B48+'数据-取费表'!B49</f>
        <v>3.0499999999999999E-2</v>
      </c>
      <c r="G7" s="263"/>
    </row>
    <row r="8" spans="1:8" s="267" customFormat="1">
      <c r="A8" s="949" t="s">
        <v>2340</v>
      </c>
      <c r="B8" s="259" t="s">
        <v>2341</v>
      </c>
      <c r="C8" s="264" t="e">
        <f ca="1">IF(G8="已包含在土地购买价格中",0,C9+C10)</f>
        <v>#N/A</v>
      </c>
      <c r="D8" s="266"/>
      <c r="E8" s="264"/>
      <c r="F8" s="265"/>
      <c r="G8" s="2548" t="s">
        <v>3115</v>
      </c>
    </row>
    <row r="9" spans="1:8" s="258" customFormat="1" ht="13.5" customHeight="1">
      <c r="A9" s="950" t="s">
        <v>800</v>
      </c>
      <c r="B9" s="268" t="s">
        <v>2342</v>
      </c>
      <c r="C9" s="269" t="e">
        <f ca="1">ROUND(D9*E9,0)</f>
        <v>#N/A</v>
      </c>
      <c r="D9" s="1032" t="e">
        <f ca="1">IF(B1="",'数据-汇总表'!E5,IF(INDIRECT("'数据-取费表'!c"&amp;$G$1)="住宅",INDIRECT("'数据-取费表'!k"&amp;$G$1),0))</f>
        <v>#N/A</v>
      </c>
      <c r="E9" s="269">
        <f>'数据-取费表'!B27</f>
        <v>0</v>
      </c>
      <c r="F9" s="265"/>
      <c r="G9" s="270"/>
    </row>
    <row r="10" spans="1:8" s="258" customFormat="1" ht="13.5" customHeight="1">
      <c r="A10" s="950" t="s">
        <v>801</v>
      </c>
      <c r="B10" s="268" t="s">
        <v>2344</v>
      </c>
      <c r="C10" s="269" t="e">
        <f ca="1">ROUND(D10*E10,0)</f>
        <v>#N/A</v>
      </c>
      <c r="D10" s="1032" t="e">
        <f ca="1">IF(B1="",'数据-汇总表'!E6,IF(INDIRECT("'数据-取费表'!c"&amp;$G$1)="住宅",INDIRECT("'数据-取费表'!s"&amp;$G$1),INDIRECT("'数据-取费表'!k"&amp;$G$1)+INDIRECT("'数据-取费表'!s"&amp;$G$1)))</f>
        <v>#N/A</v>
      </c>
      <c r="E10" s="269">
        <f>'数据-取费表'!B28</f>
        <v>220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t="e">
        <f ca="1">D9+D10</f>
        <v>#N/A</v>
      </c>
      <c r="E19" s="255">
        <f>'数据-取费表'!B31</f>
        <v>200</v>
      </c>
      <c r="F19" s="275"/>
      <c r="G19" s="2548" t="s">
        <v>3114</v>
      </c>
    </row>
    <row r="20" spans="1:7" s="258" customFormat="1" ht="13.5" customHeight="1">
      <c r="A20" s="299" t="s">
        <v>2438</v>
      </c>
      <c r="B20" s="254" t="s">
        <v>2439</v>
      </c>
      <c r="C20" s="276" t="e">
        <f ca="1">ROUND((C5+C19)*F20,0)</f>
        <v>#N/A</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t="e">
        <f ca="1">ROUND(SUM(C23:C25),0)</f>
        <v>#N/A</v>
      </c>
      <c r="D22" s="279">
        <f ca="1">C26</f>
        <v>1.8E-3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t="e">
        <f ca="1">ROUND(IF('数据-取费表'!B22&lt;=1,C5*F22*'数据-取费表'!B22,C5*(POWER((1+F22),'数据-取费表'!B22)-1)),0)</f>
        <v>#N/A</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t="e">
        <f ca="1">ROUND(IF('数据-取费表'!B22&lt;=1,C20*F22*'数据-取费表'!B22/2,C20*(POWER((1+F22),'数据-取费表'!B22/2)-1)),0)</f>
        <v>#N/A</v>
      </c>
      <c r="D25" s="282"/>
      <c r="E25" s="285"/>
      <c r="F25" s="283"/>
      <c r="G25" s="286" t="s">
        <v>2452</v>
      </c>
    </row>
    <row r="26" spans="1:7" s="258" customFormat="1">
      <c r="A26" s="951"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t="e">
        <f ca="1">C28</f>
        <v>#N/A</v>
      </c>
      <c r="D27" s="279" t="e">
        <f ca="1">C29</f>
        <v>#N/A</v>
      </c>
      <c r="E27" s="280" t="s">
        <v>2378</v>
      </c>
      <c r="F27" s="290" t="e">
        <f ca="1">IF(B1="",'数据-取费表'!Q16,INDIRECT("'数据-取费表'!q"&amp;$G$1))</f>
        <v>#N/A</v>
      </c>
      <c r="G27" s="291" t="s">
        <v>2379</v>
      </c>
    </row>
    <row r="28" spans="1:7" s="258" customFormat="1" ht="13.5" customHeight="1">
      <c r="A28" s="951" t="s">
        <v>791</v>
      </c>
      <c r="B28" s="292" t="s">
        <v>2380</v>
      </c>
      <c r="C28" s="293" t="e">
        <f ca="1">ROUND((C5+C19+C20)*F27,0)</f>
        <v>#N/A</v>
      </c>
      <c r="D28" s="279"/>
      <c r="E28" s="280"/>
      <c r="F28" s="290"/>
      <c r="G28" s="291"/>
    </row>
    <row r="29" spans="1:7" s="258" customFormat="1" ht="13.5" customHeight="1">
      <c r="A29" s="951" t="s">
        <v>792</v>
      </c>
      <c r="B29" s="292" t="s">
        <v>2381</v>
      </c>
      <c r="C29" s="282" t="e">
        <f ca="1">ROUND(C21*F27,4)</f>
        <v>#N/A</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t="e">
        <f ca="1">SUM(C34:C38)</f>
        <v>#N/A</v>
      </c>
      <c r="D33" s="276"/>
      <c r="E33" s="256"/>
      <c r="F33" s="285"/>
      <c r="G33" s="278"/>
    </row>
    <row r="34" spans="1:7" s="302" customFormat="1" ht="13.5" customHeight="1">
      <c r="A34" s="951" t="s">
        <v>791</v>
      </c>
      <c r="B34" s="259" t="s">
        <v>2389</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1" t="s">
        <v>796</v>
      </c>
      <c r="B35" s="259" t="s">
        <v>2391</v>
      </c>
      <c r="C35" s="264" t="e">
        <f ca="1">ROUND(C34*F35,0)</f>
        <v>#N/A</v>
      </c>
      <c r="D35" s="264"/>
      <c r="E35" s="264"/>
      <c r="F35" s="303">
        <f>'数据-取费表'!B33</f>
        <v>0.05</v>
      </c>
      <c r="G35" s="263" t="s">
        <v>2392</v>
      </c>
    </row>
    <row r="36" spans="1:7" ht="24">
      <c r="A36" s="951" t="s">
        <v>797</v>
      </c>
      <c r="B36" s="259" t="s">
        <v>2393</v>
      </c>
      <c r="C36" s="264" t="e">
        <f ca="1">ROUND(IF(B1="",SUM('数据-取费表'!AP6:AP13)*F36,IF(INDIRECT("'数据-取费表'!c"&amp;$G$1)="住宅",INDIRECT("'数据-取费表'!k"&amp;$G$1)*INDIRECT("'数据-取费表'!l"&amp;$G$1)*F36,0)),0)</f>
        <v>#N/A</v>
      </c>
      <c r="D36" s="264"/>
      <c r="E36" s="264"/>
      <c r="F36" s="303">
        <f>'数据-取费表'!B34</f>
        <v>0</v>
      </c>
      <c r="G36" s="304" t="s">
        <v>2394</v>
      </c>
    </row>
    <row r="37" spans="1:7" s="302" customFormat="1" ht="13.5" customHeight="1">
      <c r="A37" s="951" t="s">
        <v>798</v>
      </c>
      <c r="B37" s="259" t="s">
        <v>2395</v>
      </c>
      <c r="C37" s="293" t="e">
        <f ca="1">ROUND(E37*D37,0)</f>
        <v>#N/A</v>
      </c>
      <c r="D37" s="261" t="e">
        <f ca="1">D19</f>
        <v>#N/A</v>
      </c>
      <c r="E37" s="293">
        <f>'数据-取费表'!B35</f>
        <v>200</v>
      </c>
      <c r="F37" s="303"/>
      <c r="G37" s="305"/>
    </row>
    <row r="38" spans="1:7" ht="13.5" customHeight="1">
      <c r="A38" s="951" t="s">
        <v>799</v>
      </c>
      <c r="B38" s="259" t="s">
        <v>2397</v>
      </c>
      <c r="C38" s="264" t="e">
        <f ca="1">ROUND(C34*F38,0)</f>
        <v>#N/A</v>
      </c>
      <c r="D38" s="264"/>
      <c r="E38" s="264"/>
      <c r="F38" s="303">
        <f>'数据-取费表'!B36</f>
        <v>1.4999999999999999E-2</v>
      </c>
      <c r="G38" s="263" t="s">
        <v>2392</v>
      </c>
    </row>
    <row r="39" spans="1:7" s="258" customFormat="1" ht="13.5" customHeight="1">
      <c r="A39" s="299" t="s">
        <v>2398</v>
      </c>
      <c r="B39" s="254" t="s">
        <v>2399</v>
      </c>
      <c r="C39" s="276" t="e">
        <f ca="1">ROUND(C33*F20,0)</f>
        <v>#N/A</v>
      </c>
      <c r="D39" s="276"/>
      <c r="E39" s="276"/>
      <c r="F39" s="277"/>
      <c r="G39" s="278" t="s">
        <v>2400</v>
      </c>
    </row>
    <row r="40" spans="1:7" s="258" customFormat="1" ht="13.5" customHeight="1">
      <c r="A40" s="299" t="s">
        <v>2401</v>
      </c>
      <c r="B40" s="254" t="s">
        <v>2402</v>
      </c>
      <c r="C40" s="1727">
        <f>F21</f>
        <v>0.03</v>
      </c>
      <c r="D40" s="280" t="s">
        <v>2403</v>
      </c>
      <c r="E40" s="276"/>
      <c r="F40" s="277"/>
      <c r="G40" s="278" t="s">
        <v>2404</v>
      </c>
    </row>
    <row r="41" spans="1:7" s="258" customFormat="1" ht="13.5" customHeight="1">
      <c r="A41" s="299" t="s">
        <v>2405</v>
      </c>
      <c r="B41" s="254" t="s">
        <v>2406</v>
      </c>
      <c r="C41" s="276" t="e">
        <f ca="1">ROUND(SUM(C42:C43),0)</f>
        <v>#N/A</v>
      </c>
      <c r="D41" s="279">
        <f ca="1">C44</f>
        <v>1.8E-3</v>
      </c>
      <c r="E41" s="280" t="s">
        <v>2403</v>
      </c>
      <c r="F41" s="281"/>
      <c r="G41" s="278" t="str">
        <f>IF('数据-取费表'!B22&lt;=1,"单利计息","复利计息")</f>
        <v>复利计息</v>
      </c>
    </row>
    <row r="42" spans="1:7" ht="13.5" customHeight="1">
      <c r="A42" s="951" t="s">
        <v>791</v>
      </c>
      <c r="B42" s="259" t="s">
        <v>2407</v>
      </c>
      <c r="C42" s="282" t="e">
        <f ca="1">ROUND(IF('数据-取费表'!B22&lt;=1,C33*F22*'数据-取费表'!B20/2,C33*(POWER((1+F22),'数据-取费表'!B20/2)-1)),0)</f>
        <v>#N/A</v>
      </c>
      <c r="D42" s="282"/>
      <c r="E42" s="282"/>
      <c r="F42" s="283"/>
      <c r="G42" s="3180" t="s">
        <v>2455</v>
      </c>
    </row>
    <row r="43" spans="1:7" ht="13.5" customHeight="1">
      <c r="A43" s="951" t="s">
        <v>792</v>
      </c>
      <c r="B43" s="259" t="s">
        <v>2409</v>
      </c>
      <c r="C43" s="282" t="e">
        <f ca="1">ROUND(IF('数据-取费表'!B22&lt;=1,C39*F22*'数据-取费表'!B20/2,C39*(POWER((1+F22),'数据-取费表'!B20/2)-1)),0)</f>
        <v>#N/A</v>
      </c>
      <c r="D43" s="282"/>
      <c r="E43" s="282"/>
      <c r="F43" s="283"/>
      <c r="G43" s="3181"/>
    </row>
    <row r="44" spans="1:7" ht="13.5" customHeight="1">
      <c r="A44" s="951" t="s">
        <v>793</v>
      </c>
      <c r="B44" s="259" t="s">
        <v>2410</v>
      </c>
      <c r="C44" s="282">
        <f ca="1">ROUND(IF('数据-取费表'!B22&lt;=1,C40*F22*'数据-取费表'!B20/2,C40*(POWER((1+F22),'数据-取费表'!B20/2)-1)),4)</f>
        <v>1.8E-3</v>
      </c>
      <c r="D44" s="282"/>
      <c r="E44" s="282"/>
      <c r="F44" s="283"/>
      <c r="G44" s="3182"/>
    </row>
    <row r="45" spans="1:7" s="258" customFormat="1" ht="13.5" customHeight="1">
      <c r="A45" s="299" t="s">
        <v>2411</v>
      </c>
      <c r="B45" s="288" t="s">
        <v>2377</v>
      </c>
      <c r="C45" s="289" t="e">
        <f ca="1">C46</f>
        <v>#N/A</v>
      </c>
      <c r="D45" s="279" t="e">
        <f ca="1">C47</f>
        <v>#N/A</v>
      </c>
      <c r="E45" s="280" t="s">
        <v>2403</v>
      </c>
      <c r="F45" s="290"/>
      <c r="G45" s="291" t="s">
        <v>2412</v>
      </c>
    </row>
    <row r="46" spans="1:7" s="258" customFormat="1" ht="13.5" customHeight="1">
      <c r="A46" s="951" t="s">
        <v>791</v>
      </c>
      <c r="B46" s="292" t="s">
        <v>2413</v>
      </c>
      <c r="C46" s="293" t="e">
        <f ca="1">ROUND((C33+C39)*F27,0)</f>
        <v>#N/A</v>
      </c>
      <c r="D46" s="307"/>
      <c r="E46" s="280"/>
      <c r="F46" s="290"/>
      <c r="G46" s="291"/>
    </row>
    <row r="47" spans="1:7" s="258" customFormat="1" ht="13.5" customHeight="1">
      <c r="A47" s="951" t="s">
        <v>792</v>
      </c>
      <c r="B47" s="292" t="s">
        <v>2414</v>
      </c>
      <c r="C47" s="282" t="e">
        <f ca="1">ROUND(C40*F27,4)</f>
        <v>#N/A</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t="e">
        <f ca="1">ROUND((C33+C39+C41+C45)/(1-C40-D41-D45-C48),0)</f>
        <v>#N/A</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1513</v>
      </c>
      <c r="C56" s="319" t="e">
        <f ca="1">1-C57</f>
        <v>#N/A</v>
      </c>
    </row>
    <row r="57" spans="1:7">
      <c r="B57" s="317" t="s">
        <v>1514</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40765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2482</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8" t="s">
        <v>2644</v>
      </c>
      <c r="AC4" s="3197" t="s">
        <v>2645</v>
      </c>
    </row>
    <row r="5" spans="1:30" ht="15">
      <c r="A5" s="404"/>
      <c r="B5" s="405"/>
      <c r="C5" s="3217" t="s">
        <v>2538</v>
      </c>
      <c r="D5" s="3218"/>
      <c r="E5" s="3225" t="s">
        <v>3317</v>
      </c>
      <c r="F5" s="3226"/>
      <c r="G5" s="3217" t="s">
        <v>3320</v>
      </c>
      <c r="H5" s="3218"/>
      <c r="I5" s="3217" t="s">
        <v>3322</v>
      </c>
      <c r="J5" s="3218"/>
      <c r="K5" s="610"/>
      <c r="L5" s="1130"/>
      <c r="M5" s="1131"/>
      <c r="N5" s="1131"/>
      <c r="O5" s="1131"/>
      <c r="P5" s="3205"/>
      <c r="Q5" s="3206"/>
      <c r="R5" s="3211"/>
      <c r="S5" s="3212"/>
      <c r="T5" s="3211"/>
      <c r="U5" s="3212"/>
      <c r="V5" s="3196"/>
      <c r="W5" s="3196"/>
      <c r="X5" s="1812"/>
      <c r="Y5" s="3211"/>
      <c r="Z5" s="3212"/>
      <c r="AA5" s="3198"/>
      <c r="AB5" s="3198"/>
      <c r="AC5" s="3198"/>
    </row>
    <row r="6" spans="1:30" ht="15.75" thickBot="1">
      <c r="A6" s="406"/>
      <c r="B6" s="407"/>
      <c r="C6" s="3222" t="s">
        <v>2542</v>
      </c>
      <c r="D6" s="3216"/>
      <c r="E6" s="3223" t="s">
        <v>3318</v>
      </c>
      <c r="F6" s="3224"/>
      <c r="G6" s="3215" t="s">
        <v>3319</v>
      </c>
      <c r="H6" s="3216"/>
      <c r="I6" s="3215" t="s">
        <v>3321</v>
      </c>
      <c r="J6" s="3216"/>
      <c r="K6" s="610" t="s">
        <v>2543</v>
      </c>
      <c r="L6" s="1130"/>
      <c r="M6" s="1131"/>
      <c r="N6" s="1131"/>
      <c r="O6" s="1131"/>
      <c r="P6" s="3207"/>
      <c r="Q6" s="3208"/>
      <c r="R6" s="3211"/>
      <c r="S6" s="3212"/>
      <c r="T6" s="3213"/>
      <c r="U6" s="3214"/>
      <c r="V6" s="3196"/>
      <c r="W6" s="3196"/>
      <c r="X6" s="1812"/>
      <c r="Y6" s="3213"/>
      <c r="Z6" s="3214"/>
      <c r="AA6" s="3199"/>
      <c r="AB6" s="3199"/>
      <c r="AC6" s="3199"/>
    </row>
    <row r="7" spans="1:30" s="117" customFormat="1" ht="15.75" thickBot="1">
      <c r="A7" s="408" t="s">
        <v>2544</v>
      </c>
      <c r="B7" s="409"/>
      <c r="C7" s="410">
        <f>'数据-取费表'!B2</f>
        <v>43324</v>
      </c>
      <c r="D7" s="411">
        <v>100</v>
      </c>
      <c r="E7" s="412">
        <v>43251</v>
      </c>
      <c r="F7" s="413">
        <f>SUMIF(70:70,YEAR(E7)&amp;"-"&amp;INT((MONTH(E7)+2)/3),71:71)</f>
        <v>99</v>
      </c>
      <c r="G7" s="2694">
        <v>43130</v>
      </c>
      <c r="H7" s="411">
        <f>SUMIF(70:70,YEAR(G7)&amp;"-"&amp;INT((MONTH(G7)+2)/3),71:71)</f>
        <v>98</v>
      </c>
      <c r="I7" s="2694">
        <v>43028</v>
      </c>
      <c r="J7" s="411">
        <f>SUMIF(70:70,YEAR(I7)&amp;"-"&amp;INT((MONTH(I7)+2)/3),71:71)</f>
        <v>97</v>
      </c>
      <c r="K7" s="611"/>
      <c r="L7" s="1132"/>
      <c r="M7" s="1133"/>
      <c r="N7" s="1133"/>
      <c r="O7" s="1133"/>
      <c r="P7" s="3219" t="s">
        <v>2545</v>
      </c>
      <c r="Q7" s="3221"/>
      <c r="R7" s="770" t="s">
        <v>17</v>
      </c>
      <c r="S7" s="771">
        <f t="shared" ref="S7:S15" si="0">F7</f>
        <v>99</v>
      </c>
      <c r="T7" s="770" t="s">
        <v>17</v>
      </c>
      <c r="U7" s="771">
        <f t="shared" ref="U7:U15" si="1">H7</f>
        <v>98</v>
      </c>
      <c r="V7" s="770" t="s">
        <v>17</v>
      </c>
      <c r="W7" s="771">
        <f t="shared" ref="W7:W15" si="2">J7</f>
        <v>97</v>
      </c>
      <c r="X7" s="772"/>
      <c r="Y7" s="3219" t="s">
        <v>2545</v>
      </c>
      <c r="Z7" s="3220"/>
      <c r="AA7" s="773">
        <f>D7/F7</f>
        <v>1.0101010101010102</v>
      </c>
      <c r="AB7" s="773">
        <f>D7/H7</f>
        <v>1.0204081632653061</v>
      </c>
      <c r="AC7" s="773">
        <f>D7/J7</f>
        <v>1.0309278350515463</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19" t="s">
        <v>2548</v>
      </c>
      <c r="Q8" s="3220"/>
      <c r="R8" s="770" t="s">
        <v>17</v>
      </c>
      <c r="S8" s="771">
        <f t="shared" si="0"/>
        <v>100</v>
      </c>
      <c r="T8" s="770" t="s">
        <v>17</v>
      </c>
      <c r="U8" s="771">
        <f t="shared" si="1"/>
        <v>100</v>
      </c>
      <c r="V8" s="770" t="s">
        <v>17</v>
      </c>
      <c r="W8" s="771">
        <f t="shared" si="2"/>
        <v>100</v>
      </c>
      <c r="X8" s="772"/>
      <c r="Y8" s="3219" t="s">
        <v>2548</v>
      </c>
      <c r="Z8" s="3220"/>
      <c r="AA8" s="773">
        <f t="shared" ref="AA8:AA45" si="3">D8/F8</f>
        <v>1</v>
      </c>
      <c r="AB8" s="773">
        <f t="shared" ref="AB8:AB45" si="4">D8/H8</f>
        <v>1</v>
      </c>
      <c r="AC8" s="773">
        <f t="shared" ref="AC8:AC45" si="5">D8/J8</f>
        <v>1</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0"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30" s="427" customFormat="1" ht="27">
      <c r="A10" s="421"/>
      <c r="B10" s="422" t="s">
        <v>2553</v>
      </c>
      <c r="C10" s="432">
        <f>项目基本情况!E15</f>
        <v>28.97</v>
      </c>
      <c r="D10" s="136">
        <v>100</v>
      </c>
      <c r="E10" s="465" t="s">
        <v>3291</v>
      </c>
      <c r="F10" s="136">
        <f>ROUND(100/'数据-取费表'!G16,0)</f>
        <v>112</v>
      </c>
      <c r="G10" s="465" t="s">
        <v>3291</v>
      </c>
      <c r="H10" s="136">
        <f>ROUND(100/'数据-取费表'!G16,0)</f>
        <v>112</v>
      </c>
      <c r="I10" s="465" t="s">
        <v>3291</v>
      </c>
      <c r="J10" s="136">
        <f>ROUND(100/'数据-取费表'!G16,0)</f>
        <v>112</v>
      </c>
      <c r="K10" s="672"/>
      <c r="L10" s="1135"/>
      <c r="M10" s="1136"/>
      <c r="N10" s="1136"/>
      <c r="O10" s="1137"/>
      <c r="P10" s="3190"/>
      <c r="Q10" s="1794" t="str">
        <f t="shared" si="6"/>
        <v>土地使用年限（年）</v>
      </c>
      <c r="R10" s="770" t="s">
        <v>17</v>
      </c>
      <c r="S10" s="771">
        <f t="shared" si="0"/>
        <v>112</v>
      </c>
      <c r="T10" s="770" t="s">
        <v>17</v>
      </c>
      <c r="U10" s="771">
        <f t="shared" si="1"/>
        <v>112</v>
      </c>
      <c r="V10" s="770" t="s">
        <v>17</v>
      </c>
      <c r="W10" s="771">
        <f t="shared" si="2"/>
        <v>112</v>
      </c>
      <c r="X10" s="772"/>
      <c r="Y10" s="3038"/>
      <c r="Z10" s="55" t="str">
        <f t="shared" si="7"/>
        <v>土地使用年限（年）</v>
      </c>
      <c r="AA10" s="773">
        <f t="shared" si="3"/>
        <v>0.8928571428571429</v>
      </c>
      <c r="AB10" s="773">
        <f t="shared" si="4"/>
        <v>0.8928571428571429</v>
      </c>
      <c r="AC10" s="773">
        <f t="shared" si="5"/>
        <v>0.8928571428571429</v>
      </c>
    </row>
    <row r="11" spans="1:30" ht="15.75" thickBot="1">
      <c r="A11" s="428"/>
      <c r="B11" s="422" t="s">
        <v>2554</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38"/>
      <c r="M11" s="1131"/>
      <c r="N11" s="1131"/>
      <c r="O11" s="1139"/>
      <c r="P11" s="3190"/>
      <c r="Q11" s="1794" t="str">
        <f t="shared" si="6"/>
        <v>容积率</v>
      </c>
      <c r="R11" s="770" t="s">
        <v>17</v>
      </c>
      <c r="S11" s="771">
        <f t="shared" si="0"/>
        <v>116</v>
      </c>
      <c r="T11" s="770" t="s">
        <v>17</v>
      </c>
      <c r="U11" s="771">
        <f t="shared" si="1"/>
        <v>114</v>
      </c>
      <c r="V11" s="770" t="s">
        <v>17</v>
      </c>
      <c r="W11" s="771">
        <f t="shared" si="2"/>
        <v>108</v>
      </c>
      <c r="X11" s="772"/>
      <c r="Y11" s="3038"/>
      <c r="Z11" s="55" t="str">
        <f t="shared" si="7"/>
        <v>容积率</v>
      </c>
      <c r="AA11" s="773">
        <f t="shared" si="3"/>
        <v>0.86206896551724133</v>
      </c>
      <c r="AB11" s="773">
        <f t="shared" si="4"/>
        <v>0.8771929824561403</v>
      </c>
      <c r="AC11" s="773">
        <f t="shared" si="5"/>
        <v>0.92592592592592593</v>
      </c>
    </row>
    <row r="12" spans="1:30" s="117" customFormat="1" ht="15" hidden="1">
      <c r="A12" s="431"/>
      <c r="B12" s="2598"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4"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6.5" customHeight="1">
      <c r="A15" s="440" t="s">
        <v>2555</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2556</v>
      </c>
      <c r="Q15" s="1809" t="str">
        <f t="shared" si="6"/>
        <v>居住社区成熟度</v>
      </c>
      <c r="R15" s="774" t="s">
        <v>17</v>
      </c>
      <c r="S15" s="775">
        <f t="shared" si="0"/>
        <v>100</v>
      </c>
      <c r="T15" s="774" t="s">
        <v>17</v>
      </c>
      <c r="U15" s="775">
        <f t="shared" si="1"/>
        <v>100</v>
      </c>
      <c r="V15" s="774" t="s">
        <v>17</v>
      </c>
      <c r="W15" s="775">
        <f t="shared" si="2"/>
        <v>100</v>
      </c>
      <c r="X15" s="1812"/>
      <c r="Y15" s="3192" t="s">
        <v>2556</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93"/>
      <c r="Q16" s="1809"/>
      <c r="R16" s="774"/>
      <c r="S16" s="775"/>
      <c r="T16" s="774"/>
      <c r="U16" s="775"/>
      <c r="V16" s="774"/>
      <c r="W16" s="775"/>
      <c r="X16" s="1812"/>
      <c r="Y16" s="3193"/>
      <c r="Z16" s="1813"/>
      <c r="AA16" s="1810">
        <v>1</v>
      </c>
      <c r="AB16" s="1810">
        <v>1</v>
      </c>
      <c r="AC16" s="1810">
        <v>1</v>
      </c>
    </row>
    <row r="17" spans="1:29" ht="114">
      <c r="A17" s="428"/>
      <c r="B17" s="451" t="s">
        <v>2649</v>
      </c>
      <c r="C17" s="2662" t="str">
        <f>估价对象房地状况!C16</f>
        <v>估价对象位于成都市高新区，周边商业氛围较成熟，人流量较大，有九方购物中心、天虹商场等商业项目，商业繁华度较好。</v>
      </c>
      <c r="D17" s="450">
        <v>100</v>
      </c>
      <c r="E17" s="2986" t="s">
        <v>3334</v>
      </c>
      <c r="F17" s="450">
        <f>SUMIF(90:90,E18,91:91)-SUMIF(90:90,C18,91:91)+100</f>
        <v>97</v>
      </c>
      <c r="G17" s="2986" t="s">
        <v>3334</v>
      </c>
      <c r="H17" s="455">
        <f>SUMIF(90:90,G18,91:91)-SUMIF(90:90,C18,91:91)+100</f>
        <v>97</v>
      </c>
      <c r="I17" s="2986" t="s">
        <v>3338</v>
      </c>
      <c r="J17" s="455">
        <f>SUMIF(90:90,I18,91:91)-SUMIF(90:90,C18,91:91)+100</f>
        <v>100</v>
      </c>
      <c r="K17" s="673">
        <v>3</v>
      </c>
      <c r="L17" s="1140"/>
      <c r="M17" s="1131"/>
      <c r="N17" s="1131"/>
      <c r="O17" s="1139"/>
      <c r="P17" s="3193"/>
      <c r="Q17" s="1809" t="str">
        <f>B17</f>
        <v>商业繁华度</v>
      </c>
      <c r="R17" s="774" t="s">
        <v>17</v>
      </c>
      <c r="S17" s="775">
        <f>F17</f>
        <v>97</v>
      </c>
      <c r="T17" s="774" t="s">
        <v>17</v>
      </c>
      <c r="U17" s="775">
        <f>H17</f>
        <v>97</v>
      </c>
      <c r="V17" s="774" t="s">
        <v>17</v>
      </c>
      <c r="W17" s="775">
        <f>J17</f>
        <v>100</v>
      </c>
      <c r="X17" s="1812"/>
      <c r="Y17" s="3193"/>
      <c r="Z17" s="1813" t="str">
        <f>Q17</f>
        <v>商业繁华度</v>
      </c>
      <c r="AA17" s="1810">
        <f t="shared" si="3"/>
        <v>1.0309278350515463</v>
      </c>
      <c r="AB17" s="1810">
        <f t="shared" si="4"/>
        <v>1.0309278350515463</v>
      </c>
      <c r="AC17" s="1810">
        <f t="shared" si="5"/>
        <v>1</v>
      </c>
    </row>
    <row r="18" spans="1:29" ht="15">
      <c r="A18" s="428"/>
      <c r="B18" s="456"/>
      <c r="C18" s="2606" t="s">
        <v>3328</v>
      </c>
      <c r="D18" s="450"/>
      <c r="E18" s="2608" t="s">
        <v>3329</v>
      </c>
      <c r="F18" s="450"/>
      <c r="G18" s="2608" t="s">
        <v>3329</v>
      </c>
      <c r="H18" s="448"/>
      <c r="I18" s="2607" t="s">
        <v>3328</v>
      </c>
      <c r="J18" s="448"/>
      <c r="K18" s="672"/>
      <c r="L18" s="1140"/>
      <c r="M18" s="1131"/>
      <c r="N18" s="1131"/>
      <c r="O18" s="1139"/>
      <c r="P18" s="3193"/>
      <c r="Q18" s="1809"/>
      <c r="R18" s="774"/>
      <c r="S18" s="775"/>
      <c r="T18" s="774"/>
      <c r="U18" s="775"/>
      <c r="V18" s="774"/>
      <c r="W18" s="775"/>
      <c r="X18" s="1812"/>
      <c r="Y18" s="3193"/>
      <c r="Z18" s="1813"/>
      <c r="AA18" s="1810">
        <v>1</v>
      </c>
      <c r="AB18" s="1810">
        <v>1</v>
      </c>
      <c r="AC18" s="1810">
        <v>1</v>
      </c>
    </row>
    <row r="19" spans="1:29" ht="19.5" customHeight="1">
      <c r="A19" s="428"/>
      <c r="B19" s="451" t="s">
        <v>2683</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3"/>
      <c r="Q19" s="1809" t="str">
        <f>B19</f>
        <v>办公集聚程度</v>
      </c>
      <c r="R19" s="774" t="s">
        <v>17</v>
      </c>
      <c r="S19" s="775">
        <f>F19</f>
        <v>100</v>
      </c>
      <c r="T19" s="774" t="s">
        <v>17</v>
      </c>
      <c r="U19" s="775">
        <f>H19</f>
        <v>100</v>
      </c>
      <c r="V19" s="774" t="s">
        <v>17</v>
      </c>
      <c r="W19" s="775">
        <f>J19</f>
        <v>100</v>
      </c>
      <c r="X19" s="1812"/>
      <c r="Y19" s="3193"/>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193"/>
      <c r="Q20" s="1809"/>
      <c r="R20" s="774"/>
      <c r="S20" s="775"/>
      <c r="T20" s="774"/>
      <c r="U20" s="775"/>
      <c r="V20" s="774"/>
      <c r="W20" s="775"/>
      <c r="X20" s="1812"/>
      <c r="Y20" s="3193"/>
      <c r="Z20" s="1813"/>
      <c r="AA20" s="1810">
        <v>1</v>
      </c>
      <c r="AB20" s="1810">
        <v>1</v>
      </c>
      <c r="AC20" s="1810">
        <v>1</v>
      </c>
    </row>
    <row r="21" spans="1:29" ht="128.25">
      <c r="A21" s="428"/>
      <c r="B21" s="451" t="s">
        <v>2705</v>
      </c>
      <c r="C21" s="2605" t="str">
        <f>估价对象房地状况!C18</f>
        <v>估价对象周边路网较密集、公共交通通达情况较好，有115、236路及地铁1号线等公共交通，停车便捷程度较好，综合评价交通便捷度较好。</v>
      </c>
      <c r="D21" s="450">
        <v>100</v>
      </c>
      <c r="E21" s="452" t="s">
        <v>3335</v>
      </c>
      <c r="F21" s="455">
        <f>SUMIF(94:94,E22,95:95)-SUMIF(94:94,C22,95:95)+100</f>
        <v>100</v>
      </c>
      <c r="G21" s="452" t="s">
        <v>3335</v>
      </c>
      <c r="H21" s="450">
        <f>SUMIF(94:94,G22,95:95)-SUMIF(94:94,C22,95:95)+100</f>
        <v>100</v>
      </c>
      <c r="I21" s="452" t="s">
        <v>3339</v>
      </c>
      <c r="J21" s="450">
        <f>SUMIF(94:94,I22,95:95)-SUMIF(94:94,C22,95:95)+100</f>
        <v>100</v>
      </c>
      <c r="K21" s="673"/>
      <c r="L21" s="1140"/>
      <c r="M21" s="1131"/>
      <c r="N21" s="1131"/>
      <c r="O21" s="1139"/>
      <c r="P21" s="3193"/>
      <c r="Q21" s="1809" t="str">
        <f>B21</f>
        <v>交通便捷度</v>
      </c>
      <c r="R21" s="774" t="s">
        <v>17</v>
      </c>
      <c r="S21" s="775">
        <f>F21</f>
        <v>100</v>
      </c>
      <c r="T21" s="774" t="s">
        <v>17</v>
      </c>
      <c r="U21" s="775">
        <f>H21</f>
        <v>100</v>
      </c>
      <c r="V21" s="774" t="s">
        <v>17</v>
      </c>
      <c r="W21" s="775">
        <f>J21</f>
        <v>100</v>
      </c>
      <c r="X21" s="1812"/>
      <c r="Y21" s="3193"/>
      <c r="Z21" s="1813" t="str">
        <f>Q21</f>
        <v>交通便捷度</v>
      </c>
      <c r="AA21" s="1810">
        <f t="shared" si="3"/>
        <v>1</v>
      </c>
      <c r="AB21" s="1810">
        <f t="shared" si="4"/>
        <v>1</v>
      </c>
      <c r="AC21" s="1810">
        <f t="shared" si="5"/>
        <v>1</v>
      </c>
    </row>
    <row r="22" spans="1:29" ht="15">
      <c r="A22" s="428"/>
      <c r="B22" s="1384"/>
      <c r="C22" s="447" t="s">
        <v>3328</v>
      </c>
      <c r="D22" s="450"/>
      <c r="E22" s="2603" t="s">
        <v>3328</v>
      </c>
      <c r="F22" s="448"/>
      <c r="G22" s="2603" t="s">
        <v>3328</v>
      </c>
      <c r="H22" s="448"/>
      <c r="I22" s="2603" t="s">
        <v>3328</v>
      </c>
      <c r="J22" s="448"/>
      <c r="K22" s="672"/>
      <c r="L22" s="1140"/>
      <c r="M22" s="1131"/>
      <c r="N22" s="1131"/>
      <c r="O22" s="1139"/>
      <c r="P22" s="3193"/>
      <c r="Q22" s="1809"/>
      <c r="R22" s="774"/>
      <c r="S22" s="775"/>
      <c r="T22" s="774"/>
      <c r="U22" s="775"/>
      <c r="V22" s="774"/>
      <c r="W22" s="775"/>
      <c r="X22" s="1812"/>
      <c r="Y22" s="3193"/>
      <c r="Z22" s="1813"/>
      <c r="AA22" s="1810">
        <v>1</v>
      </c>
      <c r="AB22" s="1810">
        <v>1</v>
      </c>
      <c r="AC22" s="1810">
        <v>1</v>
      </c>
    </row>
    <row r="23" spans="1:29" ht="57">
      <c r="A23" s="404"/>
      <c r="B23" s="451" t="s">
        <v>2744</v>
      </c>
      <c r="C23" s="1389"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0"/>
      <c r="M23" s="1131"/>
      <c r="N23" s="1131"/>
      <c r="O23" s="1139"/>
      <c r="P23" s="3193"/>
      <c r="Q23" s="1809" t="str">
        <f t="shared" ref="Q23:Q37" si="8">B23</f>
        <v>区域土地利用方向</v>
      </c>
      <c r="R23" s="774" t="s">
        <v>17</v>
      </c>
      <c r="S23" s="775">
        <f>F23</f>
        <v>95</v>
      </c>
      <c r="T23" s="774" t="s">
        <v>17</v>
      </c>
      <c r="U23" s="775">
        <f>H23</f>
        <v>95</v>
      </c>
      <c r="V23" s="774" t="s">
        <v>17</v>
      </c>
      <c r="W23" s="775">
        <f>J23</f>
        <v>95</v>
      </c>
      <c r="X23" s="1812"/>
      <c r="Y23" s="3193"/>
      <c r="Z23" s="1813" t="str">
        <f>Q23</f>
        <v>区域土地利用方向</v>
      </c>
      <c r="AA23" s="1810">
        <f t="shared" si="3"/>
        <v>1.0526315789473684</v>
      </c>
      <c r="AB23" s="1810">
        <f t="shared" si="4"/>
        <v>1.0526315789473684</v>
      </c>
      <c r="AC23" s="1810">
        <f t="shared" si="5"/>
        <v>1.0526315789473684</v>
      </c>
    </row>
    <row r="24" spans="1:29" ht="15">
      <c r="A24" s="404"/>
      <c r="B24" s="456"/>
      <c r="C24" s="616" t="s">
        <v>3328</v>
      </c>
      <c r="D24" s="448"/>
      <c r="E24" s="616" t="s">
        <v>3329</v>
      </c>
      <c r="F24" s="448"/>
      <c r="G24" s="616" t="s">
        <v>3329</v>
      </c>
      <c r="H24" s="448"/>
      <c r="I24" s="616" t="s">
        <v>3329</v>
      </c>
      <c r="J24" s="448"/>
      <c r="K24" s="809"/>
      <c r="L24" s="1140"/>
      <c r="M24" s="1131"/>
      <c r="N24" s="1131"/>
      <c r="O24" s="1139"/>
      <c r="P24" s="3193"/>
      <c r="Q24" s="1809"/>
      <c r="R24" s="774"/>
      <c r="S24" s="775"/>
      <c r="T24" s="774"/>
      <c r="U24" s="775"/>
      <c r="V24" s="774"/>
      <c r="W24" s="775"/>
      <c r="X24" s="1812"/>
      <c r="Y24" s="3193"/>
      <c r="Z24" s="1813"/>
      <c r="AA24" s="1810"/>
      <c r="AB24" s="1810"/>
      <c r="AC24" s="1810"/>
    </row>
    <row r="25" spans="1:29" ht="71.25">
      <c r="A25" s="404"/>
      <c r="B25" s="1384" t="s">
        <v>2745</v>
      </c>
      <c r="C25" s="2662" t="str">
        <f>估价对象房地状况!C20</f>
        <v>区域自然环境：鲨鱼公园；人文环境：成都规划馆；综合评价环境状况一般。</v>
      </c>
      <c r="D25" s="450">
        <v>100</v>
      </c>
      <c r="E25" s="2986" t="s">
        <v>3336</v>
      </c>
      <c r="F25" s="450">
        <f>SUMIF(98:98,E26,99:99)-SUMIF(98:98,C26,99:99)+100</f>
        <v>100</v>
      </c>
      <c r="G25" s="2986" t="s">
        <v>3336</v>
      </c>
      <c r="H25" s="450">
        <f>SUMIF(98:98,G26,99:99)-SUMIF(98:98,C26,99:99)+100</f>
        <v>100</v>
      </c>
      <c r="I25" s="2986" t="s">
        <v>3340</v>
      </c>
      <c r="J25" s="450">
        <f>SUMIF(98:98,I26,99:99)-SUMIF(98:98,C26,99:99)+100</f>
        <v>100</v>
      </c>
      <c r="K25" s="673"/>
      <c r="L25" s="1140"/>
      <c r="M25" s="1131"/>
      <c r="N25" s="1131"/>
      <c r="O25" s="1139"/>
      <c r="P25" s="3193"/>
      <c r="Q25" s="1809" t="str">
        <f t="shared" si="8"/>
        <v>自然及人文环境状况</v>
      </c>
      <c r="R25" s="774" t="s">
        <v>17</v>
      </c>
      <c r="S25" s="775">
        <f>F25</f>
        <v>100</v>
      </c>
      <c r="T25" s="774" t="s">
        <v>17</v>
      </c>
      <c r="U25" s="775">
        <f>H25</f>
        <v>100</v>
      </c>
      <c r="V25" s="774" t="s">
        <v>17</v>
      </c>
      <c r="W25" s="775">
        <f>J25</f>
        <v>100</v>
      </c>
      <c r="X25" s="1812"/>
      <c r="Y25" s="3193"/>
      <c r="Z25" s="1813" t="str">
        <f>Q25</f>
        <v>自然及人文环境状况</v>
      </c>
      <c r="AA25" s="1810">
        <f t="shared" si="3"/>
        <v>1</v>
      </c>
      <c r="AB25" s="1810">
        <f t="shared" si="4"/>
        <v>1</v>
      </c>
      <c r="AC25" s="1810">
        <f t="shared" si="5"/>
        <v>1</v>
      </c>
    </row>
    <row r="26" spans="1:29" ht="15">
      <c r="A26" s="404"/>
      <c r="B26" s="456"/>
      <c r="C26" s="447" t="s">
        <v>3329</v>
      </c>
      <c r="D26" s="448"/>
      <c r="E26" s="447" t="s">
        <v>3329</v>
      </c>
      <c r="F26" s="448"/>
      <c r="G26" s="447" t="s">
        <v>3329</v>
      </c>
      <c r="H26" s="448"/>
      <c r="I26" s="447" t="s">
        <v>3329</v>
      </c>
      <c r="J26" s="448"/>
      <c r="K26" s="672"/>
      <c r="L26" s="1140"/>
      <c r="M26" s="1131"/>
      <c r="N26" s="1131"/>
      <c r="O26" s="1139"/>
      <c r="P26" s="3193"/>
      <c r="Q26" s="1809"/>
      <c r="R26" s="774"/>
      <c r="S26" s="775"/>
      <c r="T26" s="774"/>
      <c r="U26" s="775"/>
      <c r="V26" s="774"/>
      <c r="W26" s="775"/>
      <c r="X26" s="1812"/>
      <c r="Y26" s="3193"/>
      <c r="Z26" s="1813"/>
      <c r="AA26" s="1810">
        <v>1</v>
      </c>
      <c r="AB26" s="1810">
        <v>1</v>
      </c>
      <c r="AC26" s="1810">
        <v>1</v>
      </c>
    </row>
    <row r="27" spans="1:29" s="117" customFormat="1" ht="213.75">
      <c r="A27" s="649"/>
      <c r="B27" s="1384" t="s">
        <v>2650</v>
      </c>
      <c r="C27" s="2605"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3337</v>
      </c>
      <c r="F27" s="450">
        <f>SUMIF(100:100,E28,101:101)-SUMIF(100:100,C28,101:101)+100</f>
        <v>100</v>
      </c>
      <c r="G27" s="452" t="s">
        <v>3337</v>
      </c>
      <c r="H27" s="450">
        <f>SUMIF(100:100,G28,101:101)-SUMIF(100:100,C28,101:101)+100</f>
        <v>100</v>
      </c>
      <c r="I27" s="452" t="s">
        <v>3341</v>
      </c>
      <c r="J27" s="450">
        <f>SUMIF(100:100,I28,101:101)-SUMIF(100:100,C28,101:101)+100</f>
        <v>100</v>
      </c>
      <c r="K27" s="673"/>
      <c r="L27" s="1132"/>
      <c r="M27" s="1133"/>
      <c r="N27" s="1133"/>
      <c r="O27" s="1134"/>
      <c r="P27" s="3193"/>
      <c r="Q27" s="1794" t="str">
        <f t="shared" si="8"/>
        <v>公共配套设施</v>
      </c>
      <c r="R27" s="770" t="s">
        <v>17</v>
      </c>
      <c r="S27" s="771">
        <f>F27</f>
        <v>100</v>
      </c>
      <c r="T27" s="770" t="s">
        <v>17</v>
      </c>
      <c r="U27" s="771">
        <f>H27</f>
        <v>100</v>
      </c>
      <c r="V27" s="770" t="s">
        <v>17</v>
      </c>
      <c r="W27" s="771">
        <f>J27</f>
        <v>100</v>
      </c>
      <c r="X27" s="772"/>
      <c r="Y27" s="3193"/>
      <c r="Z27" s="55" t="str">
        <f>Q27</f>
        <v>公共配套设施</v>
      </c>
      <c r="AA27" s="1810">
        <f>D27/F27</f>
        <v>1</v>
      </c>
      <c r="AB27" s="1810">
        <f>D27/H27</f>
        <v>1</v>
      </c>
      <c r="AC27" s="1810">
        <f>D27/J27</f>
        <v>1</v>
      </c>
    </row>
    <row r="28" spans="1:29" s="117" customFormat="1" ht="15">
      <c r="A28" s="649"/>
      <c r="B28" s="456"/>
      <c r="C28" s="2698" t="s">
        <v>3328</v>
      </c>
      <c r="D28" s="448"/>
      <c r="E28" s="2698" t="s">
        <v>3328</v>
      </c>
      <c r="F28" s="448"/>
      <c r="G28" s="2698" t="s">
        <v>3328</v>
      </c>
      <c r="H28" s="448"/>
      <c r="I28" s="2698" t="s">
        <v>3328</v>
      </c>
      <c r="J28" s="448"/>
      <c r="K28" s="672"/>
      <c r="L28" s="1132"/>
      <c r="M28" s="1133"/>
      <c r="N28" s="1133"/>
      <c r="O28" s="1134"/>
      <c r="P28" s="3193"/>
      <c r="Q28" s="1794"/>
      <c r="R28" s="770"/>
      <c r="S28" s="771"/>
      <c r="T28" s="770"/>
      <c r="U28" s="771"/>
      <c r="V28" s="770"/>
      <c r="W28" s="771"/>
      <c r="X28" s="772"/>
      <c r="Y28" s="3193"/>
      <c r="Z28" s="55"/>
      <c r="AA28" s="1810">
        <v>1</v>
      </c>
      <c r="AB28" s="1810">
        <v>1</v>
      </c>
      <c r="AC28" s="1810">
        <v>1</v>
      </c>
    </row>
    <row r="29" spans="1:29" s="117" customFormat="1" ht="42.75">
      <c r="A29" s="649"/>
      <c r="B29" s="1384" t="s">
        <v>2651</v>
      </c>
      <c r="C29" s="2605" t="str">
        <f>估价对象房地状况!C22</f>
        <v>估价对象所在区域基础设施水平达到“六通”。</v>
      </c>
      <c r="D29" s="450">
        <v>100</v>
      </c>
      <c r="E29" s="452" t="s">
        <v>3331</v>
      </c>
      <c r="F29" s="450">
        <f>SUMIF(102:102,E30,103:103)-SUMIF(102:102,C30,103:103)+100</f>
        <v>100</v>
      </c>
      <c r="G29" s="452" t="s">
        <v>3331</v>
      </c>
      <c r="H29" s="450">
        <f>SUMIF(102:102,G30,103:103)-SUMIF(102:102,C30,103:103)+100</f>
        <v>100</v>
      </c>
      <c r="I29" s="454" t="s">
        <v>3331</v>
      </c>
      <c r="J29" s="450">
        <f>SUMIF(102:102,I30,103:103)-SUMIF(102:102,C30,103:103)+100</f>
        <v>100</v>
      </c>
      <c r="K29" s="673"/>
      <c r="L29" s="1132"/>
      <c r="M29" s="1133"/>
      <c r="N29" s="1133"/>
      <c r="O29" s="1134"/>
      <c r="P29" s="3193"/>
      <c r="Q29" s="1794"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0">
        <f>D29/F29</f>
        <v>1</v>
      </c>
      <c r="AB29" s="1810">
        <f>D29/H29</f>
        <v>1</v>
      </c>
      <c r="AC29" s="1810">
        <f>D29/J29</f>
        <v>1</v>
      </c>
    </row>
    <row r="30" spans="1:29" s="117" customFormat="1" ht="15">
      <c r="A30" s="649"/>
      <c r="B30" s="456"/>
      <c r="C30" s="2698" t="s">
        <v>3310</v>
      </c>
      <c r="D30" s="448"/>
      <c r="E30" s="2698" t="s">
        <v>3310</v>
      </c>
      <c r="F30" s="448"/>
      <c r="G30" s="2698" t="s">
        <v>3310</v>
      </c>
      <c r="H30" s="448"/>
      <c r="I30" s="2698" t="s">
        <v>3310</v>
      </c>
      <c r="J30" s="448"/>
      <c r="K30" s="672"/>
      <c r="L30" s="1132"/>
      <c r="M30" s="1133"/>
      <c r="N30" s="1133"/>
      <c r="O30" s="1134"/>
      <c r="P30" s="3193"/>
      <c r="Q30" s="1794"/>
      <c r="R30" s="770"/>
      <c r="S30" s="771"/>
      <c r="T30" s="770"/>
      <c r="U30" s="771"/>
      <c r="V30" s="770"/>
      <c r="W30" s="771"/>
      <c r="X30" s="772"/>
      <c r="Y30" s="3193"/>
      <c r="Z30" s="55"/>
      <c r="AA30" s="1810">
        <v>1</v>
      </c>
      <c r="AB30" s="1810">
        <v>1</v>
      </c>
      <c r="AC30" s="1810">
        <v>1</v>
      </c>
    </row>
    <row r="31" spans="1:29" ht="15">
      <c r="A31" s="428"/>
      <c r="B31" s="456" t="s">
        <v>2652</v>
      </c>
      <c r="C31" s="616" t="s">
        <v>3292</v>
      </c>
      <c r="D31" s="435">
        <v>100</v>
      </c>
      <c r="E31" s="634" t="s">
        <v>3293</v>
      </c>
      <c r="F31" s="435">
        <f>SUMIF(104:104,E31,105:105)-SUMIF(104:104,C31,105:105)+100</f>
        <v>94</v>
      </c>
      <c r="G31" s="634" t="s">
        <v>3294</v>
      </c>
      <c r="H31" s="435">
        <f>SUMIF(104:104,G31,105:105)-SUMIF(104:104,C31,105:105)+100</f>
        <v>97</v>
      </c>
      <c r="I31" s="634" t="s">
        <v>3292</v>
      </c>
      <c r="J31" s="435">
        <f>SUMIF(104:104,I31,105:105)-SUMIF(104:104,C31,105:105)+100</f>
        <v>100</v>
      </c>
      <c r="K31" s="673">
        <v>3</v>
      </c>
      <c r="L31" s="1140"/>
      <c r="M31" s="1131"/>
      <c r="N31" s="1131"/>
      <c r="O31" s="1139"/>
      <c r="P31" s="3193"/>
      <c r="Q31" s="1809" t="str">
        <f t="shared" si="8"/>
        <v>临街状况</v>
      </c>
      <c r="R31" s="774" t="s">
        <v>17</v>
      </c>
      <c r="S31" s="775">
        <f t="shared" ref="S31:S45" si="10">F31</f>
        <v>94</v>
      </c>
      <c r="T31" s="774" t="s">
        <v>17</v>
      </c>
      <c r="U31" s="775">
        <f t="shared" ref="U31:U45" si="11">H31</f>
        <v>97</v>
      </c>
      <c r="V31" s="774" t="s">
        <v>17</v>
      </c>
      <c r="W31" s="775">
        <f t="shared" ref="W31:W45" si="12">J31</f>
        <v>100</v>
      </c>
      <c r="X31" s="1812"/>
      <c r="Y31" s="3193"/>
      <c r="Z31" s="1813" t="str">
        <f t="shared" ref="Z31:Z45" si="13">Q31</f>
        <v>临街状况</v>
      </c>
      <c r="AA31" s="1810">
        <f t="shared" si="3"/>
        <v>1.0638297872340425</v>
      </c>
      <c r="AB31" s="1810">
        <f t="shared" si="4"/>
        <v>1.0309278350515463</v>
      </c>
      <c r="AC31" s="1810">
        <f t="shared" si="5"/>
        <v>1</v>
      </c>
    </row>
    <row r="32" spans="1:29" ht="27">
      <c r="A32" s="428"/>
      <c r="B32" s="1384" t="s">
        <v>2687</v>
      </c>
      <c r="C32" s="2985" t="s">
        <v>3295</v>
      </c>
      <c r="D32" s="450">
        <v>100</v>
      </c>
      <c r="E32" s="2986" t="s">
        <v>3330</v>
      </c>
      <c r="F32" s="450">
        <f>SUMIF(106:106,E33,107:107)-SUMIF(106:106,C33,107:107)+100</f>
        <v>100</v>
      </c>
      <c r="G32" s="2986" t="s">
        <v>3330</v>
      </c>
      <c r="H32" s="450">
        <f>SUMIF(106:106,G33,107:107)-SUMIF(106:106,C33,107:107)+100</f>
        <v>100</v>
      </c>
      <c r="I32" s="2985" t="s">
        <v>3303</v>
      </c>
      <c r="J32" s="450">
        <f>SUMIF(106:106,I33,107:107)-SUMIF(106:106,C33,107:107)+100</f>
        <v>102</v>
      </c>
      <c r="K32" s="673">
        <v>1</v>
      </c>
      <c r="L32" s="1140"/>
      <c r="M32" s="1131"/>
      <c r="N32" s="1131"/>
      <c r="O32" s="1139"/>
      <c r="P32" s="3193"/>
      <c r="Q32" s="1809" t="str">
        <f t="shared" si="8"/>
        <v>毗邻道路的类型与等级</v>
      </c>
      <c r="R32" s="774" t="s">
        <v>17</v>
      </c>
      <c r="S32" s="775">
        <f t="shared" si="10"/>
        <v>100</v>
      </c>
      <c r="T32" s="774" t="s">
        <v>17</v>
      </c>
      <c r="U32" s="775">
        <f t="shared" si="11"/>
        <v>100</v>
      </c>
      <c r="V32" s="774" t="s">
        <v>17</v>
      </c>
      <c r="W32" s="775">
        <f t="shared" si="12"/>
        <v>102</v>
      </c>
      <c r="X32" s="1812"/>
      <c r="Y32" s="3193"/>
      <c r="Z32" s="1813" t="str">
        <f t="shared" si="13"/>
        <v>毗邻道路的类型与等级</v>
      </c>
      <c r="AA32" s="1810">
        <f t="shared" si="3"/>
        <v>1</v>
      </c>
      <c r="AB32" s="1810">
        <f t="shared" si="4"/>
        <v>1</v>
      </c>
      <c r="AC32" s="1810">
        <f t="shared" si="5"/>
        <v>0.98039215686274506</v>
      </c>
    </row>
    <row r="33" spans="1:29" ht="15">
      <c r="A33" s="428"/>
      <c r="B33" s="456"/>
      <c r="C33" s="447" t="s">
        <v>3300</v>
      </c>
      <c r="D33" s="448"/>
      <c r="E33" s="2609" t="s">
        <v>3300</v>
      </c>
      <c r="F33" s="448"/>
      <c r="G33" s="2609" t="s">
        <v>3300</v>
      </c>
      <c r="H33" s="448"/>
      <c r="I33" s="447" t="s">
        <v>3297</v>
      </c>
      <c r="J33" s="448"/>
      <c r="K33" s="613"/>
      <c r="L33" s="1140"/>
      <c r="M33" s="1131"/>
      <c r="N33" s="1131"/>
      <c r="O33" s="1139"/>
      <c r="P33" s="3193"/>
      <c r="Q33" s="1809"/>
      <c r="R33" s="774"/>
      <c r="S33" s="775"/>
      <c r="T33" s="774"/>
      <c r="U33" s="775"/>
      <c r="V33" s="774"/>
      <c r="W33" s="775"/>
      <c r="X33" s="1812"/>
      <c r="Y33" s="3193"/>
      <c r="Z33" s="1813"/>
      <c r="AA33" s="1810">
        <v>1</v>
      </c>
      <c r="AB33" s="1810">
        <v>1</v>
      </c>
      <c r="AC33" s="1810">
        <v>1</v>
      </c>
    </row>
    <row r="34" spans="1:29" ht="15.75" thickBot="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809" t="str">
        <f t="shared" si="8"/>
        <v>土地级别</v>
      </c>
      <c r="R34" s="774" t="s">
        <v>17</v>
      </c>
      <c r="S34" s="775">
        <f t="shared" si="10"/>
        <v>100</v>
      </c>
      <c r="T34" s="774" t="s">
        <v>17</v>
      </c>
      <c r="U34" s="775">
        <f t="shared" si="11"/>
        <v>100</v>
      </c>
      <c r="V34" s="774" t="s">
        <v>17</v>
      </c>
      <c r="W34" s="775">
        <f t="shared" si="12"/>
        <v>100</v>
      </c>
      <c r="X34" s="1812"/>
      <c r="Y34" s="3193"/>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809">
        <f t="shared" si="8"/>
        <v>111</v>
      </c>
      <c r="R35" s="774" t="s">
        <v>17</v>
      </c>
      <c r="S35" s="775">
        <f t="shared" si="10"/>
        <v>100</v>
      </c>
      <c r="T35" s="774" t="s">
        <v>17</v>
      </c>
      <c r="U35" s="775">
        <f t="shared" si="11"/>
        <v>100</v>
      </c>
      <c r="V35" s="774" t="s">
        <v>17</v>
      </c>
      <c r="W35" s="775">
        <f t="shared" si="12"/>
        <v>100</v>
      </c>
      <c r="X35" s="1812"/>
      <c r="Y35" s="3193"/>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2561</v>
      </c>
      <c r="Q36" s="1809">
        <f t="shared" si="8"/>
        <v>111</v>
      </c>
      <c r="R36" s="774" t="s">
        <v>17</v>
      </c>
      <c r="S36" s="775">
        <f t="shared" si="10"/>
        <v>100</v>
      </c>
      <c r="T36" s="774" t="s">
        <v>17</v>
      </c>
      <c r="U36" s="775">
        <f t="shared" si="11"/>
        <v>100</v>
      </c>
      <c r="V36" s="774" t="s">
        <v>17</v>
      </c>
      <c r="W36" s="775">
        <f t="shared" si="12"/>
        <v>100</v>
      </c>
      <c r="X36" s="1812"/>
      <c r="Y36" s="3195"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09">
        <f t="shared" si="8"/>
        <v>111</v>
      </c>
      <c r="R37" s="777" t="s">
        <v>17</v>
      </c>
      <c r="S37" s="778">
        <f t="shared" si="10"/>
        <v>100</v>
      </c>
      <c r="T37" s="777" t="s">
        <v>17</v>
      </c>
      <c r="U37" s="778">
        <f t="shared" si="11"/>
        <v>100</v>
      </c>
      <c r="V37" s="777" t="s">
        <v>17</v>
      </c>
      <c r="W37" s="778">
        <f t="shared" si="12"/>
        <v>100</v>
      </c>
      <c r="X37" s="779"/>
      <c r="Y37" s="3195"/>
      <c r="Z37" s="780">
        <f t="shared" si="13"/>
        <v>111</v>
      </c>
      <c r="AA37" s="1810">
        <f t="shared" si="3"/>
        <v>1</v>
      </c>
      <c r="AB37" s="1810">
        <f t="shared" si="4"/>
        <v>1</v>
      </c>
      <c r="AC37" s="1810">
        <f t="shared" si="5"/>
        <v>1</v>
      </c>
    </row>
    <row r="38" spans="1:29" ht="15">
      <c r="A38" s="472" t="s">
        <v>2559</v>
      </c>
      <c r="B38" s="456" t="s">
        <v>2747</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0"/>
      <c r="M38" s="1131"/>
      <c r="N38" s="1131"/>
      <c r="O38" s="1139"/>
      <c r="P38" s="3195"/>
      <c r="Q38" s="1809" t="str">
        <f>B38</f>
        <v>宗地面积</v>
      </c>
      <c r="R38" s="774" t="s">
        <v>17</v>
      </c>
      <c r="S38" s="775">
        <f t="shared" si="10"/>
        <v>98.5</v>
      </c>
      <c r="T38" s="774" t="s">
        <v>17</v>
      </c>
      <c r="U38" s="775">
        <f t="shared" si="11"/>
        <v>98.5</v>
      </c>
      <c r="V38" s="774" t="s">
        <v>17</v>
      </c>
      <c r="W38" s="775">
        <f t="shared" si="12"/>
        <v>99</v>
      </c>
      <c r="X38" s="1812"/>
      <c r="Y38" s="3195"/>
      <c r="Z38" s="1813" t="str">
        <f t="shared" si="13"/>
        <v>宗地面积</v>
      </c>
      <c r="AA38" s="1810">
        <f t="shared" si="3"/>
        <v>1.015228426395939</v>
      </c>
      <c r="AB38" s="1810">
        <f t="shared" si="4"/>
        <v>1.015228426395939</v>
      </c>
      <c r="AC38" s="1810">
        <f t="shared" si="5"/>
        <v>1.0101010101010102</v>
      </c>
    </row>
    <row r="39" spans="1:29" ht="15">
      <c r="A39" s="472"/>
      <c r="B39" s="422" t="s">
        <v>2748</v>
      </c>
      <c r="C39" s="2611" t="s">
        <v>3305</v>
      </c>
      <c r="D39" s="435">
        <v>100</v>
      </c>
      <c r="E39" s="2611" t="s">
        <v>3305</v>
      </c>
      <c r="F39" s="435">
        <f>SUMIF(119:119,E39,120:120)-SUMIF(119:119,C39,120:120)+100</f>
        <v>100</v>
      </c>
      <c r="G39" s="2611" t="s">
        <v>3305</v>
      </c>
      <c r="H39" s="435">
        <f>SUMIF(119:119,G39,120:120)-SUMIF(119:119,C39,120:120)+100</f>
        <v>100</v>
      </c>
      <c r="I39" s="2611" t="s">
        <v>3305</v>
      </c>
      <c r="J39" s="435">
        <f>SUMIF(119:119,I39,120:120)-SUMIF(119:119,C39,120:120)+100</f>
        <v>100</v>
      </c>
      <c r="K39" s="612"/>
      <c r="L39" s="1140"/>
      <c r="M39" s="1131"/>
      <c r="N39" s="1131"/>
      <c r="O39" s="1139"/>
      <c r="P39" s="3195"/>
      <c r="Q39" s="1809" t="str">
        <f t="shared" ref="Q39:Q45" si="14">B39</f>
        <v>宗地形状</v>
      </c>
      <c r="R39" s="774" t="s">
        <v>17</v>
      </c>
      <c r="S39" s="775">
        <f t="shared" si="10"/>
        <v>100</v>
      </c>
      <c r="T39" s="774" t="s">
        <v>17</v>
      </c>
      <c r="U39" s="775">
        <f t="shared" si="11"/>
        <v>100</v>
      </c>
      <c r="V39" s="774" t="s">
        <v>17</v>
      </c>
      <c r="W39" s="775">
        <f t="shared" si="12"/>
        <v>100</v>
      </c>
      <c r="X39" s="1812"/>
      <c r="Y39" s="3195"/>
      <c r="Z39" s="1813" t="str">
        <f t="shared" si="13"/>
        <v>宗地形状</v>
      </c>
      <c r="AA39" s="1810">
        <f t="shared" si="3"/>
        <v>1</v>
      </c>
      <c r="AB39" s="1810">
        <f t="shared" si="4"/>
        <v>1</v>
      </c>
      <c r="AC39" s="1810">
        <f t="shared" si="5"/>
        <v>1</v>
      </c>
    </row>
    <row r="40" spans="1:29" ht="15">
      <c r="A40" s="472"/>
      <c r="B40" s="422" t="s">
        <v>2749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95"/>
      <c r="Q40" s="1809" t="str">
        <f t="shared" si="14"/>
        <v>临街宽度及深度</v>
      </c>
      <c r="R40" s="774" t="s">
        <v>17</v>
      </c>
      <c r="S40" s="775">
        <f t="shared" si="10"/>
        <v>100</v>
      </c>
      <c r="T40" s="774" t="s">
        <v>17</v>
      </c>
      <c r="U40" s="775">
        <f t="shared" si="11"/>
        <v>100</v>
      </c>
      <c r="V40" s="774" t="s">
        <v>17</v>
      </c>
      <c r="W40" s="775">
        <f t="shared" si="12"/>
        <v>100</v>
      </c>
      <c r="X40" s="1812"/>
      <c r="Y40" s="3195"/>
      <c r="Z40" s="1813" t="str">
        <f t="shared" si="13"/>
        <v>临街宽度及深度</v>
      </c>
      <c r="AA40" s="1810">
        <f t="shared" si="3"/>
        <v>1</v>
      </c>
      <c r="AB40" s="1810">
        <f t="shared" si="4"/>
        <v>1</v>
      </c>
      <c r="AC40" s="1810">
        <f t="shared" si="5"/>
        <v>1</v>
      </c>
    </row>
    <row r="41" spans="1:29" s="117" customFormat="1" ht="15">
      <c r="A41" s="473"/>
      <c r="B41" s="422" t="s">
        <v>2750</v>
      </c>
      <c r="C41" s="2700" t="s">
        <v>3312</v>
      </c>
      <c r="D41" s="136">
        <v>100</v>
      </c>
      <c r="E41" s="2700" t="s">
        <v>3315</v>
      </c>
      <c r="F41" s="435">
        <f>SUMIF(123:123,E41,124:124)-SUMIF(123:123,C41,124:124)+100</f>
        <v>98</v>
      </c>
      <c r="G41" s="2700" t="s">
        <v>3315</v>
      </c>
      <c r="H41" s="435">
        <f>SUMIF(123:123,G41,124:124)-SUMIF(123:123,C41,124:124)+100</f>
        <v>98</v>
      </c>
      <c r="I41" s="2700" t="s">
        <v>3315</v>
      </c>
      <c r="J41" s="435">
        <f>SUMIF(123:123,I41,124:124)-SUMIF(123:123,C41,124:124)+100</f>
        <v>98</v>
      </c>
      <c r="K41" s="612">
        <v>1</v>
      </c>
      <c r="L41" s="1132"/>
      <c r="M41" s="1133"/>
      <c r="N41" s="1133"/>
      <c r="O41" s="1134"/>
      <c r="P41" s="3195"/>
      <c r="Q41" s="1809" t="str">
        <f t="shared" si="14"/>
        <v>宗地开发程度</v>
      </c>
      <c r="R41" s="770" t="s">
        <v>17</v>
      </c>
      <c r="S41" s="771">
        <f t="shared" si="10"/>
        <v>98</v>
      </c>
      <c r="T41" s="770" t="s">
        <v>17</v>
      </c>
      <c r="U41" s="771">
        <f t="shared" si="11"/>
        <v>98</v>
      </c>
      <c r="V41" s="770" t="s">
        <v>17</v>
      </c>
      <c r="W41" s="771">
        <f t="shared" si="12"/>
        <v>98</v>
      </c>
      <c r="X41" s="772"/>
      <c r="Y41" s="3195"/>
      <c r="Z41" s="55" t="str">
        <f t="shared" si="13"/>
        <v>宗地开发程度</v>
      </c>
      <c r="AA41" s="773">
        <f t="shared" si="3"/>
        <v>1.0204081632653061</v>
      </c>
      <c r="AB41" s="773">
        <f t="shared" si="4"/>
        <v>1.0204081632653061</v>
      </c>
      <c r="AC41" s="773">
        <f t="shared" si="5"/>
        <v>1.0204081632653061</v>
      </c>
    </row>
    <row r="42" spans="1:29" ht="15.75" thickBot="1">
      <c r="A42" s="472"/>
      <c r="B42" s="422" t="s">
        <v>2751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95" t="s">
        <v>2561</v>
      </c>
      <c r="Q42" s="1809" t="str">
        <f t="shared" si="14"/>
        <v>工程地质条件</v>
      </c>
      <c r="R42" s="774" t="s">
        <v>17</v>
      </c>
      <c r="S42" s="775">
        <f t="shared" si="10"/>
        <v>100</v>
      </c>
      <c r="T42" s="774" t="s">
        <v>17</v>
      </c>
      <c r="U42" s="775">
        <f t="shared" si="11"/>
        <v>100</v>
      </c>
      <c r="V42" s="774" t="s">
        <v>17</v>
      </c>
      <c r="W42" s="775">
        <f t="shared" si="12"/>
        <v>100</v>
      </c>
      <c r="X42" s="1812"/>
      <c r="Y42" s="3195"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09">
        <f t="shared" si="14"/>
        <v>111</v>
      </c>
      <c r="R43" s="774" t="s">
        <v>17</v>
      </c>
      <c r="S43" s="775">
        <f t="shared" si="10"/>
        <v>100</v>
      </c>
      <c r="T43" s="774" t="s">
        <v>17</v>
      </c>
      <c r="U43" s="775">
        <f t="shared" si="11"/>
        <v>100</v>
      </c>
      <c r="V43" s="774" t="s">
        <v>17</v>
      </c>
      <c r="W43" s="775">
        <f t="shared" si="12"/>
        <v>100</v>
      </c>
      <c r="X43" s="1812"/>
      <c r="Y43" s="3195"/>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09">
        <f t="shared" si="14"/>
        <v>111</v>
      </c>
      <c r="R44" s="774" t="s">
        <v>17</v>
      </c>
      <c r="S44" s="775">
        <f t="shared" si="10"/>
        <v>100</v>
      </c>
      <c r="T44" s="774" t="s">
        <v>17</v>
      </c>
      <c r="U44" s="775">
        <f t="shared" si="11"/>
        <v>100</v>
      </c>
      <c r="V44" s="774" t="s">
        <v>17</v>
      </c>
      <c r="W44" s="775">
        <f t="shared" si="12"/>
        <v>100</v>
      </c>
      <c r="X44" s="1812"/>
      <c r="Y44" s="3195"/>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09">
        <f t="shared" si="14"/>
        <v>111</v>
      </c>
      <c r="R45" s="777" t="s">
        <v>17</v>
      </c>
      <c r="S45" s="778">
        <f t="shared" si="10"/>
        <v>100</v>
      </c>
      <c r="T45" s="777" t="s">
        <v>17</v>
      </c>
      <c r="U45" s="778">
        <f t="shared" si="11"/>
        <v>100</v>
      </c>
      <c r="V45" s="777" t="s">
        <v>17</v>
      </c>
      <c r="W45" s="778">
        <f t="shared" si="12"/>
        <v>100</v>
      </c>
      <c r="X45" s="779"/>
      <c r="Y45" s="3195"/>
      <c r="Z45" s="780">
        <f t="shared" si="13"/>
        <v>111</v>
      </c>
      <c r="AA45" s="1810">
        <f t="shared" si="3"/>
        <v>1</v>
      </c>
      <c r="AB45" s="1810">
        <f t="shared" si="4"/>
        <v>1</v>
      </c>
      <c r="AC45" s="1810">
        <f t="shared" si="5"/>
        <v>1</v>
      </c>
    </row>
    <row r="46" spans="1:29" ht="15">
      <c r="A46" s="479" t="s">
        <v>2716</v>
      </c>
      <c r="B46" s="2702" t="s">
        <v>2752</v>
      </c>
      <c r="C46" s="682" t="s">
        <v>1</v>
      </c>
      <c r="D46" s="481"/>
      <c r="E46" s="482">
        <v>7010</v>
      </c>
      <c r="F46" s="483"/>
      <c r="G46" s="484">
        <v>6900</v>
      </c>
      <c r="H46" s="485"/>
      <c r="I46" s="482">
        <v>7120</v>
      </c>
      <c r="J46" s="485"/>
      <c r="K46" s="783"/>
      <c r="L46" s="1143"/>
      <c r="M46" s="1144"/>
      <c r="N46" s="1131"/>
      <c r="O46" s="1144"/>
      <c r="P46" s="3190" t="str">
        <f>A46</f>
        <v>成交单价</v>
      </c>
      <c r="Q46" s="3190"/>
      <c r="R46" s="3196">
        <f>E46</f>
        <v>7010</v>
      </c>
      <c r="S46" s="3196"/>
      <c r="T46" s="3196">
        <f>G46</f>
        <v>6900</v>
      </c>
      <c r="U46" s="3196"/>
      <c r="V46" s="3196">
        <f>I46</f>
        <v>7120</v>
      </c>
      <c r="W46" s="3196"/>
      <c r="X46" s="759"/>
      <c r="Y46" s="781"/>
      <c r="Z46" s="759"/>
      <c r="AA46" s="759"/>
      <c r="AB46" s="759"/>
      <c r="AC46" s="759"/>
    </row>
    <row r="47" spans="1:29" ht="15.75" thickBot="1">
      <c r="A47" s="486" t="s">
        <v>2665</v>
      </c>
      <c r="B47" s="683"/>
      <c r="C47" s="490">
        <f>R48</f>
        <v>6455</v>
      </c>
      <c r="D47" s="489"/>
      <c r="E47" s="490">
        <f>R47</f>
        <v>6518</v>
      </c>
      <c r="F47" s="491"/>
      <c r="G47" s="488">
        <f>T47</f>
        <v>6391</v>
      </c>
      <c r="H47" s="489"/>
      <c r="I47" s="490">
        <f>V47</f>
        <v>6455</v>
      </c>
      <c r="J47" s="489"/>
      <c r="K47" s="784"/>
      <c r="L47" s="1143"/>
      <c r="M47" s="1144"/>
      <c r="N47" s="1144"/>
      <c r="O47" s="1144"/>
      <c r="P47" s="3190" t="str">
        <f>A47</f>
        <v>比较价值（元/平方米）</v>
      </c>
      <c r="Q47" s="3190"/>
      <c r="R47" s="3183">
        <f>ROUND(PRODUCT(R46,AA7:AA45),0)</f>
        <v>6518</v>
      </c>
      <c r="S47" s="3183"/>
      <c r="T47" s="3183">
        <f>ROUND(PRODUCT(T46,AB7:AB45),0)</f>
        <v>6391</v>
      </c>
      <c r="U47" s="3183"/>
      <c r="V47" s="3183">
        <f>ROUND(PRODUCT(V46,AC7:AC45),0)</f>
        <v>6455</v>
      </c>
      <c r="W47" s="3183"/>
      <c r="X47" s="759"/>
      <c r="Y47" s="759"/>
      <c r="Z47" s="759"/>
      <c r="AA47" s="759"/>
      <c r="AB47" s="759"/>
      <c r="AC47" s="759"/>
    </row>
    <row r="48" spans="1:29" ht="15.75" thickBot="1">
      <c r="A48" s="492" t="s">
        <v>2753</v>
      </c>
      <c r="B48" s="493"/>
      <c r="C48" s="494">
        <f>R48</f>
        <v>6455</v>
      </c>
      <c r="D48" s="494"/>
      <c r="E48" s="494"/>
      <c r="F48" s="494"/>
      <c r="G48" s="494"/>
      <c r="H48" s="494"/>
      <c r="I48" s="494"/>
      <c r="J48" s="494"/>
      <c r="K48" s="785"/>
      <c r="L48" s="1143"/>
      <c r="M48" s="1144"/>
      <c r="N48" s="1144"/>
      <c r="O48" s="1144"/>
      <c r="P48" s="3184" t="str">
        <f>A48</f>
        <v>估价对象XX用房的比较价值（楼面单价，元/平方米）</v>
      </c>
      <c r="Q48" s="3185"/>
      <c r="R48" s="3186">
        <f>ROUND(AVERAGE(R47:V47),0)</f>
        <v>6455</v>
      </c>
      <c r="S48" s="3186"/>
      <c r="T48" s="3186"/>
      <c r="U48" s="3186"/>
      <c r="V48" s="3186"/>
      <c r="W48" s="31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5"/>
      <c r="L51" s="1106"/>
      <c r="M51" s="1144"/>
      <c r="N51" s="1144"/>
      <c r="O51" s="1144"/>
    </row>
    <row r="52" spans="1:15" ht="13.5" customHeight="1">
      <c r="A52" s="1144"/>
      <c r="B52" s="1144"/>
      <c r="C52" s="497" t="s">
        <v>2668</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3" t="s">
        <v>2756</v>
      </c>
      <c r="D55" s="2704" t="s">
        <v>2757</v>
      </c>
      <c r="E55" s="686" t="s">
        <v>2758</v>
      </c>
      <c r="F55" s="1107" t="s">
        <v>2759</v>
      </c>
      <c r="G55" s="3187" t="s">
        <v>2760</v>
      </c>
      <c r="H55" s="3188"/>
      <c r="I55" s="144" t="s">
        <v>2761</v>
      </c>
      <c r="J55" s="2705" t="str">
        <f>项目基本情况!F35</f>
        <v>四川省成都市</v>
      </c>
      <c r="K55" s="2706" t="s">
        <v>2762</v>
      </c>
      <c r="L55" s="1106"/>
      <c r="M55" s="1144"/>
      <c r="N55" s="1144"/>
      <c r="O55" s="1144"/>
    </row>
    <row r="56" spans="1:15" s="692" customFormat="1">
      <c r="A56" s="688" t="s">
        <v>2763</v>
      </c>
      <c r="B56" s="689">
        <f>C48</f>
        <v>6455</v>
      </c>
      <c r="C56" s="690">
        <v>1</v>
      </c>
      <c r="D56" s="1163">
        <v>1</v>
      </c>
      <c r="E56" s="690">
        <f>'数据-汇总表'!E8+'数据-汇总表'!E9</f>
        <v>63151.97</v>
      </c>
      <c r="F56" s="1103">
        <f t="shared" ref="F56:F65" si="15">ROUND(B56*E56/10000,0)</f>
        <v>40765</v>
      </c>
      <c r="G56" s="3189"/>
      <c r="H56" s="3190"/>
      <c r="I56" s="1108">
        <v>1</v>
      </c>
      <c r="J56" s="1111">
        <v>1</v>
      </c>
      <c r="K56" s="1145"/>
      <c r="L56" s="941"/>
      <c r="M56" s="941"/>
      <c r="N56" s="941"/>
      <c r="O56" s="941"/>
    </row>
    <row r="57" spans="1:15" s="692" customFormat="1">
      <c r="A57" s="693" t="s">
        <v>2764</v>
      </c>
      <c r="B57" s="262">
        <f>ROUND($C$48*C57*D57,0)</f>
        <v>0</v>
      </c>
      <c r="C57" s="200">
        <f t="shared" ref="C57:C65" si="16">IF($C$55="北京市系数",I57,J57)</f>
        <v>0</v>
      </c>
      <c r="D57" s="1164">
        <v>0.25</v>
      </c>
      <c r="E57" s="694"/>
      <c r="F57" s="1103">
        <f t="shared" si="15"/>
        <v>0</v>
      </c>
      <c r="G57" s="3191" t="s">
        <v>2765</v>
      </c>
      <c r="H57" s="1104">
        <f>项目基本情况!B37</f>
        <v>0</v>
      </c>
      <c r="I57" s="1108">
        <f>SUMIF(修正!A45:A56,H57,修正!B45:B56)</f>
        <v>0</v>
      </c>
      <c r="J57" s="1112"/>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191"/>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191"/>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191"/>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7"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69497</v>
      </c>
      <c r="F64" s="1103">
        <f t="shared" si="15"/>
        <v>0</v>
      </c>
      <c r="G64" s="2707" t="s">
        <v>2765</v>
      </c>
      <c r="H64" s="1104">
        <f>项目基本情况!B37</f>
        <v>0</v>
      </c>
      <c r="I64" s="1108">
        <f>SUMIF(修正!A45:A56,H64,修正!H45:H56)</f>
        <v>0</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8"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1029</v>
      </c>
      <c r="E66" s="696">
        <f>IF(B46="楼面地价",SUM(E56:E65),'数据-汇总表'!D3)</f>
        <v>132648.97</v>
      </c>
      <c r="F66" s="697">
        <f>IF(B46="楼面地价",SUM(F56:F65),ROUND(C48*E66/10000,0))</f>
        <v>40765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9" t="s">
        <v>2778</v>
      </c>
      <c r="B70" s="1359"/>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2779</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2687</v>
      </c>
      <c r="C106" s="2987" t="s">
        <v>3296</v>
      </c>
      <c r="D106" s="2987" t="s">
        <v>3298</v>
      </c>
      <c r="E106" s="2987" t="s">
        <v>3299</v>
      </c>
      <c r="F106" s="2987" t="s">
        <v>3301</v>
      </c>
      <c r="G106" s="2987" t="s">
        <v>3302</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2"/>
      <c r="O117" s="1152"/>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3"/>
      <c r="O118" s="1153"/>
      <c r="P118" s="45"/>
      <c r="Q118" s="504"/>
    </row>
    <row r="119" spans="1:17" ht="15" thickTop="1">
      <c r="A119" s="599"/>
      <c r="B119" s="538" t="s">
        <v>2788</v>
      </c>
      <c r="C119" s="2988" t="s">
        <v>3304</v>
      </c>
      <c r="D119" s="2988" t="s">
        <v>3306</v>
      </c>
      <c r="E119" s="2988" t="s">
        <v>3307</v>
      </c>
      <c r="F119" s="2988" t="s">
        <v>3308</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2987" t="s">
        <v>3309</v>
      </c>
      <c r="D123" s="2987" t="s">
        <v>3311</v>
      </c>
      <c r="E123" s="2987" t="s">
        <v>3313</v>
      </c>
      <c r="F123" s="2987" t="s">
        <v>3314</v>
      </c>
      <c r="G123" s="2987" t="s">
        <v>3316</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workbookViewId="0">
      <selection activeCell="C24" sqref="C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9</v>
      </c>
    </row>
    <row r="2" spans="1:33" ht="18" customHeight="1">
      <c r="A2" s="245" t="s">
        <v>2326</v>
      </c>
      <c r="B2" s="248">
        <f ca="1">C32</f>
        <v>205264</v>
      </c>
      <c r="C2" s="320" t="s">
        <v>2459</v>
      </c>
      <c r="D2" s="320"/>
      <c r="E2" s="320"/>
      <c r="F2" s="320"/>
      <c r="G2" s="320"/>
      <c r="H2" s="320"/>
      <c r="I2" s="320"/>
      <c r="J2" s="320"/>
      <c r="K2" s="320"/>
    </row>
    <row r="3" spans="1:33" ht="18" customHeight="1" thickBot="1">
      <c r="A3" s="247" t="s">
        <v>2328</v>
      </c>
      <c r="B3" s="248">
        <f ca="1">ROUND(B2*10000/IF(C1="",'数据-汇总表'!E3,INDIRECT("'数据-取费表'!K"&amp;$K$1)),0)</f>
        <v>12495</v>
      </c>
      <c r="C3" s="320" t="s">
        <v>2460</v>
      </c>
      <c r="D3" s="320"/>
      <c r="E3" s="320"/>
      <c r="F3" s="320"/>
      <c r="G3" s="320"/>
      <c r="H3" s="320"/>
      <c r="I3" s="320"/>
      <c r="J3" s="320"/>
      <c r="K3" s="320"/>
    </row>
    <row r="4" spans="1:33" s="956" customFormat="1" ht="16.5" customHeight="1">
      <c r="A4" s="953" t="s">
        <v>2461</v>
      </c>
      <c r="B4" s="954"/>
      <c r="C4" s="996">
        <f ca="1">SUM(C8:K8)</f>
        <v>230791</v>
      </c>
      <c r="D4" s="954"/>
      <c r="E4" s="954"/>
      <c r="F4" s="954"/>
      <c r="G4" s="954"/>
      <c r="H4" s="954"/>
      <c r="I4" s="954"/>
      <c r="J4" s="954"/>
      <c r="K4" s="955"/>
    </row>
    <row r="5" spans="1:33" s="960" customFormat="1" ht="15">
      <c r="A5" s="957" t="s">
        <v>2462</v>
      </c>
      <c r="B5" s="958" t="s">
        <v>2463</v>
      </c>
      <c r="C5" s="2552" t="s">
        <v>3342</v>
      </c>
      <c r="D5" s="2552" t="s">
        <v>48</v>
      </c>
      <c r="E5" s="2552" t="s">
        <v>3345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25259</v>
      </c>
      <c r="D6" s="962">
        <f ca="1">'收益法 (车库)'!B3</f>
        <v>3465</v>
      </c>
      <c r="E6" s="962">
        <f ca="1">'收益法 (地下商业)'!B3</f>
        <v>19954</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63151.97</v>
      </c>
      <c r="D7" s="321">
        <f>SUMIF('数据-汇总表'!$C19:$C33,假设开发法!D5,'数据-汇总表'!$E19:$E33)</f>
        <v>69497</v>
      </c>
      <c r="E7" s="321">
        <f>SUMIF('数据-汇总表'!$C19:$C33,假设开发法!E5,'数据-汇总表'!$E19:$E33)</f>
        <v>23654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2467</v>
      </c>
      <c r="B8" s="177" t="s">
        <v>2468</v>
      </c>
      <c r="C8" s="997">
        <f ca="1">收益法!B2</f>
        <v>159514</v>
      </c>
      <c r="D8" s="997">
        <f ca="1">'收益法 (车库)'!B2</f>
        <v>24078</v>
      </c>
      <c r="E8" s="997">
        <f ca="1">'收益法 (地下商业)'!B2</f>
        <v>47199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1334</v>
      </c>
      <c r="B11" s="972" t="s">
        <v>2476</v>
      </c>
      <c r="C11" s="323">
        <f ca="1">IF(C1="",'数据-取费表'!P16,INDIRECT("'数据-取费表'!p"&amp;$K$1)+INDIRECT("'数据-取费表'!ar"&amp;$K$1))</f>
        <v>3960</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1335</v>
      </c>
      <c r="B12" s="972" t="s">
        <v>2477</v>
      </c>
      <c r="C12" s="24">
        <f ca="1">ROUND(C11*F12,0)</f>
        <v>198</v>
      </c>
      <c r="D12" s="973"/>
      <c r="E12" s="375"/>
      <c r="F12" s="976">
        <f>'数据-取费表'!B33</f>
        <v>0.05</v>
      </c>
      <c r="G12" s="8" t="s">
        <v>2478</v>
      </c>
      <c r="H12" s="968"/>
      <c r="I12" s="968"/>
      <c r="J12" s="968"/>
      <c r="K12" s="969"/>
    </row>
    <row r="13" spans="1:33" s="975" customFormat="1" ht="13.5" customHeight="1">
      <c r="A13" s="971" t="s">
        <v>1336</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1337</v>
      </c>
      <c r="B14" s="972" t="s">
        <v>2481</v>
      </c>
      <c r="C14" s="24">
        <f ca="1">ROUND(D14*E14*F11/10000,0)</f>
        <v>164</v>
      </c>
      <c r="D14" s="1033">
        <f ca="1">IF(C1="",'数据-汇总表'!E3,INDIRECT("'数据-取费表'!K"&amp;$K$1)+INDIRECT("'数据-取费表'!S"&amp;$K$1))</f>
        <v>164273</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2483</v>
      </c>
      <c r="C15" s="983">
        <f ca="1">ROUND(C11*F15,0)</f>
        <v>59</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4381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164273</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2488</v>
      </c>
      <c r="C18" s="24">
        <f ca="1">C19+C20-IF(C1="",'数据-取费表'!B29,IF(G18="已全部缴纳",C19+C20,H18))</f>
        <v>0</v>
      </c>
      <c r="D18" s="1033"/>
      <c r="E18" s="24"/>
      <c r="F18" s="976"/>
      <c r="G18" s="2554" t="s">
        <v>3359</v>
      </c>
      <c r="H18" s="1576"/>
      <c r="I18" s="2555"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3614</v>
      </c>
      <c r="D20" s="1033">
        <f ca="1">IF(C1="",'数据-汇总表'!E6,IF(INDIRECT("'数据-取费表'!c"&amp;$K$1)="住宅",INDIRECT("'数据-取费表'!s"&amp;$K$1),INDIRECT("'数据-取费表'!k"&amp;$K$1)+INDIRECT("'数据-取费表'!s"&amp;$K$1)))</f>
        <v>164273</v>
      </c>
      <c r="E20" s="24">
        <f>'数据-取费表'!B28</f>
        <v>220</v>
      </c>
      <c r="F20" s="976"/>
      <c r="G20" s="15"/>
      <c r="H20" s="981"/>
      <c r="I20" s="981"/>
      <c r="J20" s="981"/>
      <c r="K20" s="982"/>
    </row>
    <row r="21" spans="1:33" s="975" customFormat="1" ht="13.5" customHeight="1">
      <c r="A21" s="961" t="s">
        <v>802</v>
      </c>
      <c r="B21" s="985" t="s">
        <v>2492</v>
      </c>
      <c r="C21" s="986">
        <f ca="1">C16+C17+C18</f>
        <v>4381</v>
      </c>
      <c r="D21" s="987"/>
      <c r="E21" s="325"/>
      <c r="F21" s="325"/>
      <c r="G21" s="140" t="s">
        <v>2493</v>
      </c>
      <c r="H21" s="979"/>
      <c r="I21" s="979"/>
      <c r="J21" s="979"/>
      <c r="K21" s="980"/>
    </row>
    <row r="22" spans="1:33" s="975" customFormat="1" ht="13.5" customHeight="1">
      <c r="A22" s="961" t="s">
        <v>2465</v>
      </c>
      <c r="B22" s="985" t="s">
        <v>2494</v>
      </c>
      <c r="C22" s="986">
        <f ca="1">ROUND(C21*F22,0)</f>
        <v>88</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346</v>
      </c>
      <c r="D23" s="325"/>
      <c r="E23" s="325"/>
      <c r="F23" s="988">
        <f>'数据-取费表'!B38</f>
        <v>0.03</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11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4.7999999999999996E-3</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11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2505</v>
      </c>
      <c r="B28" s="2557" t="s">
        <v>2506</v>
      </c>
      <c r="C28" s="331">
        <f ca="1">C30</f>
        <v>530</v>
      </c>
      <c r="D28" s="324">
        <f ca="1">C29</f>
        <v>4.4999999999999997E-3</v>
      </c>
      <c r="E28" s="326" t="s">
        <v>15</v>
      </c>
      <c r="F28" s="332">
        <f ca="1">IF(C1="",'数据-取费表'!Q16,INDIRECT("'数据-取费表'!q"&amp;$K$1))</f>
        <v>0.11</v>
      </c>
      <c r="G28" s="989"/>
      <c r="H28" s="990"/>
      <c r="I28" s="990"/>
      <c r="J28" s="990"/>
      <c r="K28" s="991"/>
    </row>
    <row r="29" spans="1:33" s="335" customFormat="1" ht="13.5" customHeight="1">
      <c r="A29" s="971" t="s">
        <v>803</v>
      </c>
      <c r="B29" s="994" t="s">
        <v>2507</v>
      </c>
      <c r="C29" s="328">
        <f ca="1">ROUND((1+C24)*F28*'数据-取费表'!B24/'数据-取费表'!B20,4)</f>
        <v>4.4999999999999997E-3</v>
      </c>
      <c r="D29" s="328"/>
      <c r="E29" s="329"/>
      <c r="F29" s="334"/>
      <c r="G29" s="140" t="s">
        <v>2508</v>
      </c>
      <c r="H29" s="979"/>
      <c r="I29" s="979"/>
      <c r="J29" s="979"/>
      <c r="K29" s="980"/>
    </row>
    <row r="30" spans="1:33" s="335" customFormat="1" ht="13.5" customHeight="1">
      <c r="A30" s="971" t="s">
        <v>804</v>
      </c>
      <c r="B30" s="994" t="s">
        <v>2509</v>
      </c>
      <c r="C30" s="336">
        <f ca="1">ROUND((C21+C22+C23)*F28,0)</f>
        <v>530</v>
      </c>
      <c r="D30" s="328"/>
      <c r="E30" s="329"/>
      <c r="F30" s="334"/>
      <c r="G30" s="140"/>
      <c r="H30" s="979"/>
      <c r="I30" s="979"/>
      <c r="J30" s="979"/>
      <c r="K30" s="980"/>
    </row>
    <row r="31" spans="1:33" s="975" customFormat="1" ht="13.5" customHeight="1" thickBot="1">
      <c r="A31" s="2558" t="s">
        <v>2510</v>
      </c>
      <c r="B31" s="1005" t="s">
        <v>2511</v>
      </c>
      <c r="C31" s="1006">
        <f ca="1">ROUND(C4*F31/(1+'数据-取费表'!C42),0)</f>
        <v>12309</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205264</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2522</v>
      </c>
      <c r="B1" s="2560"/>
      <c r="C1" s="2560"/>
      <c r="D1" s="2560"/>
      <c r="E1" s="2561"/>
    </row>
    <row r="2" spans="1:6" ht="15.75">
      <c r="A2" s="2562" t="s">
        <v>2326</v>
      </c>
      <c r="B2" s="2563">
        <f ca="1">SUMIF(B6:B13,"&lt;&gt;#ref!",B6:B13)</f>
        <v>230791</v>
      </c>
      <c r="C2" s="2564" t="s">
        <v>2515</v>
      </c>
      <c r="D2" s="2565" t="s">
        <v>2516</v>
      </c>
      <c r="E2" s="2566">
        <f>SUM(E6:E13)</f>
        <v>164273</v>
      </c>
    </row>
    <row r="3" spans="1:6" ht="15.75">
      <c r="A3" s="2562" t="s">
        <v>1395</v>
      </c>
      <c r="B3" s="2563">
        <f ca="1">ROUND(B2*10000/E2,0)</f>
        <v>14049</v>
      </c>
      <c r="C3" s="2564" t="s">
        <v>2523</v>
      </c>
      <c r="D3" s="2567"/>
      <c r="E3" s="2568"/>
    </row>
    <row r="4" spans="1:6" ht="15.75">
      <c r="A4" s="2569"/>
      <c r="B4" s="2567"/>
      <c r="C4" s="2567"/>
      <c r="D4" s="2567"/>
      <c r="E4" s="2568"/>
    </row>
    <row r="5" spans="1:6" ht="15">
      <c r="A5" s="2570" t="s">
        <v>2517</v>
      </c>
      <c r="B5" s="3227" t="s">
        <v>2518</v>
      </c>
      <c r="C5" s="3227"/>
      <c r="D5" s="2571"/>
      <c r="E5" s="2572" t="s">
        <v>2519</v>
      </c>
      <c r="F5" s="2573" t="s">
        <v>2520</v>
      </c>
    </row>
    <row r="6" spans="1:6">
      <c r="A6" s="2574" t="str">
        <f>'数据-取费表'!AN6</f>
        <v>收益法</v>
      </c>
      <c r="B6" s="2573">
        <f ca="1">IF(F6="是",'数据-取费表'!AO6,0)</f>
        <v>159514</v>
      </c>
      <c r="C6" s="2564" t="s">
        <v>2515</v>
      </c>
      <c r="D6" s="2567"/>
      <c r="E6" s="2575">
        <f>IF(OR(A6=0,F6="否"),0,'数据-取费表'!K6+'数据-取费表'!S6)</f>
        <v>66372.149999999994</v>
      </c>
      <c r="F6" s="2576" t="s">
        <v>2521</v>
      </c>
    </row>
    <row r="7" spans="1:6">
      <c r="A7" s="2574" t="str">
        <f>'数据-取费表'!AN7</f>
        <v>收益法 (车库)</v>
      </c>
      <c r="B7" s="2573">
        <f ca="1">IF(F7="是",'数据-取费表'!AO7,0)</f>
        <v>24078</v>
      </c>
      <c r="C7" s="2564" t="s">
        <v>2515</v>
      </c>
      <c r="D7" s="2567"/>
      <c r="E7" s="2575">
        <f>IF(OR(A7=0,F7="否"),0,'数据-取费表'!K7+'数据-取费表'!S7)</f>
        <v>73040.710000000006</v>
      </c>
      <c r="F7" s="2576" t="s">
        <v>2521</v>
      </c>
    </row>
    <row r="8" spans="1:6">
      <c r="A8" s="2574" t="str">
        <f>'数据-取费表'!AN8</f>
        <v>收益法 (地下商业)</v>
      </c>
      <c r="B8" s="2573">
        <f ca="1">IF(F8="是",'数据-取费表'!AO8,0)</f>
        <v>47199</v>
      </c>
      <c r="C8" s="2564" t="s">
        <v>2515</v>
      </c>
      <c r="D8" s="2567"/>
      <c r="E8" s="2575">
        <f>IF(OR(A8=0,F8="否"),0,'数据-取费表'!K8+'数据-取费表'!S8)</f>
        <v>24860.14</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D29" sqref="D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3342</v>
      </c>
      <c r="D1" s="1819" t="s">
        <v>3355</v>
      </c>
      <c r="E1" s="1820" t="s">
        <v>1387</v>
      </c>
      <c r="F1" s="1283">
        <f ca="1">J53</f>
        <v>28.869999999999997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159514</v>
      </c>
      <c r="C2" s="1844" t="s">
        <v>1516</v>
      </c>
      <c r="D2" s="1844"/>
      <c r="E2" s="1845"/>
      <c r="F2" s="1846"/>
      <c r="G2" s="1847"/>
      <c r="H2" s="1839"/>
      <c r="I2" s="1839"/>
      <c r="J2" s="1839"/>
      <c r="K2" s="1840"/>
      <c r="L2" s="1839"/>
      <c r="M2" s="1839"/>
    </row>
    <row r="3" spans="1:37" ht="18" customHeight="1" thickBot="1">
      <c r="A3" s="1848" t="s">
        <v>1517</v>
      </c>
      <c r="B3" s="1849">
        <f ca="1">IF(ISERROR(B2*10000/F43),0,ROUND(B2*10000/F43,0))</f>
        <v>25259</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11632</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11617</v>
      </c>
      <c r="D6" s="164" t="s">
        <v>3029</v>
      </c>
      <c r="E6" s="347" t="s">
        <v>1405</v>
      </c>
      <c r="F6" s="348">
        <f ca="1">INDIRECT("'数据-取费表'!u"&amp;$G$1)</f>
        <v>5.6</v>
      </c>
      <c r="G6" s="1850"/>
      <c r="H6" s="1291" t="s">
        <v>1035</v>
      </c>
      <c r="I6" s="3230" t="s">
        <v>1403</v>
      </c>
      <c r="J6" s="346">
        <f ca="1">ROUND(M6*M8*M7*(1-M9)/10000,0)</f>
        <v>0</v>
      </c>
      <c r="K6" s="164" t="s">
        <v>3028</v>
      </c>
      <c r="L6" s="347" t="s">
        <v>1405</v>
      </c>
      <c r="M6" s="348">
        <f ca="1">INDIRECT("'数据-取费表'!z"&amp;$G$1)</f>
        <v>0</v>
      </c>
    </row>
    <row r="7" spans="1:37" ht="18" customHeight="1">
      <c r="A7" s="1295"/>
      <c r="B7" s="3231"/>
      <c r="C7" s="1297"/>
      <c r="D7" s="352"/>
      <c r="E7" s="1298" t="s">
        <v>1406</v>
      </c>
      <c r="F7" s="348">
        <f ca="1">IF(INDIRECT("'数据-取费表'!ah"&amp;$G$1)="",INDIRECT("'数据-取费表'!k"&amp;$G$1),INDIRECT("'数据-取费表'!ah"&amp;$G$1))</f>
        <v>63151.97</v>
      </c>
      <c r="G7" s="1850"/>
      <c r="H7" s="349"/>
      <c r="I7" s="3231"/>
      <c r="J7" s="351"/>
      <c r="K7" s="352"/>
      <c r="L7" s="347" t="s">
        <v>1406</v>
      </c>
      <c r="M7" s="348">
        <f ca="1">F7</f>
        <v>63151.97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15</v>
      </c>
      <c r="D10" s="1823" t="s">
        <v>3038</v>
      </c>
      <c r="E10" s="358" t="s">
        <v>1410</v>
      </c>
      <c r="F10" s="1366" t="s">
        <v>3117</v>
      </c>
      <c r="G10" s="1850"/>
      <c r="H10" s="1291" t="s">
        <v>1039</v>
      </c>
      <c r="I10" s="1822" t="s">
        <v>1409</v>
      </c>
      <c r="J10" s="346">
        <f ca="1">ROUND(IF(M10="押一",J6/12*M11,IF(M10="押二",J6/12*2*M11,IF(M10="押三",J6/12*3*M11,J11*M11))),0)</f>
        <v>0</v>
      </c>
      <c r="K10" s="1823" t="s">
        <v>3037</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60622</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39018</v>
      </c>
      <c r="D14" s="1799" t="s">
        <v>1418</v>
      </c>
      <c r="E14" s="1793"/>
      <c r="F14" s="364"/>
      <c r="G14" s="1850"/>
      <c r="H14" s="1201" t="s">
        <v>1035</v>
      </c>
      <c r="I14" s="347" t="s">
        <v>1419</v>
      </c>
      <c r="J14" s="24">
        <f ca="1">C29</f>
        <v>60622</v>
      </c>
      <c r="K14" s="15"/>
      <c r="L14" s="979"/>
      <c r="M14" s="980"/>
    </row>
    <row r="15" spans="1:37" s="1857" customFormat="1" ht="18" customHeight="1" thickBot="1">
      <c r="A15" s="1201" t="s">
        <v>1036</v>
      </c>
      <c r="B15" s="347" t="s">
        <v>1420</v>
      </c>
      <c r="C15" s="24">
        <f ca="1">ROUND(C14*F15,0)</f>
        <v>1951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1425</v>
      </c>
      <c r="K16" s="1337" t="s">
        <v>1425</v>
      </c>
      <c r="L16" s="1338"/>
      <c r="M16" s="1294"/>
    </row>
    <row r="17" spans="1:37" s="1857" customFormat="1" ht="18" customHeight="1">
      <c r="A17" s="1201" t="s">
        <v>1390</v>
      </c>
      <c r="B17" s="347" t="s">
        <v>1426</v>
      </c>
      <c r="C17" s="24">
        <f ca="1">ROUND(F17*(F43+INDIRECT("'数据-取费表'!S"&amp;$G$1))/10000,0)</f>
        <v>1327</v>
      </c>
      <c r="D17" s="347" t="s">
        <v>1427</v>
      </c>
      <c r="E17" s="347" t="s">
        <v>1428</v>
      </c>
      <c r="F17" s="26">
        <f>'数据-取费表'!B35</f>
        <v>200</v>
      </c>
      <c r="G17" s="1853"/>
      <c r="H17" s="1201" t="s">
        <v>1035</v>
      </c>
      <c r="I17" s="347" t="s">
        <v>1429</v>
      </c>
      <c r="J17" s="24">
        <f ca="1">ROUND(IF(项目基本情况!B11="自然人",J5*M17,J18+J19+J20),1)</f>
        <v>515.6</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585</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42881</v>
      </c>
      <c r="D19" s="140" t="s">
        <v>1436</v>
      </c>
      <c r="E19" s="1817"/>
      <c r="F19" s="26"/>
      <c r="G19" s="1850"/>
      <c r="H19" s="1201" t="s">
        <v>1036</v>
      </c>
      <c r="I19" s="347" t="s">
        <v>1437</v>
      </c>
      <c r="J19" s="24">
        <f ca="1">IF(K19="按租金收入计税",ROUND(J5*M19,2),ROUND(C29*M19*0.7,2))</f>
        <v>509.22</v>
      </c>
      <c r="K19" s="1827" t="s">
        <v>1438</v>
      </c>
      <c r="L19" s="347" t="s">
        <v>1422</v>
      </c>
      <c r="M19" s="367">
        <f>IF(K19="按租金收入计税",'数据-取费表'!B51,'数据-取费表'!B50)</f>
        <v>1.2E-2</v>
      </c>
    </row>
    <row r="20" spans="1:37" s="1857" customFormat="1" ht="18" customHeight="1">
      <c r="A20" s="1201" t="s">
        <v>1039</v>
      </c>
      <c r="B20" s="347" t="s">
        <v>1439</v>
      </c>
      <c r="C20" s="24">
        <f ca="1">ROUND(C19*F20,0)</f>
        <v>858</v>
      </c>
      <c r="D20" s="369" t="s">
        <v>1440</v>
      </c>
      <c r="E20" s="347" t="s">
        <v>1422</v>
      </c>
      <c r="F20" s="367">
        <f>'数据-取费表'!B37</f>
        <v>0.02</v>
      </c>
      <c r="G20" s="1853"/>
      <c r="H20" s="1201" t="s">
        <v>1389</v>
      </c>
      <c r="I20" s="164" t="s">
        <v>1441</v>
      </c>
      <c r="J20" s="25">
        <f ca="1">ROUND(M20*M21/10000,2)</f>
        <v>6.37</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5310.02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909.3</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2612</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-1425</v>
      </c>
      <c r="K25" s="1345" t="s">
        <v>1464</v>
      </c>
      <c r="L25" s="1346"/>
      <c r="M25" s="1347"/>
    </row>
    <row r="26" spans="1:37">
      <c r="A26" s="1201" t="s">
        <v>1034</v>
      </c>
      <c r="B26" s="347" t="s">
        <v>1465</v>
      </c>
      <c r="C26" s="24">
        <f ca="1">ROUND((C19+C20)*F26,0)</f>
        <v>8748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6.0000000000000001E-3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60622</v>
      </c>
      <c r="D29" s="1342"/>
      <c r="E29" s="1340"/>
      <c r="F29" s="1343"/>
      <c r="G29" s="1853"/>
      <c r="H29" s="380" t="s">
        <v>1033</v>
      </c>
      <c r="I29" s="381" t="s">
        <v>1479</v>
      </c>
      <c r="J29" s="382">
        <f ca="1">ROUND(J26/(1+F40)^F41,0)</f>
        <v>0</v>
      </c>
      <c r="K29" s="383" t="s">
        <v>1480</v>
      </c>
      <c r="L29" s="384"/>
      <c r="M29" s="385">
        <f ca="1">INDIRECT("'数据-取费表'!k"&amp;$G$1)</f>
        <v>63151.97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3139</v>
      </c>
      <c r="D30" s="1337" t="s">
        <v>1425</v>
      </c>
      <c r="E30" s="1338"/>
      <c r="F30" s="1294"/>
      <c r="G30" s="1850"/>
      <c r="H30" s="745"/>
      <c r="I30" s="746"/>
      <c r="J30" s="747"/>
      <c r="K30" s="748"/>
      <c r="L30" s="749"/>
      <c r="M30" s="750"/>
    </row>
    <row r="31" spans="1:37" ht="18" customHeight="1">
      <c r="A31" s="1201" t="s">
        <v>1035</v>
      </c>
      <c r="B31" s="347" t="s">
        <v>1429</v>
      </c>
      <c r="C31" s="24">
        <f ca="1">ROUND(IF(项目基本情况!B11="自然人",C5*F31,C32+C33+C34),1)</f>
        <v>2022.6</v>
      </c>
      <c r="D31" s="1799" t="s">
        <v>1430</v>
      </c>
      <c r="E31" s="1797"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620.37</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1395.84</v>
      </c>
      <c r="D33" s="1827" t="s">
        <v>3113</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6.37</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5310.02</v>
      </c>
      <c r="G35" s="1850"/>
      <c r="H35" s="745"/>
      <c r="I35" s="1859"/>
      <c r="J35" s="1860"/>
      <c r="K35" s="1861"/>
      <c r="L35" s="1858"/>
      <c r="M35" s="1858"/>
    </row>
    <row r="36" spans="1:18" ht="18" customHeight="1">
      <c r="A36" s="1352" t="s">
        <v>1039</v>
      </c>
      <c r="B36" s="347" t="s">
        <v>1449</v>
      </c>
      <c r="C36" s="24">
        <f ca="1">ROUND(C29*F36,1)</f>
        <v>909.3</v>
      </c>
      <c r="D36" s="1797"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90.9</v>
      </c>
      <c r="D37" s="1797" t="s">
        <v>1454</v>
      </c>
      <c r="E37" s="347" t="s">
        <v>1455</v>
      </c>
      <c r="F37" s="376">
        <f ca="1">INDIRECT("'数据-取费表'!Al"&amp;$G$1)</f>
        <v>1.5E-3</v>
      </c>
      <c r="G37" s="1850"/>
      <c r="H37" s="1858"/>
      <c r="I37" s="1859"/>
      <c r="J37" s="1860"/>
      <c r="K37" s="751"/>
      <c r="L37" s="1858"/>
      <c r="M37" s="1858"/>
    </row>
    <row r="38" spans="1:18" ht="18" customHeight="1" thickBot="1">
      <c r="A38" s="1339" t="s">
        <v>1393</v>
      </c>
      <c r="B38" s="1340" t="s">
        <v>1439</v>
      </c>
      <c r="C38" s="1341">
        <f ca="1">ROUND(C5*F38,1)</f>
        <v>116.3</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8493</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159514</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25259</v>
      </c>
      <c r="D43" s="383" t="s">
        <v>1488</v>
      </c>
      <c r="E43" s="384" t="s">
        <v>1489</v>
      </c>
      <c r="F43" s="385">
        <f ca="1">INDIRECT("'数据-取费表'!k"&amp;$G$1)</f>
        <v>63151.97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-242261</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3111</v>
      </c>
      <c r="K47" s="1881" t="s">
        <v>1527</v>
      </c>
      <c r="L47" s="1882">
        <f ca="1">INDIRECT("'数据-取费表'!d"&amp;$G$1)</f>
        <v>40</v>
      </c>
      <c r="M47" s="1837" t="str">
        <f>IF(ISNUMBER(FIND("住宅",C1)),"住宅","非住宅")</f>
        <v>非住宅</v>
      </c>
      <c r="O47" s="1883" t="s">
        <v>1040</v>
      </c>
      <c r="P47" s="1884" t="s">
        <v>1528</v>
      </c>
      <c r="Q47" s="1885">
        <f ca="1">C40+J29</f>
        <v>159514</v>
      </c>
      <c r="R47" s="1885" t="s">
        <v>1529</v>
      </c>
    </row>
    <row r="48" spans="1:18" s="1841" customFormat="1" ht="28.5" thickBot="1">
      <c r="A48" s="1360" t="s">
        <v>1135</v>
      </c>
      <c r="B48" s="345" t="s">
        <v>1401</v>
      </c>
      <c r="C48" s="1816">
        <f ca="1">C49+C53+C55</f>
        <v>0</v>
      </c>
      <c r="D48" s="1362"/>
      <c r="E48" s="1363"/>
      <c r="F48" s="1181"/>
      <c r="G48" s="792"/>
      <c r="H48" s="793"/>
      <c r="I48" s="1886" t="s">
        <v>1530</v>
      </c>
      <c r="J48" s="1887" t="s">
        <v>3112</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3030</v>
      </c>
      <c r="E49" s="1829" t="s">
        <v>1491</v>
      </c>
      <c r="F49" s="1281"/>
      <c r="G49" s="1890"/>
      <c r="H49" s="793"/>
      <c r="I49" s="1886" t="s">
        <v>1534</v>
      </c>
      <c r="J49" s="1891">
        <v>2018</v>
      </c>
      <c r="K49" s="1888" t="s">
        <v>1535</v>
      </c>
      <c r="L49" s="1892"/>
      <c r="O49" s="1893" t="s">
        <v>1042</v>
      </c>
      <c r="P49" s="1884" t="s">
        <v>1536</v>
      </c>
      <c r="Q49" s="1885">
        <f ca="1">C29</f>
        <v>60622</v>
      </c>
      <c r="R49" s="1885" t="s">
        <v>1529</v>
      </c>
    </row>
    <row r="50" spans="1:18" s="1841" customFormat="1" ht="13.5" thickBot="1">
      <c r="A50" s="1195"/>
      <c r="B50" s="1198"/>
      <c r="C50" s="1368"/>
      <c r="D50" s="1172"/>
      <c r="E50" s="1277" t="s">
        <v>1406</v>
      </c>
      <c r="F50" s="1278">
        <f ca="1">F7</f>
        <v>63151.97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47854</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3037</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159514</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60622</v>
      </c>
      <c r="D56" s="1913"/>
      <c r="E56" s="1914"/>
      <c r="F56" s="1906"/>
      <c r="I56" s="1915" t="s">
        <v>1554</v>
      </c>
      <c r="J56" s="1916" t="s">
        <v>3069</v>
      </c>
      <c r="K56" s="1886" t="s">
        <v>1555</v>
      </c>
      <c r="L56" s="1889" t="str">
        <f ca="1">IF(L48&lt;J51,"——",L48-J53)</f>
        <v>——</v>
      </c>
      <c r="O56" s="1883" t="s">
        <v>1040</v>
      </c>
      <c r="P56" s="1884" t="s">
        <v>1528</v>
      </c>
      <c r="Q56" s="1885">
        <f ca="1">C40+J29</f>
        <v>159514</v>
      </c>
      <c r="R56" s="1885" t="s">
        <v>1529</v>
      </c>
    </row>
    <row r="57" spans="1:18" s="1841" customFormat="1" ht="24.75" thickBot="1">
      <c r="A57" s="1917"/>
      <c r="B57" s="1169" t="s">
        <v>1478</v>
      </c>
      <c r="C57" s="282">
        <f ca="1">C29</f>
        <v>60622</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6099</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5098.6000000000004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5092.25</v>
      </c>
      <c r="D61" s="1827" t="s">
        <v>1438</v>
      </c>
      <c r="E61" s="1169" t="s">
        <v>1494</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6.37</v>
      </c>
      <c r="D62" s="1184" t="s">
        <v>1497</v>
      </c>
      <c r="E62" s="1169" t="s">
        <v>1498</v>
      </c>
      <c r="F62" s="371">
        <f t="shared" si="0"/>
        <v>12</v>
      </c>
      <c r="I62" s="1928" t="s">
        <v>1570</v>
      </c>
      <c r="J62" s="1929" t="s">
        <v>1571</v>
      </c>
      <c r="K62" s="1929" t="s">
        <v>1572</v>
      </c>
      <c r="L62" s="1929" t="s">
        <v>1573</v>
      </c>
      <c r="M62" s="1930" t="s">
        <v>1574</v>
      </c>
      <c r="O62" s="1883" t="s">
        <v>1046</v>
      </c>
      <c r="P62" s="1884" t="s">
        <v>1575</v>
      </c>
      <c r="Q62" s="1885">
        <f ca="1">Q56+Q57</f>
        <v>159514</v>
      </c>
      <c r="R62" s="1885" t="s">
        <v>1047</v>
      </c>
    </row>
    <row r="63" spans="1:18" s="1841" customFormat="1" ht="13.5" thickBot="1">
      <c r="A63" s="372"/>
      <c r="B63" s="1175"/>
      <c r="C63" s="29"/>
      <c r="D63" s="1185"/>
      <c r="E63" s="1169" t="s">
        <v>1499</v>
      </c>
      <c r="F63" s="348">
        <f t="shared" ca="1" si="0"/>
        <v>5310.02</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909.3</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90.9</v>
      </c>
      <c r="D65" s="1183" t="s">
        <v>1454</v>
      </c>
      <c r="E65" s="1169" t="s">
        <v>1455</v>
      </c>
      <c r="F65" s="376">
        <f t="shared" ca="1" si="0"/>
        <v>1.5E-3</v>
      </c>
      <c r="I65" s="1928" t="s">
        <v>1579</v>
      </c>
      <c r="J65" s="1929">
        <v>40</v>
      </c>
      <c r="K65" s="1929">
        <v>30</v>
      </c>
      <c r="L65" s="1929">
        <v>50</v>
      </c>
      <c r="M65" s="1931">
        <v>0.02</v>
      </c>
      <c r="O65" s="1883" t="s">
        <v>1040</v>
      </c>
      <c r="P65" s="1884" t="s">
        <v>1580</v>
      </c>
      <c r="Q65" s="1885">
        <f ca="1">C40+J29</f>
        <v>159514</v>
      </c>
      <c r="R65" s="1885" t="s">
        <v>1529</v>
      </c>
    </row>
    <row r="66" spans="1:18" s="1841" customFormat="1" ht="16.5" thickBot="1">
      <c r="A66" s="1201" t="s">
        <v>1504</v>
      </c>
      <c r="B66" s="1169" t="s">
        <v>1439</v>
      </c>
      <c r="C66" s="24">
        <f ca="1">ROUND(C48*F66,1)</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-6099</v>
      </c>
      <c r="D67" s="1182" t="s">
        <v>1464</v>
      </c>
      <c r="E67" s="1187"/>
      <c r="F67" s="1188"/>
      <c r="O67" s="1893" t="s">
        <v>1042</v>
      </c>
      <c r="P67" s="1884" t="s">
        <v>1562</v>
      </c>
      <c r="Q67" s="1932">
        <f ca="1">L51</f>
        <v>47854</v>
      </c>
      <c r="R67" s="1885" t="s">
        <v>1582</v>
      </c>
    </row>
    <row r="68" spans="1:18" s="1841" customFormat="1" ht="16.5" thickBot="1">
      <c r="A68" s="1166" t="s">
        <v>1032</v>
      </c>
      <c r="B68" s="1167" t="s">
        <v>1485</v>
      </c>
      <c r="C68" s="346">
        <f ca="1">ROUND(C67*(1-((1+F70)/(1+F68))^F69)/(F68-F70),0)</f>
        <v>-82747</v>
      </c>
      <c r="D68" s="1184" t="s">
        <v>1469</v>
      </c>
      <c r="E68" s="1169" t="s">
        <v>1470</v>
      </c>
      <c r="F68" s="357">
        <f ca="1">F40</f>
        <v>0.06</v>
      </c>
      <c r="O68" s="1893" t="s">
        <v>1043</v>
      </c>
      <c r="P68" s="1933" t="s">
        <v>1583</v>
      </c>
      <c r="Q68" s="1885">
        <f ca="1">ROUND(Q69-Q70*Q71,0)</f>
        <v>3340</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8493</v>
      </c>
      <c r="R69" s="1885" t="s">
        <v>1529</v>
      </c>
    </row>
    <row r="70" spans="1:18" s="1841" customFormat="1" ht="13.5" thickBot="1">
      <c r="A70" s="1173"/>
      <c r="B70" s="1174"/>
      <c r="C70" s="355"/>
      <c r="D70" s="1185"/>
      <c r="E70" s="1169" t="s">
        <v>1477</v>
      </c>
      <c r="F70" s="1275"/>
      <c r="O70" s="1893" t="s">
        <v>1049</v>
      </c>
      <c r="P70" s="1933" t="s">
        <v>1585</v>
      </c>
      <c r="Q70" s="1885">
        <f ca="1">C13</f>
        <v>60622</v>
      </c>
      <c r="R70" s="1885" t="s">
        <v>1529</v>
      </c>
    </row>
    <row r="71" spans="1:18" s="1841" customFormat="1" ht="13.5" thickBot="1">
      <c r="A71" s="1190" t="s">
        <v>1033</v>
      </c>
      <c r="B71" s="1191" t="s">
        <v>1487</v>
      </c>
      <c r="C71" s="382">
        <f ca="1">ROUND(C68*10000/F71,0)</f>
        <v>-13103</v>
      </c>
      <c r="D71" s="1192" t="s">
        <v>1488</v>
      </c>
      <c r="E71" s="1193" t="s">
        <v>1489</v>
      </c>
      <c r="F71" s="385">
        <f ca="1">F43</f>
        <v>63151.97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5153</v>
      </c>
      <c r="D75" s="1841"/>
      <c r="E75" s="1841"/>
      <c r="F75" s="1841"/>
      <c r="K75" s="1867"/>
      <c r="L75" s="1841"/>
      <c r="O75" s="1883" t="s">
        <v>1046</v>
      </c>
      <c r="P75" s="1884" t="s">
        <v>1549</v>
      </c>
      <c r="Q75" s="1885">
        <f ca="1">Q65+Q66</f>
        <v>159514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0.39300000000000002</v>
      </c>
    </row>
    <row r="80" spans="1:18">
      <c r="B80" s="386" t="s">
        <v>1511</v>
      </c>
      <c r="C80" s="318">
        <f ca="1">ROUND(C75/C39,3)</f>
        <v>0.60699999999999998</v>
      </c>
    </row>
    <row r="81" spans="2:3">
      <c r="B81" s="314" t="s">
        <v>1512</v>
      </c>
      <c r="C81" s="282"/>
    </row>
    <row r="82" spans="2:3">
      <c r="B82" s="317" t="s">
        <v>1513</v>
      </c>
      <c r="C82" s="319">
        <f ca="1">1-C83</f>
        <v>0.62</v>
      </c>
    </row>
    <row r="83" spans="2:3">
      <c r="B83" s="317" t="s">
        <v>1514</v>
      </c>
      <c r="C83" s="318">
        <f ca="1">ROUND(C13/C40,3)</f>
        <v>0.38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3110</v>
      </c>
      <c r="D1" s="1819" t="s">
        <v>70</v>
      </c>
      <c r="E1" s="1820" t="s">
        <v>1387</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#N/A</v>
      </c>
      <c r="C2" s="1844" t="s">
        <v>1591</v>
      </c>
      <c r="D2" s="1937" t="e">
        <f ca="1">C40+J29+L46</f>
        <v>#N/A</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t="e">
        <f ca="1">C6+C10+C12</f>
        <v>#N/A</v>
      </c>
      <c r="D5" s="1821" t="s">
        <v>1601</v>
      </c>
      <c r="E5" s="1293"/>
      <c r="F5" s="1294"/>
      <c r="G5" s="1850"/>
      <c r="H5" s="344">
        <v>1</v>
      </c>
      <c r="I5" s="345" t="s">
        <v>1600</v>
      </c>
      <c r="J5" s="1292" t="e">
        <f ca="1">J6+J10+J12</f>
        <v>#N/A</v>
      </c>
      <c r="K5" s="1821" t="s">
        <v>1601</v>
      </c>
      <c r="L5" s="1293"/>
      <c r="M5" s="1294"/>
    </row>
    <row r="6" spans="1:37" ht="18" customHeight="1">
      <c r="A6" s="1291" t="s">
        <v>1035</v>
      </c>
      <c r="B6" s="3230" t="s">
        <v>1403</v>
      </c>
      <c r="C6" s="1296" t="e">
        <f ca="1">ROUND(F6*F8*F7*(1-F9),0)</f>
        <v>#N/A</v>
      </c>
      <c r="D6" s="164" t="s">
        <v>3026</v>
      </c>
      <c r="E6" s="347" t="s">
        <v>1405</v>
      </c>
      <c r="F6" s="348" t="e">
        <f ca="1">INDIRECT("'数据-取费表'!u"&amp;$G$1)</f>
        <v>#N/A</v>
      </c>
      <c r="G6" s="1850"/>
      <c r="H6" s="1291" t="s">
        <v>1035</v>
      </c>
      <c r="I6" s="3230" t="s">
        <v>1403</v>
      </c>
      <c r="J6" s="346" t="e">
        <f ca="1">ROUND(M6*M8*M7*(1-M9),0)</f>
        <v>#N/A</v>
      </c>
      <c r="K6" s="1833" t="s">
        <v>3027</v>
      </c>
      <c r="L6" s="347" t="s">
        <v>1405</v>
      </c>
      <c r="M6" s="348" t="e">
        <f ca="1">INDIRECT("'数据-取费表'!z"&amp;$G$1)</f>
        <v>#N/A</v>
      </c>
    </row>
    <row r="7" spans="1:37" ht="18" customHeight="1">
      <c r="A7" s="1295"/>
      <c r="B7" s="3231"/>
      <c r="C7" s="1297"/>
      <c r="D7" s="352"/>
      <c r="E7" s="1298" t="s">
        <v>1406</v>
      </c>
      <c r="F7" s="348" t="e">
        <f ca="1">IF(INDIRECT("'数据-取费表'!ah"&amp;$G$1)="",INDIRECT("'数据-取费表'!k"&amp;$G$1),INDIRECT("'数据-取费表'!ah"&amp;$G$1))</f>
        <v>#N/A</v>
      </c>
      <c r="G7" s="1850"/>
      <c r="H7" s="349"/>
      <c r="I7" s="3231"/>
      <c r="J7" s="351"/>
      <c r="K7" s="352"/>
      <c r="L7" s="347" t="s">
        <v>1406</v>
      </c>
      <c r="M7" s="348" t="e">
        <f ca="1">F7</f>
        <v>#N/A</v>
      </c>
    </row>
    <row r="8" spans="1:37" ht="18" customHeight="1">
      <c r="A8" s="349"/>
      <c r="B8" s="3231"/>
      <c r="C8" s="351"/>
      <c r="D8" s="352"/>
      <c r="E8" s="347" t="s">
        <v>1407</v>
      </c>
      <c r="F8" s="348" t="e">
        <f ca="1">INDIRECT("'数据-取费表'!ai"&amp;$G$1)</f>
        <v>#N/A</v>
      </c>
      <c r="G8" s="1850"/>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0"/>
      <c r="H9" s="349"/>
      <c r="I9" s="3232"/>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3037</v>
      </c>
      <c r="E10" s="358" t="s">
        <v>1410</v>
      </c>
      <c r="F10" s="1366" t="s">
        <v>3117</v>
      </c>
      <c r="G10" s="1850"/>
      <c r="H10" s="1291" t="s">
        <v>1039</v>
      </c>
      <c r="I10" s="1822" t="s">
        <v>1409</v>
      </c>
      <c r="J10" s="346">
        <f ca="1">ROUND(IF(M10="押一",J6/12*M11,IF(M10="押二",J6/12*2*M11,IF(M10="押三",J6/12*3*M11,J11*M11))),0)</f>
        <v>0</v>
      </c>
      <c r="K10" s="1834" t="s">
        <v>3039</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ROUND(INDIRECT("'数据-取费表'!l"&amp;$G$1)*F43+'数据-取费表'!L14*INDIRECT("'数据-取费表'!S"&amp;$G$1),0)</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0.05</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ROUND(INDIRECT("'数据-取费表'!l"&amp;$G$1)*F43*F16,0)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ROUND(F17*(F43+INDIRECT("'数据-取费表'!S"&amp;$G$1)),0)</f>
        <v>#N/A</v>
      </c>
      <c r="D17" s="347" t="s">
        <v>1427</v>
      </c>
      <c r="E17" s="347" t="s">
        <v>1428</v>
      </c>
      <c r="F17" s="26">
        <f>'数据-取费表'!B35</f>
        <v>200</v>
      </c>
      <c r="G17" s="1853"/>
      <c r="H17" s="1201" t="s">
        <v>1035</v>
      </c>
      <c r="I17" s="347" t="s">
        <v>1429</v>
      </c>
      <c r="J17" s="24" t="e">
        <f ca="1">ROUND(IF(项目基本情况!B11="自然人",J5*M17,J18+J19+J20),0)</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ROUND(J5*M18/(1+'数据-取费表'!C42),0)</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IF(K19="按租金收入计税",ROUND(J5*M19,0),ROUND(C29*M19*0.7,0))</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0.02</v>
      </c>
      <c r="G20" s="1853"/>
      <c r="H20" s="1201" t="s">
        <v>1389</v>
      </c>
      <c r="I20" s="164" t="s">
        <v>1441</v>
      </c>
      <c r="J20" s="25" t="e">
        <f ca="1">ROUND(M20*M21,0)</f>
        <v>#N/A</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0.03</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t="e">
        <f ca="1">ROUND(J14*M22,0)</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t="e">
        <f ca="1">ROUND(J13*M23,0)</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t="e">
        <f ca="1">ROUND(J5*M24,0)</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ht="18" customHeight="1">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5"/>
      <c r="I30" s="746"/>
      <c r="J30" s="747"/>
      <c r="K30" s="748"/>
      <c r="L30" s="749"/>
      <c r="M30" s="750"/>
    </row>
    <row r="31" spans="1:37" ht="18" customHeight="1">
      <c r="A31" s="1201" t="s">
        <v>1035</v>
      </c>
      <c r="B31" s="347" t="s">
        <v>1429</v>
      </c>
      <c r="C31" s="24" t="e">
        <f ca="1">ROUND(IF(项目基本情况!B11="自然人",C5*F31,C32+C33+C34),0)</f>
        <v>#N/A</v>
      </c>
      <c r="D31" s="1799" t="s">
        <v>1430</v>
      </c>
      <c r="E31" s="1797" t="s">
        <v>1481</v>
      </c>
      <c r="F31" s="368" t="e">
        <f ca="1">IF(项目基本情况!B11="企业","",IF(INDIRECT("'数据-取费表'!c"&amp;$G$1)="住宅",5%,IF(F6*F7*F8/12/(1+'数据-取费表'!C42)&gt;20000,12%,7%)))</f>
        <v>#N/A</v>
      </c>
      <c r="G31" s="1850"/>
      <c r="H31" s="745"/>
      <c r="I31" s="746"/>
      <c r="J31" s="747"/>
      <c r="K31" s="748"/>
      <c r="L31" s="749"/>
      <c r="M31" s="750"/>
    </row>
    <row r="32" spans="1:37" ht="18" customHeight="1">
      <c r="A32" s="1201" t="s">
        <v>1034</v>
      </c>
      <c r="B32" s="347" t="s">
        <v>1433</v>
      </c>
      <c r="C32" s="24" t="e">
        <f ca="1">IF(项目基本情况!B11="自然人","——",ROUND(C5*F32/(1+'数据-取费表'!C42),0))</f>
        <v>#N/A</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t="e">
        <f ca="1">IF(项目基本情况!B11="自然人","——",IF(D33="按租金收入计税",ROUND(C5*F33,0),IF(D33="按房产原值计税",ROUND(C29*F33*0.7,0),INDIRECT("'数据-取费表'!Aj"&amp;$G$1))))</f>
        <v>#N/A</v>
      </c>
      <c r="D33" s="1827" t="s">
        <v>3113</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f>
        <v>#N/A</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t="e">
        <f ca="1">INDIRECT("'数据-取费表'!r"&amp;$G$1)</f>
        <v>#N/A</v>
      </c>
      <c r="G35" s="1850"/>
      <c r="H35" s="745"/>
      <c r="I35" s="1859"/>
      <c r="J35" s="1860"/>
      <c r="K35" s="1861"/>
      <c r="L35" s="1858"/>
      <c r="M35" s="1858"/>
    </row>
    <row r="36" spans="1:18" ht="18" customHeight="1">
      <c r="A36" s="1352" t="s">
        <v>1039</v>
      </c>
      <c r="B36" s="347" t="s">
        <v>1449</v>
      </c>
      <c r="C36" s="24" t="e">
        <f ca="1">ROUND(C29*F36,0)</f>
        <v>#N/A</v>
      </c>
      <c r="D36" s="1797" t="s">
        <v>1482</v>
      </c>
      <c r="E36" s="347" t="s">
        <v>1422</v>
      </c>
      <c r="F36" s="374" t="e">
        <f ca="1">INDIRECT("'数据-取费表'!Ak"&amp;$G$1)</f>
        <v>#N/A</v>
      </c>
      <c r="G36" s="1850"/>
      <c r="H36" s="1858"/>
      <c r="I36" s="1859"/>
      <c r="J36" s="1860"/>
      <c r="K36" s="751"/>
      <c r="L36" s="1858"/>
      <c r="M36" s="1858"/>
    </row>
    <row r="37" spans="1:18" ht="18" customHeight="1">
      <c r="A37" s="1201" t="s">
        <v>1075</v>
      </c>
      <c r="B37" s="347" t="s">
        <v>1453</v>
      </c>
      <c r="C37" s="24" t="e">
        <f ca="1">ROUND(C13*F37,0)</f>
        <v>#N/A</v>
      </c>
      <c r="D37" s="1797" t="s">
        <v>1454</v>
      </c>
      <c r="E37" s="347" t="s">
        <v>1455</v>
      </c>
      <c r="F37" s="376" t="e">
        <f ca="1">INDIRECT("'数据-取费表'!Al"&amp;$G$1)</f>
        <v>#N/A</v>
      </c>
      <c r="G37" s="1850"/>
      <c r="H37" s="1858"/>
      <c r="I37" s="1859"/>
      <c r="J37" s="1860"/>
      <c r="K37" s="751"/>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1477</v>
      </c>
      <c r="F42" s="357" t="e">
        <f ca="1">INDIRECT("'数据-取费表'!v"&amp;$G$1)</f>
        <v>#N/A</v>
      </c>
      <c r="G42" s="1850"/>
      <c r="H42" s="732"/>
      <c r="I42" s="1859"/>
      <c r="J42" s="1860"/>
      <c r="K42" s="751"/>
      <c r="L42" s="732"/>
      <c r="M42" s="732"/>
    </row>
    <row r="43" spans="1:18" ht="18" customHeight="1" thickBot="1">
      <c r="A43" s="380" t="s">
        <v>1033</v>
      </c>
      <c r="B43" s="381" t="s">
        <v>1487</v>
      </c>
      <c r="C43" s="382" t="e">
        <f ca="1">ROUND(C40/F43,0)</f>
        <v>#N/A</v>
      </c>
      <c r="D43" s="383" t="s">
        <v>1488</v>
      </c>
      <c r="E43" s="384" t="s">
        <v>1489</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1604</v>
      </c>
      <c r="E45" s="1865"/>
      <c r="F45" s="1865"/>
      <c r="O45" s="1868" t="s">
        <v>1519</v>
      </c>
      <c r="P45" s="1838"/>
      <c r="Q45" s="1838"/>
      <c r="R45" s="1838"/>
    </row>
    <row r="46" spans="1:18" s="1841" customFormat="1" ht="13.5" thickBot="1">
      <c r="A46" s="1869" t="s">
        <v>1520</v>
      </c>
      <c r="C46" s="1870" t="e">
        <f ca="1">ROUND(C45/10000,0)</f>
        <v>#N/A</v>
      </c>
      <c r="D46" s="1871" t="str">
        <f>C2</f>
        <v>万元</v>
      </c>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92"/>
      <c r="I47" s="1879" t="s">
        <v>1526</v>
      </c>
      <c r="J47" s="1880" t="s">
        <v>3111</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92"/>
      <c r="H48" s="793"/>
      <c r="I48" s="1886" t="s">
        <v>1530</v>
      </c>
      <c r="J48" s="1887" t="s">
        <v>3112</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ROUND(F49*F51*F50*(1-F52),0)</f>
        <v>#N/A</v>
      </c>
      <c r="D49" s="1276" t="s">
        <v>1404</v>
      </c>
      <c r="E49" s="1829" t="s">
        <v>1491</v>
      </c>
      <c r="F49" s="1281"/>
      <c r="G49" s="1890"/>
      <c r="H49" s="793"/>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199"/>
      <c r="D50" s="1172"/>
      <c r="E50" s="1277" t="s">
        <v>1406</v>
      </c>
      <c r="F50" s="1278" t="e">
        <f ca="1">F7</f>
        <v>#N/A</v>
      </c>
      <c r="H50" s="793"/>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30.75" customHeight="1" thickBot="1">
      <c r="A53" s="1361" t="s">
        <v>1137</v>
      </c>
      <c r="B53" s="369" t="s">
        <v>1409</v>
      </c>
      <c r="C53" s="361">
        <f ca="1">ROUND(IF(F53="押一",C49/12*F11,IF(F53="押二",C49/12*2*F11,IF(F53="押三",C49/12*3*F11,C54*F11))),0)</f>
        <v>0</v>
      </c>
      <c r="D53" s="1823" t="s">
        <v>3040</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228" t="s">
        <v>1548</v>
      </c>
      <c r="L53" s="3229"/>
      <c r="O53" s="1883" t="s">
        <v>1046</v>
      </c>
      <c r="P53" s="1884" t="s">
        <v>1549</v>
      </c>
      <c r="Q53" s="1885" t="e">
        <f ca="1">Q47+Q48</f>
        <v>#N/A</v>
      </c>
      <c r="R53" s="1885" t="s">
        <v>1047</v>
      </c>
    </row>
    <row r="54" spans="1:18" s="1841" customFormat="1" ht="13.5" thickBot="1">
      <c r="A54" s="1194"/>
      <c r="B54" s="1940" t="s">
        <v>1603</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c r="O55" s="1876" t="s">
        <v>1522</v>
      </c>
      <c r="P55" s="1877" t="s">
        <v>1523</v>
      </c>
      <c r="Q55" s="1878" t="s">
        <v>1524</v>
      </c>
      <c r="R55" s="1878" t="s">
        <v>1525</v>
      </c>
    </row>
    <row r="56" spans="1:18" s="1841" customFormat="1" ht="36" customHeight="1" thickTop="1" thickBot="1">
      <c r="A56" s="1176">
        <v>2</v>
      </c>
      <c r="B56" s="1177" t="s">
        <v>1414</v>
      </c>
      <c r="C56" s="276" t="e">
        <f ca="1">C13</f>
        <v>#N/A</v>
      </c>
      <c r="D56" s="1913"/>
      <c r="E56" s="1914"/>
      <c r="F56" s="1906"/>
      <c r="I56" s="1915" t="s">
        <v>1554</v>
      </c>
      <c r="J56" s="1916" t="s">
        <v>3069</v>
      </c>
      <c r="K56" s="1886" t="s">
        <v>1555</v>
      </c>
      <c r="L56" s="1889" t="e">
        <f ca="1">IF(L48&lt;J51,"——",L48-J51)</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1605</v>
      </c>
      <c r="L57" s="1889" t="e">
        <f ca="1">IF(L48&lt;J51,"——",IF(L55="比较法",L49,IF(L55="基准地价",L50,L51)))</f>
        <v>#N/A</v>
      </c>
      <c r="O57" s="1883" t="s">
        <v>1041</v>
      </c>
      <c r="P57" s="1884" t="s">
        <v>1606</v>
      </c>
      <c r="Q57" s="1885" t="e">
        <f ca="1">L60</f>
        <v>#N/A</v>
      </c>
      <c r="R57" s="1885" t="s">
        <v>1607</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1608</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ROUND(IF(项目基本情况!B11="自然人",C48*F59,C60+C61+C62),0)</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IF(项目基本情况!B11="自然人","——",ROUND(C48*F60/(1+'数据-取费表'!C42),0))</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IF(项目基本情况!B11="自然人","——",IF(D61="按租金收入计税",ROUND(C48*F61,0),IF(D61="按房产原值计税",ROUND(C57*F61*0.7,0),INDIRECT("'数据-取费表'!Aj"&amp;$G$1))))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IF(项目基本情况!B11="自然人","——",ROUND(F62*F63,0))</f>
        <v>#N/A</v>
      </c>
      <c r="D62" s="1184" t="s">
        <v>1497</v>
      </c>
      <c r="E62" s="1169" t="s">
        <v>1498</v>
      </c>
      <c r="F62" s="371">
        <f t="shared" si="0"/>
        <v>12</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ROUND(C57*F64,0)</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ROUND(C56*F65,0)</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ROUND(C48*F66,0)</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t="e">
        <f ca="1">F42</f>
        <v>#N/A</v>
      </c>
      <c r="O70" s="1893" t="s">
        <v>1049</v>
      </c>
      <c r="P70" s="1933" t="s">
        <v>1585</v>
      </c>
      <c r="Q70" s="1885" t="e">
        <f ca="1">C13</f>
        <v>#N/A</v>
      </c>
      <c r="R70" s="1885" t="s">
        <v>1529</v>
      </c>
    </row>
    <row r="71" spans="1:18" s="1841" customFormat="1" ht="13.5" thickBot="1">
      <c r="A71" s="1190" t="s">
        <v>1033</v>
      </c>
      <c r="B71" s="1191" t="s">
        <v>1487</v>
      </c>
      <c r="C71" s="382" t="e">
        <f ca="1">ROUND(C68/F71,0)</f>
        <v>#N/A</v>
      </c>
      <c r="D71" s="1192" t="s">
        <v>1488</v>
      </c>
      <c r="E71" s="1193" t="s">
        <v>1489</v>
      </c>
      <c r="F71" s="385" t="e">
        <f ca="1">F43</f>
        <v>#N/A</v>
      </c>
      <c r="O71" s="1893" t="s">
        <v>1050</v>
      </c>
      <c r="P71" s="1933" t="s">
        <v>1586</v>
      </c>
      <c r="Q71" s="1896" t="e">
        <f ca="1">C76</f>
        <v>#N/A</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1" t="s">
        <v>1079</v>
      </c>
      <c r="E2" s="1301" t="s">
        <v>1080</v>
      </c>
      <c r="F2" s="1301" t="s">
        <v>1081</v>
      </c>
      <c r="G2" s="1301" t="s">
        <v>1082</v>
      </c>
      <c r="H2" s="1301" t="s">
        <v>1083</v>
      </c>
      <c r="I2" s="1302" t="s">
        <v>1084</v>
      </c>
    </row>
    <row r="3" spans="1:9">
      <c r="A3" s="3239"/>
      <c r="B3" s="3240" t="s">
        <v>1085</v>
      </c>
      <c r="C3" s="3240"/>
      <c r="D3" s="1303"/>
      <c r="E3" s="1301"/>
      <c r="F3" s="1304"/>
      <c r="G3" s="1304"/>
      <c r="H3" s="1305"/>
      <c r="I3" s="1306">
        <f>ROUND(D3*E3*F3*G3*H3/10000,0)</f>
        <v>0</v>
      </c>
    </row>
    <row r="4" spans="1:9">
      <c r="A4" s="3239"/>
      <c r="B4" s="3240" t="s">
        <v>1086</v>
      </c>
      <c r="C4" s="3240"/>
      <c r="D4" s="1303"/>
      <c r="E4" s="1301"/>
      <c r="F4" s="1304"/>
      <c r="G4" s="1304"/>
      <c r="H4" s="1305"/>
      <c r="I4" s="1306">
        <f t="shared" ref="I4:I9" si="0">ROUND(D4*E4*F4*G4*H4/10000,0)</f>
        <v>0</v>
      </c>
    </row>
    <row r="5" spans="1:9">
      <c r="A5" s="3239"/>
      <c r="B5" s="3240" t="s">
        <v>1087</v>
      </c>
      <c r="C5" s="3240"/>
      <c r="D5" s="1303"/>
      <c r="E5" s="1301"/>
      <c r="F5" s="1304"/>
      <c r="G5" s="1304"/>
      <c r="H5" s="1305"/>
      <c r="I5" s="1306">
        <f t="shared" si="0"/>
        <v>0</v>
      </c>
    </row>
    <row r="6" spans="1:9">
      <c r="A6" s="3239"/>
      <c r="B6" s="3240" t="s">
        <v>1088</v>
      </c>
      <c r="C6" s="3240"/>
      <c r="D6" s="1303"/>
      <c r="E6" s="1301"/>
      <c r="F6" s="1304"/>
      <c r="G6" s="1304"/>
      <c r="H6" s="1305"/>
      <c r="I6" s="1306">
        <f t="shared" si="0"/>
        <v>0</v>
      </c>
    </row>
    <row r="7" spans="1:9">
      <c r="A7" s="3239"/>
      <c r="B7" s="3240" t="s">
        <v>1089</v>
      </c>
      <c r="C7" s="3240"/>
      <c r="D7" s="1303"/>
      <c r="E7" s="1301"/>
      <c r="F7" s="1304"/>
      <c r="G7" s="1304"/>
      <c r="H7" s="1305"/>
      <c r="I7" s="1306">
        <f t="shared" si="0"/>
        <v>0</v>
      </c>
    </row>
    <row r="8" spans="1:9">
      <c r="A8" s="3239"/>
      <c r="B8" s="3240" t="s">
        <v>1090</v>
      </c>
      <c r="C8" s="3240"/>
      <c r="D8" s="1303"/>
      <c r="E8" s="1301"/>
      <c r="F8" s="1304"/>
      <c r="G8" s="1304"/>
      <c r="H8" s="1305"/>
      <c r="I8" s="1306">
        <f t="shared" si="0"/>
        <v>0</v>
      </c>
    </row>
    <row r="9" spans="1:9">
      <c r="A9" s="3239"/>
      <c r="B9" s="3240" t="s">
        <v>1091</v>
      </c>
      <c r="C9" s="3240"/>
      <c r="D9" s="1303"/>
      <c r="E9" s="1301"/>
      <c r="F9" s="1304"/>
      <c r="G9" s="1304"/>
      <c r="H9" s="1305"/>
      <c r="I9" s="1306">
        <f t="shared" si="0"/>
        <v>0</v>
      </c>
    </row>
    <row r="10" spans="1:9">
      <c r="A10" s="3239"/>
      <c r="B10" s="3241" t="s">
        <v>1092</v>
      </c>
      <c r="C10" s="3241"/>
      <c r="D10" s="1307"/>
      <c r="E10" s="1307" t="e">
        <f>ROUND(D1*10000/D10/H9,0)</f>
        <v>#DIV/0!</v>
      </c>
      <c r="F10" s="1308"/>
      <c r="G10" s="1308"/>
      <c r="H10" s="1309"/>
      <c r="I10" s="1310">
        <f>SUM(I3:I9)</f>
        <v>0</v>
      </c>
    </row>
    <row r="11" spans="1:9" ht="14.25">
      <c r="A11" s="3239" t="s">
        <v>1093</v>
      </c>
      <c r="B11" s="3240" t="s">
        <v>1094</v>
      </c>
      <c r="C11" s="3240"/>
      <c r="D11" s="1303" t="s">
        <v>1095</v>
      </c>
      <c r="E11" s="1303" t="s">
        <v>1096</v>
      </c>
      <c r="F11" s="1304" t="s">
        <v>1097</v>
      </c>
      <c r="G11" s="1304" t="s">
        <v>1083</v>
      </c>
      <c r="H11" s="1311" t="s">
        <v>1098</v>
      </c>
      <c r="I11" s="1302" t="s">
        <v>1084</v>
      </c>
    </row>
    <row r="12" spans="1:9">
      <c r="A12" s="3239"/>
      <c r="B12" s="3240" t="s">
        <v>1099</v>
      </c>
      <c r="C12" s="3240"/>
      <c r="D12" s="1303"/>
      <c r="E12" s="1303"/>
      <c r="F12" s="1304"/>
      <c r="G12" s="1305"/>
      <c r="H12" s="1312"/>
      <c r="I12" s="1302">
        <f>ROUND(D12*E12*F12*G12/10000,0)</f>
        <v>0</v>
      </c>
    </row>
    <row r="13" spans="1:9">
      <c r="A13" s="3239"/>
      <c r="B13" s="3240" t="s">
        <v>1100</v>
      </c>
      <c r="C13" s="3240"/>
      <c r="D13" s="1303"/>
      <c r="E13" s="1303"/>
      <c r="F13" s="1304"/>
      <c r="G13" s="1305"/>
      <c r="H13" s="1312"/>
      <c r="I13" s="1302">
        <f>ROUND(D13*E13*F13*G13/10000,0)</f>
        <v>0</v>
      </c>
    </row>
    <row r="14" spans="1:9">
      <c r="A14" s="3239"/>
      <c r="B14" s="3240" t="s">
        <v>1101</v>
      </c>
      <c r="C14" s="3240"/>
      <c r="D14" s="1303"/>
      <c r="E14" s="1303"/>
      <c r="F14" s="1304"/>
      <c r="G14" s="1305"/>
      <c r="H14" s="1312"/>
      <c r="I14" s="1302">
        <f>ROUND(D14*E14*F14*G14/10000,0)</f>
        <v>0</v>
      </c>
    </row>
    <row r="15" spans="1:9">
      <c r="A15" s="3239"/>
      <c r="B15" s="3241" t="s">
        <v>1092</v>
      </c>
      <c r="C15" s="3241"/>
      <c r="D15" s="1307"/>
      <c r="E15" s="1307">
        <f>SUM(E12:E14)</f>
        <v>0</v>
      </c>
      <c r="F15" s="1308"/>
      <c r="G15" s="1305"/>
      <c r="H15" s="1312"/>
      <c r="I15" s="1313">
        <f>SUM(I12:I14)</f>
        <v>0</v>
      </c>
    </row>
    <row r="16" spans="1:9" ht="24">
      <c r="A16" s="3239" t="s">
        <v>1102</v>
      </c>
      <c r="B16" s="3240" t="s">
        <v>1103</v>
      </c>
      <c r="C16" s="3240"/>
      <c r="D16" s="1303" t="s">
        <v>1079</v>
      </c>
      <c r="E16" s="1314" t="s">
        <v>1104</v>
      </c>
      <c r="F16" s="1304" t="s">
        <v>1105</v>
      </c>
      <c r="G16" s="1305" t="s">
        <v>1083</v>
      </c>
      <c r="H16" s="1311" t="s">
        <v>1098</v>
      </c>
      <c r="I16" s="1302" t="s">
        <v>1084</v>
      </c>
    </row>
    <row r="17" spans="1:9" ht="14.25">
      <c r="A17" s="3239"/>
      <c r="B17" s="3240" t="s">
        <v>1106</v>
      </c>
      <c r="C17" s="3240"/>
      <c r="D17" s="1303"/>
      <c r="E17" s="1303"/>
      <c r="F17" s="1304"/>
      <c r="G17" s="1305"/>
      <c r="H17" s="1315"/>
      <c r="I17" s="1316">
        <f>ROUND(D17*E17*F17*G17/10000,0)</f>
        <v>0</v>
      </c>
    </row>
    <row r="18" spans="1:9" ht="14.25">
      <c r="A18" s="3239"/>
      <c r="B18" s="3240" t="s">
        <v>1107</v>
      </c>
      <c r="C18" s="3240"/>
      <c r="D18" s="1303"/>
      <c r="E18" s="1303"/>
      <c r="F18" s="1304"/>
      <c r="G18" s="1305"/>
      <c r="H18" s="1315"/>
      <c r="I18" s="1316">
        <f>ROUND(D18*E18*F18*G18/10000,0)</f>
        <v>0</v>
      </c>
    </row>
    <row r="19" spans="1:9" ht="14.25">
      <c r="A19" s="3239"/>
      <c r="B19" s="3240" t="s">
        <v>1108</v>
      </c>
      <c r="C19" s="3240"/>
      <c r="D19" s="1303"/>
      <c r="E19" s="1303"/>
      <c r="F19" s="1304"/>
      <c r="G19" s="1305"/>
      <c r="H19" s="1315"/>
      <c r="I19" s="1316">
        <f>ROUND(D19*E19*F19*G19/10000,0)</f>
        <v>0</v>
      </c>
    </row>
    <row r="20" spans="1:9">
      <c r="A20" s="3239"/>
      <c r="B20" s="3241" t="s">
        <v>1092</v>
      </c>
      <c r="C20" s="3241"/>
      <c r="D20" s="1307">
        <f>SUM(D17:D19)</f>
        <v>0</v>
      </c>
      <c r="E20" s="1307"/>
      <c r="F20" s="1308"/>
      <c r="G20" s="1305"/>
      <c r="H20" s="1312"/>
      <c r="I20" s="1313">
        <f>SUM(I17:I19)</f>
        <v>0</v>
      </c>
    </row>
    <row r="21" spans="1:9">
      <c r="A21" s="3239" t="s">
        <v>1109</v>
      </c>
      <c r="B21" s="3242"/>
      <c r="C21" s="3242"/>
      <c r="D21" s="3242"/>
      <c r="E21" s="3242"/>
      <c r="F21" s="3242"/>
      <c r="G21" s="3242"/>
      <c r="H21" s="1764">
        <v>0.1</v>
      </c>
      <c r="I21" s="1310">
        <f>ROUND(I10*H21,0)</f>
        <v>0</v>
      </c>
    </row>
    <row r="22" spans="1:9" ht="14.25">
      <c r="A22" s="3243" t="s">
        <v>1110</v>
      </c>
      <c r="B22" s="3244"/>
      <c r="C22" s="3245"/>
      <c r="D22" s="1317" t="s">
        <v>1111</v>
      </c>
      <c r="E22" s="1317" t="s">
        <v>1112</v>
      </c>
      <c r="F22" s="1318" t="s">
        <v>1113</v>
      </c>
      <c r="G22" s="1318" t="s">
        <v>1114</v>
      </c>
      <c r="H22" s="1311" t="s">
        <v>1115</v>
      </c>
      <c r="I22" s="1302" t="s">
        <v>1116</v>
      </c>
    </row>
    <row r="23" spans="1:9" ht="14.25" thickBot="1">
      <c r="A23" s="3246"/>
      <c r="B23" s="3247"/>
      <c r="C23" s="3248"/>
      <c r="D23" s="1319"/>
      <c r="E23" s="1319"/>
      <c r="F23" s="1319"/>
      <c r="G23" s="1320"/>
      <c r="H23" s="1321"/>
      <c r="I23" s="1322">
        <f>ROUND(E23*D23*F23*(1-G23)/10000,0)</f>
        <v>0</v>
      </c>
    </row>
    <row r="26" spans="1:9">
      <c r="A26" s="1323" t="s">
        <v>1117</v>
      </c>
      <c r="B26" s="1323"/>
      <c r="C26" s="1323"/>
      <c r="D26" s="1323"/>
      <c r="E26" s="3236">
        <f>C27-C30-C31-C32</f>
        <v>0</v>
      </c>
      <c r="F26" s="3236"/>
      <c r="G26" s="3236"/>
      <c r="H26" s="1736" t="s">
        <v>1340</v>
      </c>
    </row>
    <row r="27" spans="1:9">
      <c r="A27" s="1324">
        <v>1</v>
      </c>
      <c r="B27" s="1325" t="s">
        <v>1118</v>
      </c>
      <c r="C27" s="1325">
        <f>C28+C29</f>
        <v>0</v>
      </c>
      <c r="D27" s="1325"/>
      <c r="E27" s="3237"/>
      <c r="F27" s="3237"/>
      <c r="G27" s="3237"/>
    </row>
    <row r="28" spans="1:9">
      <c r="A28" s="1326" t="s">
        <v>1119</v>
      </c>
      <c r="B28" s="1325" t="s">
        <v>1120</v>
      </c>
      <c r="C28" s="1325"/>
      <c r="D28" s="1325"/>
      <c r="E28" s="3237"/>
      <c r="F28" s="3237"/>
      <c r="G28" s="323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8"/>
      <c r="F32" s="3238"/>
      <c r="G32" s="3238"/>
    </row>
    <row r="33" spans="1:7" hidden="1">
      <c r="A33" s="3233" t="s">
        <v>1129</v>
      </c>
      <c r="B33" s="3234"/>
      <c r="C33" s="3234"/>
      <c r="D33" s="3235"/>
      <c r="E33" s="3236"/>
      <c r="F33" s="3236"/>
      <c r="G33" s="3236"/>
    </row>
    <row r="34" spans="1:7" hidden="1">
      <c r="A34" s="1328">
        <v>1</v>
      </c>
      <c r="B34" s="1325" t="s">
        <v>1130</v>
      </c>
      <c r="C34" s="1325"/>
      <c r="D34" s="1325"/>
      <c r="E34" s="3237"/>
      <c r="F34" s="3237"/>
      <c r="G34" s="3237"/>
    </row>
    <row r="35" spans="1:7" hidden="1">
      <c r="A35" s="1328">
        <v>2</v>
      </c>
      <c r="B35" s="1325" t="s">
        <v>1131</v>
      </c>
      <c r="C35" s="1325"/>
      <c r="D35" s="1325"/>
      <c r="E35" s="3237"/>
      <c r="F35" s="3237"/>
      <c r="G35" s="3237"/>
    </row>
    <row r="36" spans="1:7" hidden="1">
      <c r="A36" s="1328">
        <v>3</v>
      </c>
      <c r="B36" s="1325" t="s">
        <v>1132</v>
      </c>
      <c r="C36" s="1325"/>
      <c r="D36" s="1325"/>
      <c r="E36" s="3237"/>
      <c r="F36" s="3237"/>
      <c r="G36" s="3237"/>
    </row>
    <row r="37" spans="1:7" hidden="1">
      <c r="A37" s="1328">
        <v>4</v>
      </c>
      <c r="B37" s="1325" t="s">
        <v>1133</v>
      </c>
      <c r="C37" s="1325"/>
      <c r="D37" s="1325"/>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0" t="s">
        <v>2525</v>
      </c>
      <c r="C1" s="1633" t="s">
        <v>2526</v>
      </c>
      <c r="D1" s="1620"/>
      <c r="E1" s="2581"/>
      <c r="F1" s="2582" t="s">
        <v>2527</v>
      </c>
      <c r="G1" s="1630" t="s">
        <v>2528</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4"/>
      <c r="D2" s="1365" t="e">
        <f ca="1">SUMIF(INDIRECT("'"&amp;F2&amp;"'"&amp;"!A:A"),"承租人权益价值",INDIRECT("'"&amp;F2&amp;"'"&amp;"!c:c"))</f>
        <v>#REF!</v>
      </c>
      <c r="E2" s="2585" t="s">
        <v>2529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2530</v>
      </c>
      <c r="D3" s="399">
        <f>IF(D1="",'数据-汇总表'!E3,SUMIF('数据-汇总表'!$C19:$C33,D1,'数据-汇总表'!$E19:$E33))</f>
        <v>164273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2531</v>
      </c>
      <c r="B4" s="402"/>
      <c r="C4" s="3187" t="s">
        <v>2532</v>
      </c>
      <c r="D4" s="3200"/>
      <c r="E4" s="3201" t="s">
        <v>2533</v>
      </c>
      <c r="F4" s="3202"/>
      <c r="G4" s="3187" t="s">
        <v>2534</v>
      </c>
      <c r="H4" s="3200"/>
      <c r="I4" s="3187" t="s">
        <v>2535</v>
      </c>
      <c r="J4" s="3200"/>
      <c r="K4" s="2594" t="s">
        <v>2536</v>
      </c>
      <c r="L4" s="1130"/>
      <c r="M4" s="1131"/>
      <c r="N4" s="1131"/>
      <c r="O4" s="1131"/>
      <c r="P4" s="3203" t="s">
        <v>2537</v>
      </c>
      <c r="Q4" s="3204"/>
      <c r="R4" s="3209" t="s">
        <v>2533</v>
      </c>
      <c r="S4" s="3210"/>
      <c r="T4" s="3209" t="s">
        <v>2534</v>
      </c>
      <c r="U4" s="3210"/>
      <c r="V4" s="3196" t="s">
        <v>2535</v>
      </c>
      <c r="W4" s="3196"/>
      <c r="X4" s="1812"/>
      <c r="Y4" s="3209" t="s">
        <v>2537</v>
      </c>
      <c r="Z4" s="3210"/>
      <c r="AA4" s="3197" t="s">
        <v>2533</v>
      </c>
      <c r="AB4" s="3197" t="s">
        <v>2534</v>
      </c>
      <c r="AC4" s="3197" t="s">
        <v>2535</v>
      </c>
    </row>
    <row r="5" spans="1:29" ht="15">
      <c r="A5" s="404"/>
      <c r="B5" s="405"/>
      <c r="C5" s="3217" t="s">
        <v>2538</v>
      </c>
      <c r="D5" s="3218"/>
      <c r="E5" s="3225" t="s">
        <v>2539</v>
      </c>
      <c r="F5" s="3226"/>
      <c r="G5" s="3217" t="s">
        <v>2540</v>
      </c>
      <c r="H5" s="3218"/>
      <c r="I5" s="3217" t="s">
        <v>2541</v>
      </c>
      <c r="J5" s="3218"/>
      <c r="K5" s="2595"/>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2542</v>
      </c>
      <c r="D6" s="3216"/>
      <c r="E6" s="3262" t="s">
        <v>2542</v>
      </c>
      <c r="F6" s="3224"/>
      <c r="G6" s="3222" t="s">
        <v>2542</v>
      </c>
      <c r="H6" s="3216"/>
      <c r="I6" s="3222" t="s">
        <v>2542</v>
      </c>
      <c r="J6" s="3216"/>
      <c r="K6" s="2595" t="s">
        <v>2543</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2544</v>
      </c>
      <c r="B7" s="409"/>
      <c r="C7" s="410">
        <f>'数据-取费表'!B2</f>
        <v>43324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9" t="s">
        <v>2545</v>
      </c>
      <c r="Q7" s="3221"/>
      <c r="R7" s="770" t="s">
        <v>23</v>
      </c>
      <c r="S7" s="771">
        <f t="shared" ref="S7:S15" si="0">F7</f>
        <v>0</v>
      </c>
      <c r="T7" s="770" t="s">
        <v>23</v>
      </c>
      <c r="U7" s="771">
        <f t="shared" ref="U7:U15" si="1">H7</f>
        <v>0</v>
      </c>
      <c r="V7" s="770" t="s">
        <v>23</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9" t="s">
        <v>2548</v>
      </c>
      <c r="Q8" s="3220"/>
      <c r="R8" s="770" t="s">
        <v>23</v>
      </c>
      <c r="S8" s="771">
        <f t="shared" si="0"/>
        <v>0</v>
      </c>
      <c r="T8" s="770" t="s">
        <v>23</v>
      </c>
      <c r="U8" s="771">
        <f t="shared" si="1"/>
        <v>0</v>
      </c>
      <c r="V8" s="770" t="s">
        <v>23</v>
      </c>
      <c r="W8" s="771">
        <f t="shared" si="2"/>
        <v>0</v>
      </c>
      <c r="X8" s="772"/>
      <c r="Y8" s="3219" t="s">
        <v>2548</v>
      </c>
      <c r="Z8" s="3220"/>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4"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4">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4">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4">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5">
      <c r="A15" s="440" t="s">
        <v>2555</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0" t="s">
        <v>2556</v>
      </c>
      <c r="Q15" s="1809" t="str">
        <f t="shared" si="6"/>
        <v>居住社区成熟度</v>
      </c>
      <c r="R15" s="774" t="s">
        <v>21</v>
      </c>
      <c r="S15" s="775">
        <f t="shared" si="0"/>
        <v>100</v>
      </c>
      <c r="T15" s="774" t="s">
        <v>21</v>
      </c>
      <c r="U15" s="775">
        <f t="shared" si="1"/>
        <v>100</v>
      </c>
      <c r="V15" s="774" t="s">
        <v>21</v>
      </c>
      <c r="W15" s="775">
        <f t="shared" si="2"/>
        <v>100</v>
      </c>
      <c r="X15" s="1812"/>
      <c r="Y15" s="3192" t="s">
        <v>2556</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1"/>
      <c r="Q16" s="1809"/>
      <c r="R16" s="774"/>
      <c r="S16" s="775"/>
      <c r="T16" s="774"/>
      <c r="U16" s="775"/>
      <c r="V16" s="774"/>
      <c r="W16" s="775"/>
      <c r="X16" s="1812"/>
      <c r="Y16" s="3193"/>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1"/>
      <c r="Q17" s="1809" t="str">
        <f>B17</f>
        <v>交通便捷度</v>
      </c>
      <c r="R17" s="774" t="s">
        <v>21</v>
      </c>
      <c r="S17" s="775">
        <f>F17</f>
        <v>100</v>
      </c>
      <c r="T17" s="774" t="s">
        <v>21</v>
      </c>
      <c r="U17" s="775">
        <f>H17</f>
        <v>100</v>
      </c>
      <c r="V17" s="774" t="s">
        <v>21</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1"/>
      <c r="Q18" s="1809"/>
      <c r="R18" s="774"/>
      <c r="S18" s="775"/>
      <c r="T18" s="774"/>
      <c r="U18" s="775"/>
      <c r="V18" s="774"/>
      <c r="W18" s="775"/>
      <c r="X18" s="1812"/>
      <c r="Y18" s="3193"/>
      <c r="Z18" s="1813"/>
      <c r="AA18" s="1810">
        <v>1</v>
      </c>
      <c r="AB18" s="1810">
        <v>1</v>
      </c>
      <c r="AC18" s="1810">
        <v>1</v>
      </c>
    </row>
    <row r="19" spans="1:29" ht="213.75">
      <c r="A19" s="428"/>
      <c r="B19" s="451" t="s">
        <v>2095</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1"/>
      <c r="Q19" s="1809" t="str">
        <f>B19</f>
        <v>公共配套设施</v>
      </c>
      <c r="R19" s="774" t="s">
        <v>21</v>
      </c>
      <c r="S19" s="775">
        <f>F19</f>
        <v>100</v>
      </c>
      <c r="T19" s="774" t="s">
        <v>21</v>
      </c>
      <c r="U19" s="775">
        <f>H19</f>
        <v>100</v>
      </c>
      <c r="V19" s="774" t="s">
        <v>21</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1"/>
      <c r="Q20" s="1809"/>
      <c r="R20" s="774"/>
      <c r="S20" s="775"/>
      <c r="T20" s="774"/>
      <c r="U20" s="775"/>
      <c r="V20" s="774"/>
      <c r="W20" s="775"/>
      <c r="X20" s="1812"/>
      <c r="Y20" s="3193"/>
      <c r="Z20" s="1813"/>
      <c r="AA20" s="1810">
        <v>1</v>
      </c>
      <c r="AB20" s="1810">
        <v>1</v>
      </c>
      <c r="AC20" s="1810">
        <v>1</v>
      </c>
    </row>
    <row r="21" spans="1:29" ht="42.75">
      <c r="A21" s="428"/>
      <c r="B21" s="1384" t="s">
        <v>2098</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61"/>
      <c r="Q22" s="1809"/>
      <c r="R22" s="774"/>
      <c r="S22" s="775"/>
      <c r="T22" s="774"/>
      <c r="U22" s="775"/>
      <c r="V22" s="774"/>
      <c r="W22" s="775"/>
      <c r="X22" s="1812"/>
      <c r="Y22" s="3193"/>
      <c r="Z22" s="1813"/>
      <c r="AA22" s="1810">
        <v>1</v>
      </c>
      <c r="AB22" s="1810">
        <v>1</v>
      </c>
      <c r="AC22" s="1810">
        <v>1</v>
      </c>
    </row>
    <row r="23" spans="1:29" ht="71.25">
      <c r="A23" s="428"/>
      <c r="B23" s="451" t="s">
        <v>2102</v>
      </c>
      <c r="C23" s="2605"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1"/>
      <c r="Q23" s="1809" t="str">
        <f>B23</f>
        <v>自然及人文环境</v>
      </c>
      <c r="R23" s="774" t="s">
        <v>21</v>
      </c>
      <c r="S23" s="775">
        <f>F23</f>
        <v>100</v>
      </c>
      <c r="T23" s="774" t="s">
        <v>21</v>
      </c>
      <c r="U23" s="775">
        <f>H23</f>
        <v>100</v>
      </c>
      <c r="V23" s="774" t="s">
        <v>21</v>
      </c>
      <c r="W23" s="775">
        <f>J23</f>
        <v>100</v>
      </c>
      <c r="X23" s="1812"/>
      <c r="Y23" s="3193"/>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1"/>
      <c r="Q24" s="1809"/>
      <c r="R24" s="774"/>
      <c r="S24" s="775"/>
      <c r="T24" s="774"/>
      <c r="U24" s="775"/>
      <c r="V24" s="774"/>
      <c r="W24" s="775"/>
      <c r="X24" s="1812"/>
      <c r="Y24" s="3193"/>
      <c r="Z24" s="1813"/>
      <c r="AA24" s="1810">
        <v>1</v>
      </c>
      <c r="AB24" s="1810">
        <v>1</v>
      </c>
      <c r="AC24" s="1810">
        <v>1</v>
      </c>
    </row>
    <row r="25" spans="1:29" ht="15">
      <c r="A25" s="428"/>
      <c r="B25" s="422" t="s">
        <v>2557</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1"/>
      <c r="Q26" s="1809" t="str">
        <f t="shared" si="11"/>
        <v>朝向</v>
      </c>
      <c r="R26" s="774" t="s">
        <v>21</v>
      </c>
      <c r="S26" s="775">
        <f t="shared" si="12"/>
        <v>100</v>
      </c>
      <c r="T26" s="774" t="s">
        <v>21</v>
      </c>
      <c r="U26" s="775">
        <f t="shared" si="13"/>
        <v>100</v>
      </c>
      <c r="V26" s="774" t="s">
        <v>21</v>
      </c>
      <c r="W26" s="775">
        <f t="shared" si="14"/>
        <v>100</v>
      </c>
      <c r="X26" s="1812"/>
      <c r="Y26" s="3193"/>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1"/>
      <c r="Q27" s="1794">
        <f t="shared" si="11"/>
        <v>111</v>
      </c>
      <c r="R27" s="770" t="s">
        <v>21</v>
      </c>
      <c r="S27" s="771">
        <f t="shared" si="12"/>
        <v>100</v>
      </c>
      <c r="T27" s="770" t="s">
        <v>21</v>
      </c>
      <c r="U27" s="771">
        <f t="shared" si="13"/>
        <v>100</v>
      </c>
      <c r="V27" s="770" t="s">
        <v>21</v>
      </c>
      <c r="W27" s="771">
        <f t="shared" si="14"/>
        <v>100</v>
      </c>
      <c r="X27" s="772"/>
      <c r="Y27" s="3193"/>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1"/>
      <c r="Q28" s="1809">
        <f t="shared" si="11"/>
        <v>111</v>
      </c>
      <c r="R28" s="774" t="s">
        <v>21</v>
      </c>
      <c r="S28" s="775">
        <f t="shared" si="12"/>
        <v>100</v>
      </c>
      <c r="T28" s="774" t="s">
        <v>21</v>
      </c>
      <c r="U28" s="775">
        <f t="shared" si="13"/>
        <v>100</v>
      </c>
      <c r="V28" s="774" t="s">
        <v>21</v>
      </c>
      <c r="W28" s="775">
        <f t="shared" si="14"/>
        <v>100</v>
      </c>
      <c r="X28" s="1812"/>
      <c r="Y28" s="319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1"/>
      <c r="Q29" s="1809">
        <f t="shared" si="11"/>
        <v>111</v>
      </c>
      <c r="R29" s="774" t="s">
        <v>21</v>
      </c>
      <c r="S29" s="775">
        <f t="shared" si="12"/>
        <v>100</v>
      </c>
      <c r="T29" s="774" t="s">
        <v>21</v>
      </c>
      <c r="U29" s="775">
        <f t="shared" si="13"/>
        <v>100</v>
      </c>
      <c r="V29" s="774" t="s">
        <v>21</v>
      </c>
      <c r="W29" s="775">
        <f t="shared" si="14"/>
        <v>100</v>
      </c>
      <c r="X29" s="1812"/>
      <c r="Y29" s="319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1"/>
      <c r="Q30" s="1809">
        <f t="shared" si="11"/>
        <v>111</v>
      </c>
      <c r="R30" s="774" t="s">
        <v>21</v>
      </c>
      <c r="S30" s="775">
        <f t="shared" si="12"/>
        <v>100</v>
      </c>
      <c r="T30" s="774" t="s">
        <v>21</v>
      </c>
      <c r="U30" s="775">
        <f t="shared" si="13"/>
        <v>100</v>
      </c>
      <c r="V30" s="774" t="s">
        <v>21</v>
      </c>
      <c r="W30" s="775">
        <f t="shared" si="14"/>
        <v>100</v>
      </c>
      <c r="X30" s="1812"/>
      <c r="Y30" s="319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1"/>
      <c r="Q31" s="1809">
        <f t="shared" si="11"/>
        <v>111</v>
      </c>
      <c r="R31" s="774" t="s">
        <v>21</v>
      </c>
      <c r="S31" s="775">
        <f t="shared" si="12"/>
        <v>100</v>
      </c>
      <c r="T31" s="774" t="s">
        <v>21</v>
      </c>
      <c r="U31" s="775">
        <f t="shared" si="13"/>
        <v>100</v>
      </c>
      <c r="V31" s="774" t="s">
        <v>21</v>
      </c>
      <c r="W31" s="775">
        <f t="shared" si="14"/>
        <v>100</v>
      </c>
      <c r="X31" s="1812"/>
      <c r="Y31" s="3193"/>
      <c r="Z31" s="1813">
        <f t="shared" si="18"/>
        <v>111</v>
      </c>
      <c r="AA31" s="1810">
        <f t="shared" si="15"/>
        <v>1</v>
      </c>
      <c r="AB31" s="1810">
        <f t="shared" si="16"/>
        <v>1</v>
      </c>
      <c r="AC31" s="1810">
        <f t="shared" si="17"/>
        <v>1</v>
      </c>
    </row>
    <row r="32" spans="1:29" ht="15">
      <c r="A32" s="440" t="s">
        <v>2559</v>
      </c>
      <c r="B32" s="71" t="s">
        <v>2560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6" t="s">
        <v>2561</v>
      </c>
      <c r="Q32" s="1809" t="str">
        <f t="shared" si="11"/>
        <v>建筑类型</v>
      </c>
      <c r="R32" s="774" t="s">
        <v>21</v>
      </c>
      <c r="S32" s="775">
        <f t="shared" si="12"/>
        <v>100</v>
      </c>
      <c r="T32" s="774" t="s">
        <v>21</v>
      </c>
      <c r="U32" s="775">
        <f t="shared" si="13"/>
        <v>100</v>
      </c>
      <c r="V32" s="774" t="s">
        <v>21</v>
      </c>
      <c r="W32" s="775">
        <f t="shared" si="14"/>
        <v>100</v>
      </c>
      <c r="X32" s="1812"/>
      <c r="Y32" s="3195"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0" t="e">
        <f t="shared" si="15"/>
        <v>#N/A</v>
      </c>
      <c r="AB33" s="1810" t="e">
        <f t="shared" si="16"/>
        <v>#N/A</v>
      </c>
      <c r="AC33" s="1810" t="e">
        <f t="shared" si="17"/>
        <v>#N/A</v>
      </c>
    </row>
    <row r="34" spans="1:29" ht="15">
      <c r="A34" s="472"/>
      <c r="B34" s="422" t="s">
        <v>2563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7"/>
      <c r="Q34" s="1809" t="str">
        <f t="shared" si="11"/>
        <v>建筑结构</v>
      </c>
      <c r="R34" s="774" t="s">
        <v>21</v>
      </c>
      <c r="S34" s="775">
        <f t="shared" si="12"/>
        <v>100</v>
      </c>
      <c r="T34" s="774" t="s">
        <v>21</v>
      </c>
      <c r="U34" s="775">
        <f t="shared" si="13"/>
        <v>100</v>
      </c>
      <c r="V34" s="774" t="s">
        <v>21</v>
      </c>
      <c r="W34" s="775">
        <f t="shared" si="14"/>
        <v>100</v>
      </c>
      <c r="X34" s="1812"/>
      <c r="Y34" s="3195"/>
      <c r="Z34" s="1813" t="str">
        <f t="shared" si="18"/>
        <v>建筑结构</v>
      </c>
      <c r="AA34" s="1810">
        <f t="shared" si="15"/>
        <v>1</v>
      </c>
      <c r="AB34" s="1810">
        <f t="shared" si="16"/>
        <v>1</v>
      </c>
      <c r="AC34" s="1810">
        <f t="shared" si="17"/>
        <v>1</v>
      </c>
    </row>
    <row r="35" spans="1:29" ht="15">
      <c r="A35" s="472"/>
      <c r="B35" s="422" t="s">
        <v>2564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7"/>
      <c r="Q35" s="1809" t="str">
        <f t="shared" si="11"/>
        <v>建筑品质</v>
      </c>
      <c r="R35" s="774" t="s">
        <v>21</v>
      </c>
      <c r="S35" s="775">
        <f t="shared" si="12"/>
        <v>100</v>
      </c>
      <c r="T35" s="774" t="s">
        <v>21</v>
      </c>
      <c r="U35" s="775">
        <f t="shared" si="13"/>
        <v>100</v>
      </c>
      <c r="V35" s="774" t="s">
        <v>21</v>
      </c>
      <c r="W35" s="775">
        <f t="shared" si="14"/>
        <v>100</v>
      </c>
      <c r="X35" s="1812"/>
      <c r="Y35" s="3195"/>
      <c r="Z35" s="1813" t="str">
        <f t="shared" si="18"/>
        <v>建筑品质</v>
      </c>
      <c r="AA35" s="1810">
        <f t="shared" si="15"/>
        <v>1</v>
      </c>
      <c r="AB35" s="1810">
        <f t="shared" si="16"/>
        <v>1</v>
      </c>
      <c r="AC35" s="1810">
        <f t="shared" si="17"/>
        <v>1</v>
      </c>
    </row>
    <row r="36" spans="1:29" ht="15">
      <c r="A36" s="472"/>
      <c r="B36" s="422" t="s">
        <v>2565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7"/>
      <c r="Q36" s="1809" t="str">
        <f t="shared" si="11"/>
        <v>公共部分装修</v>
      </c>
      <c r="R36" s="774" t="s">
        <v>21</v>
      </c>
      <c r="S36" s="775">
        <f t="shared" si="12"/>
        <v>100</v>
      </c>
      <c r="T36" s="774" t="s">
        <v>21</v>
      </c>
      <c r="U36" s="775">
        <f t="shared" si="13"/>
        <v>100</v>
      </c>
      <c r="V36" s="774" t="s">
        <v>21</v>
      </c>
      <c r="W36" s="775">
        <f t="shared" si="14"/>
        <v>100</v>
      </c>
      <c r="X36" s="1812"/>
      <c r="Y36" s="3195"/>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4"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7" t="s">
        <v>2561</v>
      </c>
      <c r="Q38" s="1809" t="str">
        <f t="shared" si="11"/>
        <v>物业管理</v>
      </c>
      <c r="R38" s="774" t="s">
        <v>21</v>
      </c>
      <c r="S38" s="775">
        <f t="shared" si="12"/>
        <v>100</v>
      </c>
      <c r="T38" s="774" t="s">
        <v>21</v>
      </c>
      <c r="U38" s="775">
        <f t="shared" si="13"/>
        <v>100</v>
      </c>
      <c r="V38" s="774" t="s">
        <v>21</v>
      </c>
      <c r="W38" s="775">
        <f t="shared" si="14"/>
        <v>100</v>
      </c>
      <c r="X38" s="1812"/>
      <c r="Y38" s="3195" t="s">
        <v>2561</v>
      </c>
      <c r="Z38" s="1813" t="str">
        <f t="shared" si="18"/>
        <v>物业管理</v>
      </c>
      <c r="AA38" s="1810">
        <f t="shared" si="15"/>
        <v>1</v>
      </c>
      <c r="AB38" s="1810">
        <f t="shared" si="16"/>
        <v>1</v>
      </c>
      <c r="AC38" s="1810">
        <f t="shared" si="17"/>
        <v>1</v>
      </c>
    </row>
    <row r="39" spans="1:29" ht="15">
      <c r="A39" s="472"/>
      <c r="B39" s="422" t="s">
        <v>2568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7"/>
      <c r="Q39" s="1809" t="str">
        <f t="shared" si="11"/>
        <v>市政基础设施</v>
      </c>
      <c r="R39" s="774" t="s">
        <v>21</v>
      </c>
      <c r="S39" s="775">
        <f t="shared" si="12"/>
        <v>100</v>
      </c>
      <c r="T39" s="774" t="s">
        <v>21</v>
      </c>
      <c r="U39" s="775">
        <f t="shared" si="13"/>
        <v>100</v>
      </c>
      <c r="V39" s="774" t="s">
        <v>21</v>
      </c>
      <c r="W39" s="775">
        <f t="shared" si="14"/>
        <v>100</v>
      </c>
      <c r="X39" s="1812"/>
      <c r="Y39" s="3195"/>
      <c r="Z39" s="1813" t="str">
        <f t="shared" si="18"/>
        <v>市政基础设施</v>
      </c>
      <c r="AA39" s="1810">
        <f t="shared" si="15"/>
        <v>1</v>
      </c>
      <c r="AB39" s="1810">
        <f t="shared" si="16"/>
        <v>1</v>
      </c>
      <c r="AC39" s="1810">
        <f t="shared" si="17"/>
        <v>1</v>
      </c>
    </row>
    <row r="40" spans="1:29" ht="15">
      <c r="A40" s="472"/>
      <c r="B40" s="422" t="s">
        <v>2569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7"/>
      <c r="Q40" s="1809" t="str">
        <f t="shared" si="11"/>
        <v>房型</v>
      </c>
      <c r="R40" s="774" t="s">
        <v>21</v>
      </c>
      <c r="S40" s="775">
        <f t="shared" si="12"/>
        <v>100</v>
      </c>
      <c r="T40" s="774" t="s">
        <v>21</v>
      </c>
      <c r="U40" s="775">
        <f t="shared" si="13"/>
        <v>100</v>
      </c>
      <c r="V40" s="774" t="s">
        <v>21</v>
      </c>
      <c r="W40" s="775">
        <f t="shared" si="14"/>
        <v>100</v>
      </c>
      <c r="X40" s="1812"/>
      <c r="Y40" s="3195"/>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0">
        <f t="shared" si="15"/>
        <v>1</v>
      </c>
      <c r="AB41" s="1810">
        <f t="shared" si="16"/>
        <v>1</v>
      </c>
      <c r="AC41" s="1810">
        <f t="shared" si="17"/>
        <v>1</v>
      </c>
    </row>
    <row r="42" spans="1:29" ht="15">
      <c r="A42" s="472"/>
      <c r="B42" s="422" t="s">
        <v>2571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7"/>
      <c r="Q42" s="1809" t="str">
        <f t="shared" si="11"/>
        <v>内部装修</v>
      </c>
      <c r="R42" s="774" t="s">
        <v>21</v>
      </c>
      <c r="S42" s="775">
        <f t="shared" si="12"/>
        <v>100</v>
      </c>
      <c r="T42" s="774" t="s">
        <v>21</v>
      </c>
      <c r="U42" s="775">
        <f t="shared" si="13"/>
        <v>100</v>
      </c>
      <c r="V42" s="774" t="s">
        <v>21</v>
      </c>
      <c r="W42" s="775">
        <f t="shared" si="14"/>
        <v>100</v>
      </c>
      <c r="X42" s="1812"/>
      <c r="Y42" s="3195"/>
      <c r="Z42" s="1813" t="str">
        <f t="shared" si="18"/>
        <v>内部装修</v>
      </c>
      <c r="AA42" s="1810">
        <f t="shared" si="15"/>
        <v>1</v>
      </c>
      <c r="AB42" s="1810">
        <f t="shared" si="16"/>
        <v>1</v>
      </c>
      <c r="AC42" s="1810">
        <f t="shared" si="17"/>
        <v>1</v>
      </c>
    </row>
    <row r="43" spans="1:29" ht="15">
      <c r="A43" s="472"/>
      <c r="B43" s="422" t="s">
        <v>2572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7"/>
      <c r="Q43" s="1809" t="str">
        <f t="shared" si="11"/>
        <v>内部装修维护情况</v>
      </c>
      <c r="R43" s="774" t="s">
        <v>21</v>
      </c>
      <c r="S43" s="775">
        <f t="shared" si="12"/>
        <v>100</v>
      </c>
      <c r="T43" s="774" t="s">
        <v>21</v>
      </c>
      <c r="U43" s="775">
        <f t="shared" si="13"/>
        <v>100</v>
      </c>
      <c r="V43" s="774" t="s">
        <v>21</v>
      </c>
      <c r="W43" s="775">
        <f t="shared" si="14"/>
        <v>100</v>
      </c>
      <c r="X43" s="1812"/>
      <c r="Y43" s="3195"/>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7"/>
      <c r="Q44" s="1794">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7"/>
      <c r="Q45" s="1809">
        <f t="shared" si="11"/>
        <v>111</v>
      </c>
      <c r="R45" s="774" t="s">
        <v>21</v>
      </c>
      <c r="S45" s="775">
        <f t="shared" si="12"/>
        <v>100</v>
      </c>
      <c r="T45" s="774" t="s">
        <v>21</v>
      </c>
      <c r="U45" s="775">
        <f t="shared" si="13"/>
        <v>100</v>
      </c>
      <c r="V45" s="774" t="s">
        <v>21</v>
      </c>
      <c r="W45" s="775">
        <f t="shared" si="14"/>
        <v>100</v>
      </c>
      <c r="X45" s="1812"/>
      <c r="Y45" s="3195"/>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8"/>
      <c r="Q46" s="1809">
        <f t="shared" si="11"/>
        <v>111</v>
      </c>
      <c r="R46" s="774" t="s">
        <v>20</v>
      </c>
      <c r="S46" s="775">
        <f t="shared" si="12"/>
        <v>100</v>
      </c>
      <c r="T46" s="774" t="s">
        <v>20</v>
      </c>
      <c r="U46" s="775">
        <f t="shared" si="13"/>
        <v>100</v>
      </c>
      <c r="V46" s="774" t="s">
        <v>20</v>
      </c>
      <c r="W46" s="775">
        <f t="shared" si="14"/>
        <v>100</v>
      </c>
      <c r="X46" s="1812"/>
      <c r="Y46" s="3259"/>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19"/>
      <c r="L47" s="1143"/>
      <c r="M47" s="1144"/>
      <c r="N47" s="1131"/>
      <c r="O47" s="1144"/>
      <c r="P47" s="3190" t="str">
        <f>A47</f>
        <v>成交单价（元/平方米）</v>
      </c>
      <c r="Q47" s="3190"/>
      <c r="R47" s="3255">
        <f>E47</f>
        <v>0</v>
      </c>
      <c r="S47" s="3255"/>
      <c r="T47" s="3255">
        <f>G47</f>
        <v>0</v>
      </c>
      <c r="U47" s="3255"/>
      <c r="V47" s="3255">
        <f>I47</f>
        <v>0</v>
      </c>
      <c r="W47" s="3255"/>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0"/>
      <c r="L48" s="1143"/>
      <c r="M48" s="1144"/>
      <c r="N48" s="1144"/>
      <c r="O48" s="1144"/>
      <c r="P48" s="3190" t="str">
        <f>A48</f>
        <v>比较价值（元/平方米）</v>
      </c>
      <c r="Q48" s="319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1"/>
      <c r="L49" s="1143"/>
      <c r="M49" s="1144"/>
      <c r="N49" s="1144"/>
      <c r="O49" s="1144"/>
      <c r="P49" s="3184" t="str">
        <f>A49</f>
        <v>估价对象XX用房的比较价值（楼面单价，元/平方米）</v>
      </c>
      <c r="Q49" s="3185"/>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4"/>
      <c r="Q57" s="504"/>
    </row>
    <row r="58" spans="1:29" s="508" customFormat="1" ht="15">
      <c r="A58" s="505" t="s">
        <v>2580</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2584</v>
      </c>
      <c r="B63" s="528" t="s">
        <v>2550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2098</v>
      </c>
      <c r="C82" s="539" t="s">
        <v>2600</v>
      </c>
      <c r="D82" s="539" t="s">
        <v>2601</v>
      </c>
      <c r="E82" s="539" t="s">
        <v>2602</v>
      </c>
      <c r="F82" s="539" t="s">
        <v>2603</v>
      </c>
      <c r="G82" s="539" t="s">
        <v>2604</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2607</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2559</v>
      </c>
      <c r="B100" s="528" t="s">
        <v>2608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2611</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2612</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2615</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4">
        <v>6</v>
      </c>
      <c r="C139" s="1085">
        <v>96</v>
      </c>
      <c r="D139" s="2646" t="s">
        <v>2627</v>
      </c>
      <c r="E139" s="1086">
        <v>100</v>
      </c>
      <c r="F139" s="1087">
        <v>102.5</v>
      </c>
      <c r="G139" s="2646" t="s">
        <v>2627</v>
      </c>
      <c r="H139" s="1088">
        <v>105</v>
      </c>
      <c r="I139" s="2647" t="s">
        <v>2628</v>
      </c>
      <c r="J139" s="1085">
        <v>20</v>
      </c>
      <c r="K139" s="1089">
        <f>C145/(J139-2)</f>
        <v>4.0555555555555553E-3</v>
      </c>
    </row>
    <row r="140" spans="1:17" ht="15">
      <c r="B140" s="1090">
        <v>5</v>
      </c>
      <c r="C140" s="1091">
        <v>100</v>
      </c>
      <c r="D140" s="1091"/>
      <c r="E140" s="1092"/>
      <c r="F140" s="1093">
        <v>102</v>
      </c>
      <c r="G140" s="1091"/>
      <c r="H140" s="1094"/>
      <c r="I140" s="2648" t="s">
        <v>2629</v>
      </c>
      <c r="J140" s="315">
        <f>ROUNDUP((J139-1)/2,0)</f>
        <v>10</v>
      </c>
      <c r="K140" s="1095">
        <v>100</v>
      </c>
    </row>
    <row r="141" spans="1:17" ht="15">
      <c r="B141" s="1090">
        <v>4</v>
      </c>
      <c r="C141" s="1091">
        <v>102</v>
      </c>
      <c r="D141" s="1091"/>
      <c r="E141" s="1092"/>
      <c r="F141" s="1093">
        <v>101.5</v>
      </c>
      <c r="G141" s="1091"/>
      <c r="H141" s="1094"/>
      <c r="I141" s="2648" t="s">
        <v>2630</v>
      </c>
      <c r="J141" s="315">
        <v>1</v>
      </c>
      <c r="K141" s="1096">
        <f>ROUND(100+(J141-J140)*K139*100,1)</f>
        <v>96.4</v>
      </c>
    </row>
    <row r="142" spans="1:17" ht="15">
      <c r="B142" s="1090">
        <v>3</v>
      </c>
      <c r="C142" s="1091">
        <v>103</v>
      </c>
      <c r="D142" s="1091"/>
      <c r="E142" s="1092"/>
      <c r="F142" s="1093">
        <v>101</v>
      </c>
      <c r="G142" s="1091"/>
      <c r="H142" s="1094"/>
      <c r="I142" s="2648" t="s">
        <v>2631</v>
      </c>
      <c r="J142" s="315">
        <f>J139</f>
        <v>20</v>
      </c>
      <c r="K142" s="1097">
        <v>95</v>
      </c>
    </row>
    <row r="143" spans="1:17" ht="15">
      <c r="B143" s="1090">
        <v>2</v>
      </c>
      <c r="C143" s="1091">
        <v>100</v>
      </c>
      <c r="D143" s="1091"/>
      <c r="E143" s="1092"/>
      <c r="F143" s="1093">
        <v>100.5</v>
      </c>
      <c r="G143" s="1091"/>
      <c r="H143" s="1094"/>
      <c r="I143" s="2648" t="s">
        <v>2632</v>
      </c>
      <c r="J143" s="1091">
        <v>15</v>
      </c>
      <c r="K143" s="1096">
        <f>ROUND(100+(J143-J140)*K139*100,1)</f>
        <v>102</v>
      </c>
    </row>
    <row r="144" spans="1:17" ht="15">
      <c r="B144" s="1090">
        <v>1</v>
      </c>
      <c r="C144" s="1091">
        <v>98</v>
      </c>
      <c r="D144" s="2649" t="s">
        <v>2633</v>
      </c>
      <c r="E144" s="1092">
        <v>102</v>
      </c>
      <c r="F144" s="1098">
        <v>100</v>
      </c>
      <c r="G144" s="2649" t="s">
        <v>2633</v>
      </c>
      <c r="H144" s="1094">
        <v>105</v>
      </c>
      <c r="I144" s="2648" t="s">
        <v>2632</v>
      </c>
      <c r="J144" s="1091">
        <v>18</v>
      </c>
      <c r="K144" s="1096">
        <f>ROUND(100+(J144-J140)*K139*100,1)</f>
        <v>103.2</v>
      </c>
    </row>
    <row r="145" spans="2:11" ht="15.75" thickBot="1">
      <c r="B145" s="2650" t="s">
        <v>2634</v>
      </c>
      <c r="C145" s="1099">
        <f>ROUND(MAX(C139:C144)/MIN(C139:C144)-1,3)</f>
        <v>7.2999999999999995E-2</v>
      </c>
      <c r="D145" s="1100"/>
      <c r="E145" s="1100"/>
      <c r="F145" s="2651" t="s">
        <v>2635</v>
      </c>
      <c r="G145" s="2652"/>
      <c r="H145" s="2653"/>
      <c r="I145" s="2654" t="s">
        <v>2632</v>
      </c>
      <c r="J145" s="1101">
        <v>8</v>
      </c>
      <c r="K145" s="1102">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0" t="s">
        <v>2638</v>
      </c>
      <c r="C1" s="1633" t="s">
        <v>2526</v>
      </c>
      <c r="D1" s="1620"/>
      <c r="E1" s="2655"/>
      <c r="F1" s="2582"/>
      <c r="G1" s="1630" t="s">
        <v>2639</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2640</v>
      </c>
      <c r="D3" s="399">
        <f>IF(D1="",'数据-汇总表'!E3,SUMIF('数据-汇总表'!$C19:$C33,D1,'数据-汇总表'!$E19:$E33))</f>
        <v>164273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6" t="s">
        <v>2644</v>
      </c>
      <c r="AC4" s="3197" t="s">
        <v>2645</v>
      </c>
    </row>
    <row r="5" spans="1:29" ht="15">
      <c r="A5" s="404"/>
      <c r="B5" s="405"/>
      <c r="C5" s="3217" t="s">
        <v>2538</v>
      </c>
      <c r="D5" s="3218"/>
      <c r="E5" s="3225" t="s">
        <v>2539</v>
      </c>
      <c r="F5" s="3226"/>
      <c r="G5" s="3217" t="s">
        <v>2540</v>
      </c>
      <c r="H5" s="3218"/>
      <c r="I5" s="3217" t="s">
        <v>2541</v>
      </c>
      <c r="J5" s="3218"/>
      <c r="K5" s="610"/>
      <c r="L5" s="1130"/>
      <c r="M5" s="1131"/>
      <c r="N5" s="1131"/>
      <c r="O5" s="1131"/>
      <c r="P5" s="3205"/>
      <c r="Q5" s="3206"/>
      <c r="R5" s="3211"/>
      <c r="S5" s="3212"/>
      <c r="T5" s="3211"/>
      <c r="U5" s="3212"/>
      <c r="V5" s="3196"/>
      <c r="W5" s="3196"/>
      <c r="X5" s="1812"/>
      <c r="Y5" s="3211"/>
      <c r="Z5" s="3212"/>
      <c r="AA5" s="3198"/>
      <c r="AB5" s="3196"/>
      <c r="AC5" s="3198"/>
    </row>
    <row r="6" spans="1:29" ht="15.75" thickBot="1">
      <c r="A6" s="406"/>
      <c r="B6" s="407"/>
      <c r="C6" s="3222" t="s">
        <v>2542</v>
      </c>
      <c r="D6" s="3216"/>
      <c r="E6" s="3262" t="s">
        <v>2542</v>
      </c>
      <c r="F6" s="3224"/>
      <c r="G6" s="3222" t="s">
        <v>2542</v>
      </c>
      <c r="H6" s="3216"/>
      <c r="I6" s="3222" t="s">
        <v>2542</v>
      </c>
      <c r="J6" s="3216"/>
      <c r="K6" s="610" t="s">
        <v>2543</v>
      </c>
      <c r="L6" s="1130"/>
      <c r="M6" s="1131"/>
      <c r="N6" s="1131"/>
      <c r="O6" s="1131"/>
      <c r="P6" s="3207"/>
      <c r="Q6" s="3208"/>
      <c r="R6" s="3211"/>
      <c r="S6" s="3212"/>
      <c r="T6" s="3213"/>
      <c r="U6" s="3214"/>
      <c r="V6" s="3196"/>
      <c r="W6" s="3196"/>
      <c r="X6" s="1812"/>
      <c r="Y6" s="3213"/>
      <c r="Z6" s="3214"/>
      <c r="AA6" s="3199"/>
      <c r="AB6" s="3196"/>
      <c r="AC6" s="3199"/>
    </row>
    <row r="7" spans="1:29" s="117" customFormat="1" ht="15.75" thickBot="1">
      <c r="A7" s="408" t="s">
        <v>2544</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9" t="s">
        <v>2548</v>
      </c>
      <c r="Q8" s="3220"/>
      <c r="R8" s="770" t="s">
        <v>17</v>
      </c>
      <c r="S8" s="771">
        <f t="shared" si="0"/>
        <v>0</v>
      </c>
      <c r="T8" s="770" t="s">
        <v>17</v>
      </c>
      <c r="U8" s="771">
        <f t="shared" si="1"/>
        <v>0</v>
      </c>
      <c r="V8" s="770" t="s">
        <v>17</v>
      </c>
      <c r="W8" s="771">
        <f t="shared" si="2"/>
        <v>0</v>
      </c>
      <c r="X8" s="772"/>
      <c r="Y8" s="3219" t="s">
        <v>2548</v>
      </c>
      <c r="Z8" s="3220"/>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14">
      <c r="A15" s="440" t="s">
        <v>2555</v>
      </c>
      <c r="B15" s="69" t="s">
        <v>2649</v>
      </c>
      <c r="C15" s="2601"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0" t="s">
        <v>2556</v>
      </c>
      <c r="Q15" s="1809" t="str">
        <f t="shared" si="6"/>
        <v>商业繁华度</v>
      </c>
      <c r="R15" s="774" t="s">
        <v>17</v>
      </c>
      <c r="S15" s="775">
        <f t="shared" si="0"/>
        <v>100</v>
      </c>
      <c r="T15" s="774" t="s">
        <v>17</v>
      </c>
      <c r="U15" s="775">
        <f t="shared" si="1"/>
        <v>100</v>
      </c>
      <c r="V15" s="774" t="s">
        <v>17</v>
      </c>
      <c r="W15" s="775">
        <f t="shared" si="2"/>
        <v>100</v>
      </c>
      <c r="X15" s="1812"/>
      <c r="Y15" s="3192"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1"/>
      <c r="Q16" s="1809"/>
      <c r="R16" s="774"/>
      <c r="S16" s="775"/>
      <c r="T16" s="774"/>
      <c r="U16" s="775"/>
      <c r="V16" s="774"/>
      <c r="W16" s="775"/>
      <c r="X16" s="1812"/>
      <c r="Y16" s="3193"/>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1"/>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1"/>
      <c r="Q18" s="1809"/>
      <c r="R18" s="774"/>
      <c r="S18" s="775"/>
      <c r="T18" s="774"/>
      <c r="U18" s="775"/>
      <c r="V18" s="774"/>
      <c r="W18" s="775"/>
      <c r="X18" s="1812"/>
      <c r="Y18" s="3193"/>
      <c r="Z18" s="1813"/>
      <c r="AA18" s="1810">
        <v>1</v>
      </c>
      <c r="AB18" s="1810">
        <v>1</v>
      </c>
      <c r="AC18" s="1810">
        <v>1</v>
      </c>
    </row>
    <row r="19" spans="1:29" ht="213.75">
      <c r="A19" s="428"/>
      <c r="B19" s="451" t="s">
        <v>2650</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1"/>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1"/>
      <c r="Q20" s="1809"/>
      <c r="R20" s="774"/>
      <c r="S20" s="775"/>
      <c r="T20" s="774"/>
      <c r="U20" s="775"/>
      <c r="V20" s="774"/>
      <c r="W20" s="775"/>
      <c r="X20" s="1812"/>
      <c r="Y20" s="3193"/>
      <c r="Z20" s="1813"/>
      <c r="AA20" s="1810">
        <v>1</v>
      </c>
      <c r="AB20" s="1810">
        <v>1</v>
      </c>
      <c r="AC20" s="1810">
        <v>1</v>
      </c>
    </row>
    <row r="21" spans="1:29" ht="42.75">
      <c r="A21" s="428"/>
      <c r="B21" s="1384" t="s">
        <v>2651</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61"/>
      <c r="Q22" s="1809"/>
      <c r="R22" s="774"/>
      <c r="S22" s="775"/>
      <c r="T22" s="774"/>
      <c r="U22" s="775"/>
      <c r="V22" s="774"/>
      <c r="W22" s="775"/>
      <c r="X22" s="1812"/>
      <c r="Y22" s="3193"/>
      <c r="Z22" s="1813"/>
      <c r="AA22" s="1810">
        <v>1</v>
      </c>
      <c r="AB22" s="1810">
        <v>1</v>
      </c>
      <c r="AC22" s="1810">
        <v>1</v>
      </c>
    </row>
    <row r="23" spans="1:29" ht="71.25">
      <c r="A23" s="428"/>
      <c r="B23" s="451" t="s">
        <v>2102</v>
      </c>
      <c r="C23" s="2662"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1"/>
      <c r="Q23" s="1809" t="str">
        <f>B23</f>
        <v>自然及人文环境</v>
      </c>
      <c r="R23" s="774" t="s">
        <v>17</v>
      </c>
      <c r="S23" s="775">
        <f>F23</f>
        <v>100</v>
      </c>
      <c r="T23" s="774" t="s">
        <v>17</v>
      </c>
      <c r="U23" s="775">
        <f>H23</f>
        <v>100</v>
      </c>
      <c r="V23" s="774" t="s">
        <v>17</v>
      </c>
      <c r="W23" s="775">
        <f>J23</f>
        <v>100</v>
      </c>
      <c r="X23" s="1812"/>
      <c r="Y23" s="3193"/>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1"/>
      <c r="Q24" s="1809"/>
      <c r="R24" s="774"/>
      <c r="S24" s="775"/>
      <c r="T24" s="774"/>
      <c r="U24" s="775"/>
      <c r="V24" s="774"/>
      <c r="W24" s="775"/>
      <c r="X24" s="1812"/>
      <c r="Y24" s="3193"/>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1"/>
      <c r="Q25" s="1809" t="str">
        <f t="shared" ref="Q25:Q46" si="11">B25</f>
        <v>临街状况</v>
      </c>
      <c r="R25" s="774" t="s">
        <v>17</v>
      </c>
      <c r="S25" s="775">
        <f>F25</f>
        <v>100</v>
      </c>
      <c r="T25" s="774" t="s">
        <v>17</v>
      </c>
      <c r="U25" s="775">
        <f>H25</f>
        <v>100</v>
      </c>
      <c r="V25" s="774" t="s">
        <v>17</v>
      </c>
      <c r="W25" s="775">
        <f>J25</f>
        <v>100</v>
      </c>
      <c r="X25" s="1812"/>
      <c r="Y25" s="3193"/>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1"/>
      <c r="Q26" s="1809" t="str">
        <f t="shared" si="11"/>
        <v>平面位置/可视性</v>
      </c>
      <c r="R26" s="774" t="s">
        <v>17</v>
      </c>
      <c r="S26" s="775">
        <f>F26</f>
        <v>100</v>
      </c>
      <c r="T26" s="774" t="s">
        <v>17</v>
      </c>
      <c r="U26" s="775">
        <f>H26</f>
        <v>100</v>
      </c>
      <c r="V26" s="774" t="s">
        <v>17</v>
      </c>
      <c r="W26" s="775">
        <f>J26</f>
        <v>100</v>
      </c>
      <c r="X26" s="1812"/>
      <c r="Y26" s="3193"/>
      <c r="Z26" s="1813" t="str">
        <f>Q26</f>
        <v>平面位置/可视性</v>
      </c>
      <c r="AA26" s="1810">
        <f t="shared" si="3"/>
        <v>1</v>
      </c>
      <c r="AB26" s="1810">
        <f t="shared" si="4"/>
        <v>1</v>
      </c>
      <c r="AC26" s="1810">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1"/>
      <c r="Q27" s="1794" t="str">
        <f t="shared" si="11"/>
        <v>人流量</v>
      </c>
      <c r="R27" s="770" t="s">
        <v>17</v>
      </c>
      <c r="S27" s="771">
        <f>F27</f>
        <v>100</v>
      </c>
      <c r="T27" s="770" t="s">
        <v>17</v>
      </c>
      <c r="U27" s="771">
        <f>H27</f>
        <v>100</v>
      </c>
      <c r="V27" s="770" t="s">
        <v>17</v>
      </c>
      <c r="W27" s="771">
        <f>J27</f>
        <v>100</v>
      </c>
      <c r="X27" s="772"/>
      <c r="Y27" s="3193"/>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1"/>
      <c r="Q29" s="1809">
        <f t="shared" si="11"/>
        <v>111</v>
      </c>
      <c r="R29" s="774" t="s">
        <v>17</v>
      </c>
      <c r="S29" s="775">
        <f t="shared" si="12"/>
        <v>100</v>
      </c>
      <c r="T29" s="774" t="s">
        <v>17</v>
      </c>
      <c r="U29" s="775">
        <f t="shared" si="13"/>
        <v>100</v>
      </c>
      <c r="V29" s="774" t="s">
        <v>17</v>
      </c>
      <c r="W29" s="775">
        <f t="shared" si="14"/>
        <v>100</v>
      </c>
      <c r="X29" s="1812"/>
      <c r="Y29" s="319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1"/>
      <c r="Q30" s="1809">
        <f t="shared" si="11"/>
        <v>111</v>
      </c>
      <c r="R30" s="774" t="s">
        <v>17</v>
      </c>
      <c r="S30" s="775">
        <f t="shared" si="12"/>
        <v>100</v>
      </c>
      <c r="T30" s="774" t="s">
        <v>17</v>
      </c>
      <c r="U30" s="775">
        <f t="shared" si="13"/>
        <v>100</v>
      </c>
      <c r="V30" s="774" t="s">
        <v>17</v>
      </c>
      <c r="W30" s="775">
        <f t="shared" si="14"/>
        <v>100</v>
      </c>
      <c r="X30" s="1812"/>
      <c r="Y30" s="319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1"/>
      <c r="Q31" s="1809">
        <f t="shared" si="11"/>
        <v>111</v>
      </c>
      <c r="R31" s="774" t="s">
        <v>17</v>
      </c>
      <c r="S31" s="775">
        <f t="shared" si="12"/>
        <v>100</v>
      </c>
      <c r="T31" s="774" t="s">
        <v>17</v>
      </c>
      <c r="U31" s="775">
        <f t="shared" si="13"/>
        <v>100</v>
      </c>
      <c r="V31" s="774" t="s">
        <v>17</v>
      </c>
      <c r="W31" s="775">
        <f t="shared" si="14"/>
        <v>100</v>
      </c>
      <c r="X31" s="1812"/>
      <c r="Y31" s="3193"/>
      <c r="Z31" s="1813">
        <f t="shared" si="15"/>
        <v>111</v>
      </c>
      <c r="AA31" s="1810">
        <f t="shared" si="3"/>
        <v>1</v>
      </c>
      <c r="AB31" s="1810">
        <f t="shared" si="4"/>
        <v>1</v>
      </c>
      <c r="AC31" s="1810">
        <f t="shared" si="5"/>
        <v>1</v>
      </c>
    </row>
    <row r="32" spans="1:29" ht="15">
      <c r="A32" s="440" t="s">
        <v>2559</v>
      </c>
      <c r="B32" s="71" t="s">
        <v>2656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6" t="s">
        <v>2561</v>
      </c>
      <c r="Q32" s="1809" t="str">
        <f t="shared" si="11"/>
        <v>商业类型</v>
      </c>
      <c r="R32" s="774" t="s">
        <v>17</v>
      </c>
      <c r="S32" s="775">
        <f t="shared" si="12"/>
        <v>100</v>
      </c>
      <c r="T32" s="774" t="s">
        <v>17</v>
      </c>
      <c r="U32" s="775">
        <f t="shared" si="13"/>
        <v>100</v>
      </c>
      <c r="V32" s="774" t="s">
        <v>17</v>
      </c>
      <c r="W32" s="775">
        <f t="shared" si="14"/>
        <v>100</v>
      </c>
      <c r="X32" s="1812"/>
      <c r="Y32" s="3195"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7"/>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0" t="e">
        <f t="shared" si="3"/>
        <v>#N/A</v>
      </c>
      <c r="AB33" s="1810" t="e">
        <f t="shared" si="4"/>
        <v>#N/A</v>
      </c>
      <c r="AC33" s="1810" t="e">
        <f t="shared" si="5"/>
        <v>#N/A</v>
      </c>
    </row>
    <row r="34" spans="1:29" ht="15">
      <c r="A34" s="472"/>
      <c r="B34" s="422" t="s">
        <v>2563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7"/>
      <c r="Q34" s="1809" t="str">
        <f t="shared" si="11"/>
        <v>建筑结构</v>
      </c>
      <c r="R34" s="774" t="s">
        <v>17</v>
      </c>
      <c r="S34" s="775">
        <f t="shared" si="12"/>
        <v>100</v>
      </c>
      <c r="T34" s="774" t="s">
        <v>17</v>
      </c>
      <c r="U34" s="775">
        <f t="shared" si="13"/>
        <v>100</v>
      </c>
      <c r="V34" s="774" t="s">
        <v>17</v>
      </c>
      <c r="W34" s="775">
        <f t="shared" si="14"/>
        <v>100</v>
      </c>
      <c r="X34" s="1812"/>
      <c r="Y34" s="3195"/>
      <c r="Z34" s="1813" t="str">
        <f t="shared" si="15"/>
        <v>建筑结构</v>
      </c>
      <c r="AA34" s="1810">
        <f t="shared" si="3"/>
        <v>1</v>
      </c>
      <c r="AB34" s="1810">
        <f t="shared" si="4"/>
        <v>1</v>
      </c>
      <c r="AC34" s="1810">
        <f t="shared" si="5"/>
        <v>1</v>
      </c>
    </row>
    <row r="35" spans="1:29" ht="15">
      <c r="A35" s="472"/>
      <c r="B35" s="422" t="s">
        <v>2657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7"/>
      <c r="Q35" s="1809" t="str">
        <f t="shared" si="11"/>
        <v>公共部分装修</v>
      </c>
      <c r="R35" s="774" t="s">
        <v>17</v>
      </c>
      <c r="S35" s="775">
        <f t="shared" si="12"/>
        <v>100</v>
      </c>
      <c r="T35" s="774" t="s">
        <v>17</v>
      </c>
      <c r="U35" s="775">
        <f t="shared" si="13"/>
        <v>100</v>
      </c>
      <c r="V35" s="774" t="s">
        <v>17</v>
      </c>
      <c r="W35" s="775">
        <f t="shared" si="14"/>
        <v>100</v>
      </c>
      <c r="X35" s="1812"/>
      <c r="Y35" s="3195"/>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7"/>
      <c r="Q36" s="1809" t="str">
        <f t="shared" si="11"/>
        <v>成新度</v>
      </c>
      <c r="R36" s="774" t="s">
        <v>17</v>
      </c>
      <c r="S36" s="775" t="e">
        <f t="shared" si="12"/>
        <v>#N/A</v>
      </c>
      <c r="T36" s="774" t="s">
        <v>17</v>
      </c>
      <c r="U36" s="775" t="e">
        <f t="shared" si="13"/>
        <v>#N/A</v>
      </c>
      <c r="V36" s="774" t="s">
        <v>17</v>
      </c>
      <c r="W36" s="775" t="e">
        <f t="shared" si="14"/>
        <v>#N/A</v>
      </c>
      <c r="X36" s="1812"/>
      <c r="Y36" s="3195"/>
      <c r="Z36" s="1813" t="str">
        <f t="shared" si="15"/>
        <v>成新度</v>
      </c>
      <c r="AA36" s="1810" t="e">
        <f t="shared" si="3"/>
        <v>#N/A</v>
      </c>
      <c r="AB36" s="1810" t="e">
        <f t="shared" si="4"/>
        <v>#N/A</v>
      </c>
      <c r="AC36" s="1810" t="e">
        <f t="shared" si="5"/>
        <v>#N/A</v>
      </c>
    </row>
    <row r="37" spans="1:29" s="117" customFormat="1" ht="15">
      <c r="A37" s="473"/>
      <c r="B37" s="422" t="s">
        <v>2659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7"/>
      <c r="Q37" s="1794"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7" t="s">
        <v>2561</v>
      </c>
      <c r="Q38" s="1809" t="str">
        <f t="shared" si="11"/>
        <v>业态</v>
      </c>
      <c r="R38" s="774" t="s">
        <v>17</v>
      </c>
      <c r="S38" s="775">
        <f t="shared" si="12"/>
        <v>100</v>
      </c>
      <c r="T38" s="774" t="s">
        <v>17</v>
      </c>
      <c r="U38" s="775">
        <f t="shared" si="13"/>
        <v>100</v>
      </c>
      <c r="V38" s="774" t="s">
        <v>17</v>
      </c>
      <c r="W38" s="775">
        <f t="shared" si="14"/>
        <v>100</v>
      </c>
      <c r="X38" s="1812"/>
      <c r="Y38" s="3195" t="s">
        <v>2561</v>
      </c>
      <c r="Z38" s="1813" t="str">
        <f t="shared" si="15"/>
        <v>业态</v>
      </c>
      <c r="AA38" s="1810">
        <f t="shared" si="3"/>
        <v>1</v>
      </c>
      <c r="AB38" s="1810">
        <f t="shared" si="4"/>
        <v>1</v>
      </c>
      <c r="AC38" s="1810">
        <f t="shared" si="5"/>
        <v>1</v>
      </c>
    </row>
    <row r="39" spans="1:29" ht="15">
      <c r="A39" s="472"/>
      <c r="B39" s="422" t="s">
        <v>2661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7"/>
      <c r="Q39" s="1809" t="str">
        <f t="shared" si="11"/>
        <v>层高</v>
      </c>
      <c r="R39" s="774" t="s">
        <v>17</v>
      </c>
      <c r="S39" s="775">
        <f t="shared" si="12"/>
        <v>100</v>
      </c>
      <c r="T39" s="774" t="s">
        <v>17</v>
      </c>
      <c r="U39" s="775">
        <f t="shared" si="13"/>
        <v>100</v>
      </c>
      <c r="V39" s="774" t="s">
        <v>17</v>
      </c>
      <c r="W39" s="775">
        <f t="shared" si="14"/>
        <v>100</v>
      </c>
      <c r="X39" s="1812"/>
      <c r="Y39" s="3195"/>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7"/>
      <c r="Q40" s="1809" t="str">
        <f t="shared" si="11"/>
        <v>单套建筑面积</v>
      </c>
      <c r="R40" s="774" t="s">
        <v>17</v>
      </c>
      <c r="S40" s="775">
        <f t="shared" si="12"/>
        <v>100</v>
      </c>
      <c r="T40" s="774" t="s">
        <v>17</v>
      </c>
      <c r="U40" s="775">
        <f t="shared" si="13"/>
        <v>100</v>
      </c>
      <c r="V40" s="774" t="s">
        <v>17</v>
      </c>
      <c r="W40" s="775">
        <f t="shared" si="14"/>
        <v>100</v>
      </c>
      <c r="X40" s="1812"/>
      <c r="Y40" s="3195"/>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0">
        <f t="shared" si="3"/>
        <v>1</v>
      </c>
      <c r="AB41" s="1810">
        <f t="shared" si="4"/>
        <v>1</v>
      </c>
      <c r="AC41" s="1810">
        <f t="shared" si="5"/>
        <v>1</v>
      </c>
    </row>
    <row r="42" spans="1:29" ht="15">
      <c r="A42" s="472"/>
      <c r="B42" s="422" t="s">
        <v>2664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7"/>
      <c r="Q42" s="1809" t="str">
        <f t="shared" si="11"/>
        <v>内部装修</v>
      </c>
      <c r="R42" s="774" t="s">
        <v>17</v>
      </c>
      <c r="S42" s="775">
        <f t="shared" si="12"/>
        <v>100</v>
      </c>
      <c r="T42" s="774" t="s">
        <v>17</v>
      </c>
      <c r="U42" s="775">
        <f t="shared" si="13"/>
        <v>100</v>
      </c>
      <c r="V42" s="774" t="s">
        <v>17</v>
      </c>
      <c r="W42" s="775">
        <f t="shared" si="14"/>
        <v>100</v>
      </c>
      <c r="X42" s="1812"/>
      <c r="Y42" s="3195"/>
      <c r="Z42" s="1813" t="str">
        <f t="shared" si="15"/>
        <v>内部装修</v>
      </c>
      <c r="AA42" s="1810">
        <f t="shared" si="3"/>
        <v>1</v>
      </c>
      <c r="AB42" s="1810">
        <f t="shared" si="4"/>
        <v>1</v>
      </c>
      <c r="AC42" s="1810">
        <f t="shared" si="5"/>
        <v>1</v>
      </c>
    </row>
    <row r="43" spans="1:29" ht="15">
      <c r="A43" s="472"/>
      <c r="B43" s="422" t="s">
        <v>2572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7"/>
      <c r="Q43" s="1809" t="str">
        <f t="shared" si="11"/>
        <v>内部装修维护情况</v>
      </c>
      <c r="R43" s="774" t="s">
        <v>17</v>
      </c>
      <c r="S43" s="775">
        <f t="shared" si="12"/>
        <v>100</v>
      </c>
      <c r="T43" s="774" t="s">
        <v>17</v>
      </c>
      <c r="U43" s="775">
        <f t="shared" si="13"/>
        <v>100</v>
      </c>
      <c r="V43" s="774" t="s">
        <v>17</v>
      </c>
      <c r="W43" s="775">
        <f t="shared" si="14"/>
        <v>100</v>
      </c>
      <c r="X43" s="1812"/>
      <c r="Y43" s="319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4">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09">
        <f t="shared" si="11"/>
        <v>111</v>
      </c>
      <c r="R45" s="774" t="s">
        <v>17</v>
      </c>
      <c r="S45" s="775">
        <f t="shared" si="12"/>
        <v>100</v>
      </c>
      <c r="T45" s="774" t="s">
        <v>17</v>
      </c>
      <c r="U45" s="775">
        <f t="shared" si="13"/>
        <v>100</v>
      </c>
      <c r="V45" s="774" t="s">
        <v>17</v>
      </c>
      <c r="W45" s="775">
        <f t="shared" si="14"/>
        <v>100</v>
      </c>
      <c r="X45" s="1812"/>
      <c r="Y45" s="3195"/>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259"/>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190" t="str">
        <f>A47</f>
        <v>成交单价（元/平方米）</v>
      </c>
      <c r="Q47" s="3190"/>
      <c r="R47" s="3196">
        <f>E47</f>
        <v>0</v>
      </c>
      <c r="S47" s="3196"/>
      <c r="T47" s="3196">
        <f>G47</f>
        <v>0</v>
      </c>
      <c r="U47" s="3196"/>
      <c r="V47" s="3196">
        <f>I47</f>
        <v>0</v>
      </c>
      <c r="W47" s="3196"/>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4" t="str">
        <f>A49</f>
        <v>估价对象XX用房的比较价值（楼面单价，元/平方米）</v>
      </c>
      <c r="Q49" s="3185"/>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2544</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2584</v>
      </c>
      <c r="B63" s="528" t="s">
        <v>2550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2559</v>
      </c>
      <c r="B100" s="528" t="s">
        <v>2677</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2612</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2680</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7" t="s">
        <v>2682</v>
      </c>
      <c r="C1" s="1619" t="s">
        <v>2526</v>
      </c>
      <c r="D1" s="1620"/>
      <c r="E1" s="1629"/>
      <c r="F1" s="2582"/>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164273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69" t="s">
        <v>2647</v>
      </c>
      <c r="Q4" s="3270"/>
      <c r="R4" s="3273" t="s">
        <v>2643</v>
      </c>
      <c r="S4" s="3274"/>
      <c r="T4" s="3273" t="s">
        <v>2644</v>
      </c>
      <c r="U4" s="3274"/>
      <c r="V4" s="3275" t="s">
        <v>2645</v>
      </c>
      <c r="W4" s="3275"/>
      <c r="X4" s="2668"/>
      <c r="Y4" s="3273" t="s">
        <v>2647</v>
      </c>
      <c r="Z4" s="3274"/>
      <c r="AA4" s="3277" t="s">
        <v>2643</v>
      </c>
      <c r="AB4" s="3277" t="s">
        <v>2644</v>
      </c>
      <c r="AC4" s="3266" t="s">
        <v>2645</v>
      </c>
    </row>
    <row r="5" spans="1:29" ht="15">
      <c r="A5" s="404"/>
      <c r="B5" s="405"/>
      <c r="C5" s="3217" t="s">
        <v>2538</v>
      </c>
      <c r="D5" s="3218"/>
      <c r="E5" s="3225" t="s">
        <v>2539</v>
      </c>
      <c r="F5" s="3226"/>
      <c r="G5" s="3217" t="s">
        <v>2540</v>
      </c>
      <c r="H5" s="3218"/>
      <c r="I5" s="3217" t="s">
        <v>2541</v>
      </c>
      <c r="J5" s="3218"/>
      <c r="K5" s="610"/>
      <c r="L5" s="1130"/>
      <c r="M5" s="1131"/>
      <c r="N5" s="1131"/>
      <c r="O5" s="1131"/>
      <c r="P5" s="3271"/>
      <c r="Q5" s="3206"/>
      <c r="R5" s="3211"/>
      <c r="S5" s="3212"/>
      <c r="T5" s="3211"/>
      <c r="U5" s="3212"/>
      <c r="V5" s="3196"/>
      <c r="W5" s="3196"/>
      <c r="X5" s="1812"/>
      <c r="Y5" s="3211"/>
      <c r="Z5" s="3212"/>
      <c r="AA5" s="3198"/>
      <c r="AB5" s="3198"/>
      <c r="AC5" s="3267"/>
    </row>
    <row r="6" spans="1:29" ht="15.75" thickBot="1">
      <c r="A6" s="406"/>
      <c r="B6" s="407"/>
      <c r="C6" s="3222" t="s">
        <v>2542</v>
      </c>
      <c r="D6" s="3216"/>
      <c r="E6" s="3262" t="s">
        <v>2542</v>
      </c>
      <c r="F6" s="3224"/>
      <c r="G6" s="3222" t="s">
        <v>2542</v>
      </c>
      <c r="H6" s="3216"/>
      <c r="I6" s="3222" t="s">
        <v>2542</v>
      </c>
      <c r="J6" s="3216"/>
      <c r="K6" s="610" t="s">
        <v>2543</v>
      </c>
      <c r="L6" s="1130"/>
      <c r="M6" s="1131"/>
      <c r="N6" s="1131"/>
      <c r="O6" s="1131"/>
      <c r="P6" s="3272"/>
      <c r="Q6" s="3208"/>
      <c r="R6" s="3211"/>
      <c r="S6" s="3212"/>
      <c r="T6" s="3213"/>
      <c r="U6" s="3214"/>
      <c r="V6" s="3196"/>
      <c r="W6" s="3196"/>
      <c r="X6" s="1812"/>
      <c r="Y6" s="3213"/>
      <c r="Z6" s="3214"/>
      <c r="AA6" s="3199"/>
      <c r="AB6" s="3199"/>
      <c r="AC6" s="3268"/>
    </row>
    <row r="7" spans="1:29" s="117" customFormat="1" ht="15.75" thickBot="1">
      <c r="A7" s="408" t="s">
        <v>2544</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2669"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2548</v>
      </c>
      <c r="Q8" s="3220"/>
      <c r="R8" s="770" t="s">
        <v>17</v>
      </c>
      <c r="S8" s="771">
        <f t="shared" si="0"/>
        <v>0</v>
      </c>
      <c r="T8" s="770" t="s">
        <v>17</v>
      </c>
      <c r="U8" s="771">
        <f t="shared" si="1"/>
        <v>0</v>
      </c>
      <c r="V8" s="770" t="s">
        <v>17</v>
      </c>
      <c r="W8" s="771">
        <f t="shared" si="2"/>
        <v>0</v>
      </c>
      <c r="X8" s="772"/>
      <c r="Y8" s="3219" t="s">
        <v>2548</v>
      </c>
      <c r="Z8" s="3220"/>
      <c r="AA8" s="773" t="e">
        <f t="shared" ref="AA8:AA47" si="3">D8/F8</f>
        <v>#DIV/0!</v>
      </c>
      <c r="AB8" s="773" t="e">
        <f t="shared" ref="AB8:AB47" si="4">D8/H8</f>
        <v>#DIV/0!</v>
      </c>
      <c r="AC8" s="2669"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2669">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9">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9">
        <f t="shared" si="5"/>
        <v>1</v>
      </c>
    </row>
    <row r="15" spans="1:29" ht="71.25">
      <c r="A15" s="440" t="s">
        <v>2555</v>
      </c>
      <c r="B15" s="629" t="s">
        <v>2683</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0" t="s">
        <v>2556</v>
      </c>
      <c r="Q15" s="1809" t="str">
        <f t="shared" si="6"/>
        <v>办公集聚程度</v>
      </c>
      <c r="R15" s="774" t="s">
        <v>17</v>
      </c>
      <c r="S15" s="775">
        <f t="shared" si="0"/>
        <v>100</v>
      </c>
      <c r="T15" s="774" t="s">
        <v>17</v>
      </c>
      <c r="U15" s="775">
        <f t="shared" si="1"/>
        <v>100</v>
      </c>
      <c r="V15" s="774" t="s">
        <v>17</v>
      </c>
      <c r="W15" s="775">
        <f t="shared" si="2"/>
        <v>100</v>
      </c>
      <c r="X15" s="1812"/>
      <c r="Y15" s="3192" t="s">
        <v>2556</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1"/>
      <c r="Q16" s="1809"/>
      <c r="R16" s="774"/>
      <c r="S16" s="775"/>
      <c r="T16" s="774"/>
      <c r="U16" s="775"/>
      <c r="V16" s="774"/>
      <c r="W16" s="775"/>
      <c r="X16" s="1812"/>
      <c r="Y16" s="3193"/>
      <c r="Z16" s="1813"/>
      <c r="AA16" s="1810">
        <v>1</v>
      </c>
      <c r="AB16" s="1810">
        <v>1</v>
      </c>
      <c r="AC16" s="2672">
        <v>1</v>
      </c>
    </row>
    <row r="17" spans="1:29" ht="114">
      <c r="A17" s="428"/>
      <c r="B17" s="631" t="s">
        <v>2097</v>
      </c>
      <c r="C17" s="2673"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1"/>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1"/>
      <c r="Q18" s="1809"/>
      <c r="R18" s="774"/>
      <c r="S18" s="775"/>
      <c r="T18" s="774"/>
      <c r="U18" s="775"/>
      <c r="V18" s="774"/>
      <c r="W18" s="775"/>
      <c r="X18" s="1812"/>
      <c r="Y18" s="3193"/>
      <c r="Z18" s="1813"/>
      <c r="AA18" s="1810">
        <v>1</v>
      </c>
      <c r="AB18" s="1810">
        <v>1</v>
      </c>
      <c r="AC18" s="2672">
        <v>1</v>
      </c>
    </row>
    <row r="19" spans="1:29" ht="199.5">
      <c r="A19" s="428"/>
      <c r="B19" s="631" t="s">
        <v>2684</v>
      </c>
      <c r="C19" s="2673"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1"/>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1"/>
      <c r="Q20" s="1809"/>
      <c r="R20" s="774"/>
      <c r="S20" s="775"/>
      <c r="T20" s="774"/>
      <c r="U20" s="775"/>
      <c r="V20" s="774"/>
      <c r="W20" s="775"/>
      <c r="X20" s="1812"/>
      <c r="Y20" s="3193"/>
      <c r="Z20" s="1813"/>
      <c r="AA20" s="1810">
        <v>1</v>
      </c>
      <c r="AB20" s="1810">
        <v>1</v>
      </c>
      <c r="AC20" s="2672">
        <v>1</v>
      </c>
    </row>
    <row r="21" spans="1:29" ht="42.75">
      <c r="A21" s="428"/>
      <c r="B21" s="633" t="s">
        <v>2685</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61"/>
      <c r="Q22" s="1809"/>
      <c r="R22" s="774"/>
      <c r="S22" s="775"/>
      <c r="T22" s="774"/>
      <c r="U22" s="775"/>
      <c r="V22" s="774"/>
      <c r="W22" s="775"/>
      <c r="X22" s="1812"/>
      <c r="Y22" s="3193"/>
      <c r="Z22" s="1813"/>
      <c r="AA22" s="1810">
        <v>1</v>
      </c>
      <c r="AB22" s="1810">
        <v>1</v>
      </c>
      <c r="AC22" s="2672">
        <v>1</v>
      </c>
    </row>
    <row r="23" spans="1:29" ht="71.25">
      <c r="A23" s="428"/>
      <c r="B23" s="631" t="s">
        <v>2686</v>
      </c>
      <c r="C23" s="2673"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1"/>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1"/>
      <c r="Q24" s="1809"/>
      <c r="R24" s="774"/>
      <c r="S24" s="775"/>
      <c r="T24" s="774"/>
      <c r="U24" s="775"/>
      <c r="V24" s="774"/>
      <c r="W24" s="775"/>
      <c r="X24" s="1812"/>
      <c r="Y24" s="3193"/>
      <c r="Z24" s="1813"/>
      <c r="AA24" s="1810">
        <v>1</v>
      </c>
      <c r="AB24" s="1810">
        <v>1</v>
      </c>
      <c r="AC24" s="2672">
        <v>1</v>
      </c>
    </row>
    <row r="25" spans="1:29" ht="27">
      <c r="A25" s="404"/>
      <c r="B25" s="631" t="s">
        <v>2687</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1"/>
      <c r="Q25" s="1809" t="str">
        <f>B25</f>
        <v>毗邻道路的类型与等级</v>
      </c>
      <c r="R25" s="774" t="s">
        <v>17</v>
      </c>
      <c r="S25" s="775">
        <f>F25</f>
        <v>100</v>
      </c>
      <c r="T25" s="774" t="s">
        <v>17</v>
      </c>
      <c r="U25" s="775">
        <f>H25</f>
        <v>100</v>
      </c>
      <c r="V25" s="774" t="s">
        <v>17</v>
      </c>
      <c r="W25" s="775">
        <f>J25</f>
        <v>100</v>
      </c>
      <c r="X25" s="1812"/>
      <c r="Y25" s="3193"/>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1"/>
      <c r="Q26" s="1809"/>
      <c r="R26" s="774"/>
      <c r="S26" s="775"/>
      <c r="T26" s="774"/>
      <c r="U26" s="775"/>
      <c r="V26" s="774"/>
      <c r="W26" s="775"/>
      <c r="X26" s="1812"/>
      <c r="Y26" s="3193"/>
      <c r="Z26" s="1813"/>
      <c r="AA26" s="1810">
        <v>1</v>
      </c>
      <c r="AB26" s="1810">
        <v>1</v>
      </c>
      <c r="AC26" s="2672">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1"/>
      <c r="Q27" s="1809" t="str">
        <f t="shared" ref="Q27:Q47" si="11">B27</f>
        <v>楼层</v>
      </c>
      <c r="R27" s="774" t="s">
        <v>17</v>
      </c>
      <c r="S27" s="775">
        <f>F27</f>
        <v>100</v>
      </c>
      <c r="T27" s="774" t="s">
        <v>17</v>
      </c>
      <c r="U27" s="775">
        <f>H27</f>
        <v>100</v>
      </c>
      <c r="V27" s="774" t="s">
        <v>17</v>
      </c>
      <c r="W27" s="775">
        <f>J27</f>
        <v>100</v>
      </c>
      <c r="X27" s="1812"/>
      <c r="Y27" s="3193"/>
      <c r="Z27" s="1813" t="str">
        <f>Q27</f>
        <v>楼层</v>
      </c>
      <c r="AA27" s="1810">
        <f t="shared" si="3"/>
        <v>1</v>
      </c>
      <c r="AB27" s="1810">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1"/>
      <c r="Q28" s="1794" t="str">
        <f t="shared" si="11"/>
        <v>朝向</v>
      </c>
      <c r="R28" s="770" t="s">
        <v>17</v>
      </c>
      <c r="S28" s="771">
        <f>F28</f>
        <v>100</v>
      </c>
      <c r="T28" s="770" t="s">
        <v>17</v>
      </c>
      <c r="U28" s="771">
        <f>H28</f>
        <v>100</v>
      </c>
      <c r="V28" s="770" t="s">
        <v>17</v>
      </c>
      <c r="W28" s="771">
        <f>J28</f>
        <v>100</v>
      </c>
      <c r="X28" s="772"/>
      <c r="Y28" s="3193"/>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1"/>
      <c r="Q29" s="1809">
        <f t="shared" si="11"/>
        <v>111</v>
      </c>
      <c r="R29" s="774" t="s">
        <v>17</v>
      </c>
      <c r="S29" s="775">
        <f t="shared" ref="S29:S47" si="12">F29</f>
        <v>100</v>
      </c>
      <c r="T29" s="774" t="s">
        <v>17</v>
      </c>
      <c r="U29" s="775">
        <f t="shared" ref="U29:U47" si="13">H29</f>
        <v>100</v>
      </c>
      <c r="V29" s="774" t="s">
        <v>17</v>
      </c>
      <c r="W29" s="775">
        <f t="shared" ref="W29:W47" si="14">J29</f>
        <v>100</v>
      </c>
      <c r="X29" s="1812"/>
      <c r="Y29" s="3193"/>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1"/>
      <c r="Q30" s="1809">
        <f t="shared" si="11"/>
        <v>111</v>
      </c>
      <c r="R30" s="774" t="s">
        <v>17</v>
      </c>
      <c r="S30" s="775">
        <f t="shared" si="12"/>
        <v>100</v>
      </c>
      <c r="T30" s="774" t="s">
        <v>17</v>
      </c>
      <c r="U30" s="775">
        <f t="shared" si="13"/>
        <v>100</v>
      </c>
      <c r="V30" s="774" t="s">
        <v>17</v>
      </c>
      <c r="W30" s="775">
        <f t="shared" si="14"/>
        <v>100</v>
      </c>
      <c r="X30" s="1812"/>
      <c r="Y30" s="3193"/>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1"/>
      <c r="Q31" s="1809">
        <f t="shared" si="11"/>
        <v>111</v>
      </c>
      <c r="R31" s="774" t="s">
        <v>17</v>
      </c>
      <c r="S31" s="775">
        <f t="shared" si="12"/>
        <v>100</v>
      </c>
      <c r="T31" s="774" t="s">
        <v>17</v>
      </c>
      <c r="U31" s="775">
        <f t="shared" si="13"/>
        <v>100</v>
      </c>
      <c r="V31" s="774" t="s">
        <v>17</v>
      </c>
      <c r="W31" s="775">
        <f t="shared" si="14"/>
        <v>100</v>
      </c>
      <c r="X31" s="1812"/>
      <c r="Y31" s="3193"/>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1"/>
      <c r="Q32" s="1809">
        <f t="shared" si="11"/>
        <v>111</v>
      </c>
      <c r="R32" s="774" t="s">
        <v>17</v>
      </c>
      <c r="S32" s="775">
        <f t="shared" si="12"/>
        <v>100</v>
      </c>
      <c r="T32" s="774" t="s">
        <v>17</v>
      </c>
      <c r="U32" s="775">
        <f t="shared" si="13"/>
        <v>100</v>
      </c>
      <c r="V32" s="774" t="s">
        <v>17</v>
      </c>
      <c r="W32" s="775">
        <f t="shared" si="14"/>
        <v>100</v>
      </c>
      <c r="X32" s="1812"/>
      <c r="Y32" s="3193"/>
      <c r="Z32" s="1813">
        <f t="shared" si="15"/>
        <v>111</v>
      </c>
      <c r="AA32" s="1810">
        <f t="shared" si="3"/>
        <v>1</v>
      </c>
      <c r="AB32" s="1810">
        <f t="shared" si="4"/>
        <v>1</v>
      </c>
      <c r="AC32" s="2672">
        <f t="shared" si="5"/>
        <v>1</v>
      </c>
    </row>
    <row r="33" spans="1:29" ht="15">
      <c r="A33" s="440" t="s">
        <v>2559</v>
      </c>
      <c r="B33" s="71" t="s">
        <v>2689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6" t="s">
        <v>2561</v>
      </c>
      <c r="Q33" s="1809" t="str">
        <f t="shared" si="11"/>
        <v>建筑类型</v>
      </c>
      <c r="R33" s="774" t="s">
        <v>17</v>
      </c>
      <c r="S33" s="775">
        <f t="shared" si="12"/>
        <v>100</v>
      </c>
      <c r="T33" s="774" t="s">
        <v>17</v>
      </c>
      <c r="U33" s="775">
        <f t="shared" si="13"/>
        <v>100</v>
      </c>
      <c r="V33" s="774" t="s">
        <v>17</v>
      </c>
      <c r="W33" s="775">
        <f t="shared" si="14"/>
        <v>100</v>
      </c>
      <c r="X33" s="1812"/>
      <c r="Y33" s="3195" t="s">
        <v>2561</v>
      </c>
      <c r="Z33" s="1813" t="str">
        <f t="shared" si="15"/>
        <v>建筑类型</v>
      </c>
      <c r="AA33" s="1810">
        <f t="shared" si="3"/>
        <v>1</v>
      </c>
      <c r="AB33" s="1810">
        <f t="shared" si="4"/>
        <v>1</v>
      </c>
      <c r="AC33" s="2672">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7"/>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0" t="e">
        <f t="shared" si="3"/>
        <v>#N/A</v>
      </c>
      <c r="AB34" s="1810" t="e">
        <f t="shared" si="4"/>
        <v>#N/A</v>
      </c>
      <c r="AC34" s="2672"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7"/>
      <c r="Q35" s="1809" t="str">
        <f t="shared" si="11"/>
        <v>建筑结构</v>
      </c>
      <c r="R35" s="774" t="s">
        <v>17</v>
      </c>
      <c r="S35" s="775">
        <f t="shared" si="12"/>
        <v>100</v>
      </c>
      <c r="T35" s="774" t="s">
        <v>17</v>
      </c>
      <c r="U35" s="775">
        <f t="shared" si="13"/>
        <v>100</v>
      </c>
      <c r="V35" s="774" t="s">
        <v>17</v>
      </c>
      <c r="W35" s="775">
        <f t="shared" si="14"/>
        <v>100</v>
      </c>
      <c r="X35" s="1812"/>
      <c r="Y35" s="3195"/>
      <c r="Z35" s="1813" t="str">
        <f t="shared" si="15"/>
        <v>建筑结构</v>
      </c>
      <c r="AA35" s="1810">
        <f t="shared" si="3"/>
        <v>1</v>
      </c>
      <c r="AB35" s="1810">
        <f t="shared" si="4"/>
        <v>1</v>
      </c>
      <c r="AC35" s="267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7"/>
      <c r="Q36" s="1809" t="str">
        <f t="shared" si="11"/>
        <v>公共部分装修</v>
      </c>
      <c r="R36" s="774" t="s">
        <v>17</v>
      </c>
      <c r="S36" s="775">
        <f t="shared" si="12"/>
        <v>100</v>
      </c>
      <c r="T36" s="774" t="s">
        <v>17</v>
      </c>
      <c r="U36" s="775">
        <f t="shared" si="13"/>
        <v>100</v>
      </c>
      <c r="V36" s="774" t="s">
        <v>17</v>
      </c>
      <c r="W36" s="775">
        <f t="shared" si="14"/>
        <v>100</v>
      </c>
      <c r="X36" s="1812"/>
      <c r="Y36" s="3195"/>
      <c r="Z36" s="1813" t="str">
        <f t="shared" si="15"/>
        <v>公共部分装修</v>
      </c>
      <c r="AA36" s="1810">
        <f t="shared" si="3"/>
        <v>1</v>
      </c>
      <c r="AB36" s="1810">
        <f t="shared" si="4"/>
        <v>1</v>
      </c>
      <c r="AC36" s="2672">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7"/>
      <c r="Q37" s="1809" t="str">
        <f t="shared" si="11"/>
        <v>成新度</v>
      </c>
      <c r="R37" s="774" t="s">
        <v>17</v>
      </c>
      <c r="S37" s="775" t="e">
        <f t="shared" si="12"/>
        <v>#N/A</v>
      </c>
      <c r="T37" s="774" t="s">
        <v>17</v>
      </c>
      <c r="U37" s="775" t="e">
        <f t="shared" si="13"/>
        <v>#N/A</v>
      </c>
      <c r="V37" s="774" t="s">
        <v>17</v>
      </c>
      <c r="W37" s="775" t="e">
        <f t="shared" si="14"/>
        <v>#N/A</v>
      </c>
      <c r="X37" s="1812"/>
      <c r="Y37" s="3195"/>
      <c r="Z37" s="1813" t="str">
        <f t="shared" si="15"/>
        <v>成新度</v>
      </c>
      <c r="AA37" s="1810" t="e">
        <f t="shared" si="3"/>
        <v>#N/A</v>
      </c>
      <c r="AB37" s="1810" t="e">
        <f t="shared" si="4"/>
        <v>#N/A</v>
      </c>
      <c r="AC37" s="2672"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7"/>
      <c r="Q38" s="1794"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9">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7" t="s">
        <v>2561</v>
      </c>
      <c r="Q39" s="1809" t="str">
        <f t="shared" si="11"/>
        <v>物业管理</v>
      </c>
      <c r="R39" s="774" t="s">
        <v>17</v>
      </c>
      <c r="S39" s="775">
        <f t="shared" si="12"/>
        <v>100</v>
      </c>
      <c r="T39" s="774" t="s">
        <v>17</v>
      </c>
      <c r="U39" s="775">
        <f t="shared" si="13"/>
        <v>100</v>
      </c>
      <c r="V39" s="774" t="s">
        <v>17</v>
      </c>
      <c r="W39" s="775">
        <f t="shared" si="14"/>
        <v>100</v>
      </c>
      <c r="X39" s="1812"/>
      <c r="Y39" s="3195" t="s">
        <v>2561</v>
      </c>
      <c r="Z39" s="1813" t="str">
        <f t="shared" si="15"/>
        <v>物业管理</v>
      </c>
      <c r="AA39" s="1810">
        <f t="shared" si="3"/>
        <v>1</v>
      </c>
      <c r="AB39" s="1810">
        <f t="shared" si="4"/>
        <v>1</v>
      </c>
      <c r="AC39" s="2672">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7"/>
      <c r="Q40" s="1809" t="str">
        <f t="shared" si="11"/>
        <v>市政基础设施</v>
      </c>
      <c r="R40" s="774" t="s">
        <v>17</v>
      </c>
      <c r="S40" s="775">
        <f t="shared" si="12"/>
        <v>100</v>
      </c>
      <c r="T40" s="774" t="s">
        <v>17</v>
      </c>
      <c r="U40" s="775">
        <f t="shared" si="13"/>
        <v>100</v>
      </c>
      <c r="V40" s="774" t="s">
        <v>17</v>
      </c>
      <c r="W40" s="775">
        <f t="shared" si="14"/>
        <v>100</v>
      </c>
      <c r="X40" s="1812"/>
      <c r="Y40" s="3195"/>
      <c r="Z40" s="1813" t="str">
        <f t="shared" si="15"/>
        <v>市政基础设施</v>
      </c>
      <c r="AA40" s="1810">
        <f t="shared" si="3"/>
        <v>1</v>
      </c>
      <c r="AB40" s="1810">
        <f t="shared" si="4"/>
        <v>1</v>
      </c>
      <c r="AC40" s="2672">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7"/>
      <c r="Q41" s="1809" t="str">
        <f t="shared" si="11"/>
        <v>层高</v>
      </c>
      <c r="R41" s="774" t="s">
        <v>17</v>
      </c>
      <c r="S41" s="775">
        <f t="shared" si="12"/>
        <v>100</v>
      </c>
      <c r="T41" s="774" t="s">
        <v>17</v>
      </c>
      <c r="U41" s="775">
        <f t="shared" si="13"/>
        <v>100</v>
      </c>
      <c r="V41" s="774" t="s">
        <v>17</v>
      </c>
      <c r="W41" s="775">
        <f t="shared" si="14"/>
        <v>100</v>
      </c>
      <c r="X41" s="1812"/>
      <c r="Y41" s="3195"/>
      <c r="Z41" s="1813" t="str">
        <f t="shared" si="15"/>
        <v>层高</v>
      </c>
      <c r="AA41" s="1810">
        <f t="shared" si="3"/>
        <v>1</v>
      </c>
      <c r="AB41" s="1810">
        <f t="shared" si="4"/>
        <v>1</v>
      </c>
      <c r="AC41" s="2672">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0">
        <f t="shared" si="3"/>
        <v>1</v>
      </c>
      <c r="AB42" s="1810">
        <f t="shared" si="4"/>
        <v>1</v>
      </c>
      <c r="AC42" s="2672">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7"/>
      <c r="Q43" s="1809" t="str">
        <f t="shared" si="11"/>
        <v>内部装修</v>
      </c>
      <c r="R43" s="774" t="s">
        <v>17</v>
      </c>
      <c r="S43" s="775">
        <f t="shared" si="12"/>
        <v>100</v>
      </c>
      <c r="T43" s="774" t="s">
        <v>17</v>
      </c>
      <c r="U43" s="775">
        <f t="shared" si="13"/>
        <v>100</v>
      </c>
      <c r="V43" s="774" t="s">
        <v>17</v>
      </c>
      <c r="W43" s="775">
        <f t="shared" si="14"/>
        <v>100</v>
      </c>
      <c r="X43" s="1812"/>
      <c r="Y43" s="3195"/>
      <c r="Z43" s="1813" t="str">
        <f t="shared" si="15"/>
        <v>内部装修</v>
      </c>
      <c r="AA43" s="1810">
        <f t="shared" si="3"/>
        <v>1</v>
      </c>
      <c r="AB43" s="1810">
        <f t="shared" si="4"/>
        <v>1</v>
      </c>
      <c r="AC43" s="2672">
        <f t="shared" si="5"/>
        <v>1</v>
      </c>
    </row>
    <row r="44" spans="1:29" ht="15">
      <c r="A44" s="472"/>
      <c r="B44" s="422" t="s">
        <v>2572</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7"/>
      <c r="Q44" s="1809" t="str">
        <f t="shared" si="11"/>
        <v>内部装修维护情况</v>
      </c>
      <c r="R44" s="774" t="s">
        <v>17</v>
      </c>
      <c r="S44" s="775">
        <f t="shared" si="12"/>
        <v>100</v>
      </c>
      <c r="T44" s="774" t="s">
        <v>17</v>
      </c>
      <c r="U44" s="775">
        <f t="shared" si="13"/>
        <v>100</v>
      </c>
      <c r="V44" s="774" t="s">
        <v>17</v>
      </c>
      <c r="W44" s="775">
        <f t="shared" si="14"/>
        <v>100</v>
      </c>
      <c r="X44" s="1812"/>
      <c r="Y44" s="3195"/>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4">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09">
        <f t="shared" si="11"/>
        <v>111</v>
      </c>
      <c r="R46" s="774" t="s">
        <v>17</v>
      </c>
      <c r="S46" s="775">
        <f t="shared" si="12"/>
        <v>100</v>
      </c>
      <c r="T46" s="774" t="s">
        <v>17</v>
      </c>
      <c r="U46" s="775">
        <f t="shared" si="13"/>
        <v>100</v>
      </c>
      <c r="V46" s="774" t="s">
        <v>17</v>
      </c>
      <c r="W46" s="775">
        <f t="shared" si="14"/>
        <v>100</v>
      </c>
      <c r="X46" s="1812"/>
      <c r="Y46" s="3195"/>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09">
        <f t="shared" si="11"/>
        <v>111</v>
      </c>
      <c r="R47" s="774" t="s">
        <v>17</v>
      </c>
      <c r="S47" s="775">
        <f t="shared" si="12"/>
        <v>100</v>
      </c>
      <c r="T47" s="774" t="s">
        <v>17</v>
      </c>
      <c r="U47" s="775">
        <f t="shared" si="13"/>
        <v>100</v>
      </c>
      <c r="V47" s="774" t="s">
        <v>17</v>
      </c>
      <c r="W47" s="775">
        <f t="shared" si="14"/>
        <v>100</v>
      </c>
      <c r="X47" s="1812"/>
      <c r="Y47" s="3259"/>
      <c r="Z47" s="1813">
        <f t="shared" si="15"/>
        <v>111</v>
      </c>
      <c r="AA47" s="1810">
        <f t="shared" si="3"/>
        <v>1</v>
      </c>
      <c r="AB47" s="1810">
        <f t="shared" si="4"/>
        <v>1</v>
      </c>
      <c r="AC47" s="2672">
        <f t="shared" si="5"/>
        <v>1</v>
      </c>
    </row>
    <row r="48" spans="1:29" ht="15">
      <c r="A48" s="479" t="s">
        <v>2573</v>
      </c>
      <c r="B48" s="480"/>
      <c r="C48" s="1407" t="s">
        <v>1</v>
      </c>
      <c r="D48" s="1408"/>
      <c r="E48" s="1409"/>
      <c r="F48" s="1410"/>
      <c r="G48" s="1411"/>
      <c r="H48" s="1412"/>
      <c r="I48" s="1409"/>
      <c r="J48" s="485"/>
      <c r="K48" s="783"/>
      <c r="L48" s="1143"/>
      <c r="M48" s="1131"/>
      <c r="N48" s="1131"/>
      <c r="O48" s="1131"/>
      <c r="P48" s="3189" t="str">
        <f>A48</f>
        <v>成交单价（元/平方米）</v>
      </c>
      <c r="Q48" s="3190"/>
      <c r="R48" s="3255">
        <f>E48</f>
        <v>0</v>
      </c>
      <c r="S48" s="3255"/>
      <c r="T48" s="3255">
        <f>G48</f>
        <v>0</v>
      </c>
      <c r="U48" s="3255"/>
      <c r="V48" s="3255">
        <f>I48</f>
        <v>0</v>
      </c>
      <c r="W48" s="3255"/>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90"/>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9"/>
      <c r="Q58" s="504"/>
    </row>
    <row r="59" spans="1:29" s="508" customFormat="1" ht="15">
      <c r="A59" s="505" t="s">
        <v>2544</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2584</v>
      </c>
      <c r="B64" s="528" t="s">
        <v>2550</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2695</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2559</v>
      </c>
      <c r="B101" s="528" t="s">
        <v>2608</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2610</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2612</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2613</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2614</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2697</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2616</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成都市中天盈房地产开发有限公司：</v>
      </c>
    </row>
    <row r="4" spans="1:1" ht="36">
      <c r="A4" s="1947" t="str">
        <f>"受贵公司委托，我公司对"&amp;项目基本情况!S1&amp;"进行了预评估。"</f>
        <v>受贵公司委托，我公司对四川省成都市高新区交子大道300号出让国有建设用地使用权及在建建筑物房地产抵押价值进行了预评估。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出让国有建设用地使用权及在建建筑物房地产，为所有。根据《国有土地使用证》[成高国用（2009）第8728号]，估价对象（分摊）出让国有建设用地使用权面积为13142.44平方米，建筑面积为164273平方米。</v>
      </c>
    </row>
    <row r="8" spans="1:1" ht="57.75">
      <c r="A8" s="1950" t="s">
        <v>1614</v>
      </c>
    </row>
    <row r="9" spans="1:1" ht="18.75">
      <c r="A9" s="1949" t="s">
        <v>1615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出让国有建设用地使用权及在建建筑物房地产,属开发建设的商业项目，该项目尚在开发建设中。根据《国有土地使用证》[成高国用（2009）第8728号]，估价对象（分摊）出让国有建设用地使用权面积为13142.44平方米，规划建筑面积为164273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2018年8月12日（评估专业人员实地查勘之日）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7" t="s">
        <v>2698</v>
      </c>
      <c r="C1" s="1619" t="s">
        <v>2526</v>
      </c>
      <c r="D1" s="1620"/>
      <c r="E1" s="1629"/>
      <c r="F1" s="2582"/>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164273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8" t="s">
        <v>2644</v>
      </c>
      <c r="AC4" s="3197" t="s">
        <v>2645</v>
      </c>
    </row>
    <row r="5" spans="1:29" ht="15">
      <c r="A5" s="404"/>
      <c r="B5" s="405"/>
      <c r="C5" s="3217" t="s">
        <v>2538</v>
      </c>
      <c r="D5" s="3218"/>
      <c r="E5" s="3225" t="s">
        <v>2539</v>
      </c>
      <c r="F5" s="3226"/>
      <c r="G5" s="3217" t="s">
        <v>2540</v>
      </c>
      <c r="H5" s="3218"/>
      <c r="I5" s="3217" t="s">
        <v>2541</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2542</v>
      </c>
      <c r="D6" s="3216"/>
      <c r="E6" s="3262" t="s">
        <v>2542</v>
      </c>
      <c r="F6" s="3224"/>
      <c r="G6" s="3222" t="s">
        <v>2542</v>
      </c>
      <c r="H6" s="3216"/>
      <c r="I6" s="3222" t="s">
        <v>2542</v>
      </c>
      <c r="J6" s="3216"/>
      <c r="K6" s="610" t="s">
        <v>2543</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2544</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9" t="s">
        <v>2548</v>
      </c>
      <c r="Q8" s="3220"/>
      <c r="R8" s="770" t="s">
        <v>17</v>
      </c>
      <c r="S8" s="771">
        <f t="shared" si="0"/>
        <v>0</v>
      </c>
      <c r="T8" s="770" t="s">
        <v>17</v>
      </c>
      <c r="U8" s="771">
        <f t="shared" si="1"/>
        <v>0</v>
      </c>
      <c r="V8" s="770" t="s">
        <v>17</v>
      </c>
      <c r="W8" s="771">
        <f t="shared" si="2"/>
        <v>0</v>
      </c>
      <c r="X8" s="772"/>
      <c r="Y8" s="3219" t="s">
        <v>2548</v>
      </c>
      <c r="Z8" s="3220"/>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2" t="s">
        <v>2556</v>
      </c>
      <c r="Q15" s="1809" t="str">
        <f t="shared" si="6"/>
        <v>产业集聚程度</v>
      </c>
      <c r="R15" s="774" t="s">
        <v>17</v>
      </c>
      <c r="S15" s="775">
        <f t="shared" si="0"/>
        <v>100</v>
      </c>
      <c r="T15" s="774" t="s">
        <v>17</v>
      </c>
      <c r="U15" s="775">
        <f t="shared" si="1"/>
        <v>100</v>
      </c>
      <c r="V15" s="774" t="s">
        <v>17</v>
      </c>
      <c r="W15" s="775">
        <f t="shared" si="2"/>
        <v>100</v>
      </c>
      <c r="X15" s="1812"/>
      <c r="Y15" s="3192"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3"/>
      <c r="Q16" s="1809"/>
      <c r="R16" s="774"/>
      <c r="S16" s="775"/>
      <c r="T16" s="774"/>
      <c r="U16" s="775"/>
      <c r="V16" s="774"/>
      <c r="W16" s="775"/>
      <c r="X16" s="1812"/>
      <c r="Y16" s="3193"/>
      <c r="Z16" s="1813"/>
      <c r="AA16" s="1810">
        <v>1</v>
      </c>
      <c r="AB16" s="1810">
        <v>1</v>
      </c>
      <c r="AC16" s="1810">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93"/>
      <c r="Q18" s="1809"/>
      <c r="R18" s="774"/>
      <c r="S18" s="775"/>
      <c r="T18" s="774"/>
      <c r="U18" s="775"/>
      <c r="V18" s="774"/>
      <c r="W18" s="775"/>
      <c r="X18" s="1812"/>
      <c r="Y18" s="3193"/>
      <c r="Z18" s="1813"/>
      <c r="AA18" s="1810">
        <v>1</v>
      </c>
      <c r="AB18" s="1810">
        <v>1</v>
      </c>
      <c r="AC18" s="1810">
        <v>1</v>
      </c>
    </row>
    <row r="19" spans="1:29" ht="42.75">
      <c r="A19" s="428"/>
      <c r="B19" s="451" t="s">
        <v>2684</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3"/>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93"/>
      <c r="Q20" s="1809"/>
      <c r="R20" s="774"/>
      <c r="S20" s="775"/>
      <c r="T20" s="774"/>
      <c r="U20" s="775"/>
      <c r="V20" s="774"/>
      <c r="W20" s="775"/>
      <c r="X20" s="1812"/>
      <c r="Y20" s="3193"/>
      <c r="Z20" s="1813"/>
      <c r="AA20" s="1810">
        <v>1</v>
      </c>
      <c r="AB20" s="1810">
        <v>1</v>
      </c>
      <c r="AC20" s="1810">
        <v>1</v>
      </c>
    </row>
    <row r="21" spans="1:29" ht="28.5">
      <c r="A21" s="428"/>
      <c r="B21" s="1384" t="s">
        <v>2685</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3"/>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93"/>
      <c r="Q22" s="1809"/>
      <c r="R22" s="774"/>
      <c r="S22" s="775"/>
      <c r="T22" s="774"/>
      <c r="U22" s="775"/>
      <c r="V22" s="774"/>
      <c r="W22" s="775"/>
      <c r="X22" s="1812"/>
      <c r="Y22" s="3193"/>
      <c r="Z22" s="1813"/>
      <c r="AA22" s="1810">
        <v>1</v>
      </c>
      <c r="AB22" s="1810">
        <v>1</v>
      </c>
      <c r="AC22" s="1810">
        <v>1</v>
      </c>
    </row>
    <row r="23" spans="1:29" ht="71.25">
      <c r="A23" s="428"/>
      <c r="B23" s="451" t="s">
        <v>2686</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3"/>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93"/>
      <c r="Q24" s="1809"/>
      <c r="R24" s="774"/>
      <c r="S24" s="775"/>
      <c r="T24" s="774"/>
      <c r="U24" s="775"/>
      <c r="V24" s="774"/>
      <c r="W24" s="775"/>
      <c r="X24" s="1812"/>
      <c r="Y24" s="319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809">
        <f>B25</f>
        <v>111</v>
      </c>
      <c r="R25" s="774" t="s">
        <v>17</v>
      </c>
      <c r="S25" s="775">
        <f>F25</f>
        <v>100</v>
      </c>
      <c r="T25" s="774" t="s">
        <v>17</v>
      </c>
      <c r="U25" s="775">
        <f>H25</f>
        <v>100</v>
      </c>
      <c r="V25" s="774" t="s">
        <v>17</v>
      </c>
      <c r="W25" s="775">
        <f>J25</f>
        <v>100</v>
      </c>
      <c r="X25" s="1812"/>
      <c r="Y25" s="319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809">
        <f t="shared" ref="Q26:Q40" si="11">B26</f>
        <v>111</v>
      </c>
      <c r="R26" s="774" t="s">
        <v>17</v>
      </c>
      <c r="S26" s="775">
        <f>F26</f>
        <v>100</v>
      </c>
      <c r="T26" s="774" t="s">
        <v>17</v>
      </c>
      <c r="U26" s="775">
        <f>H26</f>
        <v>100</v>
      </c>
      <c r="V26" s="774" t="s">
        <v>17</v>
      </c>
      <c r="W26" s="775">
        <f>J26</f>
        <v>100</v>
      </c>
      <c r="X26" s="1812"/>
      <c r="Y26" s="319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794">
        <f t="shared" si="11"/>
        <v>111</v>
      </c>
      <c r="R27" s="770" t="s">
        <v>17</v>
      </c>
      <c r="S27" s="771">
        <f>F27</f>
        <v>100</v>
      </c>
      <c r="T27" s="770" t="s">
        <v>17</v>
      </c>
      <c r="U27" s="771">
        <f>H27</f>
        <v>100</v>
      </c>
      <c r="V27" s="770" t="s">
        <v>17</v>
      </c>
      <c r="W27" s="771">
        <f>J27</f>
        <v>100</v>
      </c>
      <c r="X27" s="772"/>
      <c r="Y27" s="319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809">
        <f t="shared" si="11"/>
        <v>111</v>
      </c>
      <c r="R28" s="774" t="s">
        <v>17</v>
      </c>
      <c r="S28" s="775">
        <f t="shared" ref="S28:S40" si="12">F28</f>
        <v>100</v>
      </c>
      <c r="T28" s="774" t="s">
        <v>17</v>
      </c>
      <c r="U28" s="775">
        <f t="shared" ref="U28:U40" si="13">H28</f>
        <v>100</v>
      </c>
      <c r="V28" s="774" t="s">
        <v>17</v>
      </c>
      <c r="W28" s="775">
        <f t="shared" ref="W28:W40" si="14">J28</f>
        <v>100</v>
      </c>
      <c r="X28" s="1812"/>
      <c r="Y28" s="3193"/>
      <c r="Z28" s="1813">
        <f t="shared" ref="Z28:Z40" si="15">Q28</f>
        <v>111</v>
      </c>
      <c r="AA28" s="1810">
        <f t="shared" si="3"/>
        <v>1</v>
      </c>
      <c r="AB28" s="1810">
        <f t="shared" si="4"/>
        <v>1</v>
      </c>
      <c r="AC28" s="1810">
        <f t="shared" si="5"/>
        <v>1</v>
      </c>
    </row>
    <row r="29" spans="1:29" ht="1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94" t="s">
        <v>2561</v>
      </c>
      <c r="Q29" s="1809" t="str">
        <f t="shared" si="11"/>
        <v>建筑类型</v>
      </c>
      <c r="R29" s="774" t="s">
        <v>17</v>
      </c>
      <c r="S29" s="775">
        <f t="shared" si="12"/>
        <v>100</v>
      </c>
      <c r="T29" s="774" t="s">
        <v>17</v>
      </c>
      <c r="U29" s="775">
        <f t="shared" si="13"/>
        <v>100</v>
      </c>
      <c r="V29" s="774" t="s">
        <v>17</v>
      </c>
      <c r="W29" s="775">
        <f t="shared" si="14"/>
        <v>100</v>
      </c>
      <c r="X29" s="1812"/>
      <c r="Y29" s="3195"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09" t="str">
        <f t="shared" si="11"/>
        <v>建筑结构</v>
      </c>
      <c r="R31" s="774" t="s">
        <v>17</v>
      </c>
      <c r="S31" s="775">
        <f t="shared" si="12"/>
        <v>100</v>
      </c>
      <c r="T31" s="774" t="s">
        <v>17</v>
      </c>
      <c r="U31" s="775">
        <f t="shared" si="13"/>
        <v>100</v>
      </c>
      <c r="V31" s="774" t="s">
        <v>17</v>
      </c>
      <c r="W31" s="775">
        <f t="shared" si="14"/>
        <v>100</v>
      </c>
      <c r="X31" s="1812"/>
      <c r="Y31" s="3195"/>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09" t="str">
        <f t="shared" si="11"/>
        <v>公共部分装修</v>
      </c>
      <c r="R32" s="774" t="s">
        <v>17</v>
      </c>
      <c r="S32" s="775">
        <f t="shared" si="12"/>
        <v>100</v>
      </c>
      <c r="T32" s="774" t="s">
        <v>17</v>
      </c>
      <c r="U32" s="775">
        <f t="shared" si="13"/>
        <v>100</v>
      </c>
      <c r="V32" s="774" t="s">
        <v>17</v>
      </c>
      <c r="W32" s="775">
        <f t="shared" si="14"/>
        <v>100</v>
      </c>
      <c r="X32" s="1812"/>
      <c r="Y32" s="3195"/>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09" t="str">
        <f t="shared" si="11"/>
        <v>成新度</v>
      </c>
      <c r="R33" s="774" t="s">
        <v>17</v>
      </c>
      <c r="S33" s="775" t="e">
        <f t="shared" si="12"/>
        <v>#N/A</v>
      </c>
      <c r="T33" s="774" t="s">
        <v>17</v>
      </c>
      <c r="U33" s="775" t="e">
        <f t="shared" si="13"/>
        <v>#N/A</v>
      </c>
      <c r="V33" s="774" t="s">
        <v>17</v>
      </c>
      <c r="W33" s="775" t="e">
        <f t="shared" si="14"/>
        <v>#N/A</v>
      </c>
      <c r="X33" s="1812"/>
      <c r="Y33" s="3195"/>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94"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2561</v>
      </c>
      <c r="Q35" s="1809" t="str">
        <f t="shared" si="11"/>
        <v>市政基础设施</v>
      </c>
      <c r="R35" s="774" t="s">
        <v>17</v>
      </c>
      <c r="S35" s="775">
        <f t="shared" si="12"/>
        <v>100</v>
      </c>
      <c r="T35" s="774" t="s">
        <v>17</v>
      </c>
      <c r="U35" s="775">
        <f t="shared" si="13"/>
        <v>100</v>
      </c>
      <c r="V35" s="774" t="s">
        <v>17</v>
      </c>
      <c r="W35" s="775">
        <f t="shared" si="14"/>
        <v>100</v>
      </c>
      <c r="X35" s="1812"/>
      <c r="Y35" s="3195"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09" t="str">
        <f t="shared" si="11"/>
        <v>内部装修</v>
      </c>
      <c r="R36" s="774" t="s">
        <v>17</v>
      </c>
      <c r="S36" s="775">
        <f t="shared" si="12"/>
        <v>100</v>
      </c>
      <c r="T36" s="774" t="s">
        <v>17</v>
      </c>
      <c r="U36" s="775">
        <f t="shared" si="13"/>
        <v>100</v>
      </c>
      <c r="V36" s="774" t="s">
        <v>17</v>
      </c>
      <c r="W36" s="775">
        <f t="shared" si="14"/>
        <v>100</v>
      </c>
      <c r="X36" s="1812"/>
      <c r="Y36" s="3195"/>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09" t="str">
        <f t="shared" si="11"/>
        <v>内部装修状况</v>
      </c>
      <c r="R37" s="774" t="s">
        <v>17</v>
      </c>
      <c r="S37" s="775">
        <f t="shared" si="12"/>
        <v>100</v>
      </c>
      <c r="T37" s="774" t="s">
        <v>17</v>
      </c>
      <c r="U37" s="775">
        <f t="shared" si="13"/>
        <v>100</v>
      </c>
      <c r="V37" s="774" t="s">
        <v>17</v>
      </c>
      <c r="W37" s="775">
        <f t="shared" si="14"/>
        <v>100</v>
      </c>
      <c r="X37" s="1812"/>
      <c r="Y37" s="319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09">
        <f t="shared" si="11"/>
        <v>111</v>
      </c>
      <c r="R39" s="774" t="s">
        <v>17</v>
      </c>
      <c r="S39" s="775">
        <f t="shared" si="12"/>
        <v>100</v>
      </c>
      <c r="T39" s="774" t="s">
        <v>17</v>
      </c>
      <c r="U39" s="775">
        <f t="shared" si="13"/>
        <v>100</v>
      </c>
      <c r="V39" s="774" t="s">
        <v>17</v>
      </c>
      <c r="W39" s="775">
        <f t="shared" si="14"/>
        <v>100</v>
      </c>
      <c r="X39" s="1812"/>
      <c r="Y39" s="3195"/>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09">
        <f t="shared" si="11"/>
        <v>111</v>
      </c>
      <c r="R40" s="774" t="s">
        <v>17</v>
      </c>
      <c r="S40" s="775">
        <f t="shared" si="12"/>
        <v>100</v>
      </c>
      <c r="T40" s="774" t="s">
        <v>17</v>
      </c>
      <c r="U40" s="775">
        <f t="shared" si="13"/>
        <v>100</v>
      </c>
      <c r="V40" s="774" t="s">
        <v>17</v>
      </c>
      <c r="W40" s="775">
        <f t="shared" si="14"/>
        <v>100</v>
      </c>
      <c r="X40" s="1812"/>
      <c r="Y40" s="3259"/>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190" t="str">
        <f>A41</f>
        <v>成交单价（元/平方米）</v>
      </c>
      <c r="Q41" s="3190"/>
      <c r="R41" s="3255">
        <f>E41</f>
        <v>0</v>
      </c>
      <c r="S41" s="3255"/>
      <c r="T41" s="3255">
        <f>G41</f>
        <v>0</v>
      </c>
      <c r="U41" s="3255"/>
      <c r="V41" s="3255">
        <f>I41</f>
        <v>0</v>
      </c>
      <c r="W41" s="3255"/>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4" t="str">
        <f>A43</f>
        <v>估价对象XX用房的比较价值（楼面单价，元/平方米）</v>
      </c>
      <c r="Q43" s="3185"/>
      <c r="R43" s="3254" t="e">
        <f>IF(F1="售价",ROUND(AVERAGE(R42:V42),0),ROUND(AVERAGE(R42:V42),1))</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2"/>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8" t="s">
        <v>2644</v>
      </c>
      <c r="AC4" s="3197" t="s">
        <v>2645</v>
      </c>
    </row>
    <row r="5" spans="1:29" ht="15">
      <c r="A5" s="404"/>
      <c r="B5" s="405"/>
      <c r="C5" s="3217" t="s">
        <v>2538</v>
      </c>
      <c r="D5" s="3218"/>
      <c r="E5" s="3225" t="s">
        <v>2539</v>
      </c>
      <c r="F5" s="3226"/>
      <c r="G5" s="3217" t="s">
        <v>2540</v>
      </c>
      <c r="H5" s="3218"/>
      <c r="I5" s="3217" t="s">
        <v>2541</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2542</v>
      </c>
      <c r="D6" s="3216"/>
      <c r="E6" s="3262" t="s">
        <v>2542</v>
      </c>
      <c r="F6" s="3224"/>
      <c r="G6" s="3222" t="s">
        <v>2542</v>
      </c>
      <c r="H6" s="3216"/>
      <c r="I6" s="3222" t="s">
        <v>2542</v>
      </c>
      <c r="J6" s="3216"/>
      <c r="K6" s="610" t="s">
        <v>2543</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2544</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9" t="s">
        <v>2545</v>
      </c>
      <c r="Q7" s="3221"/>
      <c r="R7" s="770" t="s">
        <v>17</v>
      </c>
      <c r="S7" s="771">
        <f t="shared" ref="S7:S14" si="0">F7</f>
        <v>0</v>
      </c>
      <c r="T7" s="770" t="s">
        <v>17</v>
      </c>
      <c r="U7" s="771">
        <f t="shared" ref="U7:U14" si="1">H7</f>
        <v>0</v>
      </c>
      <c r="V7" s="770" t="s">
        <v>17</v>
      </c>
      <c r="W7" s="771">
        <f t="shared" ref="W7:W14"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9" t="s">
        <v>2548</v>
      </c>
      <c r="Q8" s="3220"/>
      <c r="R8" s="770" t="s">
        <v>17</v>
      </c>
      <c r="S8" s="771">
        <f t="shared" si="0"/>
        <v>0</v>
      </c>
      <c r="T8" s="770" t="s">
        <v>17</v>
      </c>
      <c r="U8" s="771">
        <f t="shared" si="1"/>
        <v>0</v>
      </c>
      <c r="V8" s="770" t="s">
        <v>17</v>
      </c>
      <c r="W8" s="771">
        <f t="shared" si="2"/>
        <v>0</v>
      </c>
      <c r="X8" s="772"/>
      <c r="Y8" s="3219" t="s">
        <v>2548</v>
      </c>
      <c r="Z8" s="3220"/>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2551</v>
      </c>
      <c r="Q9" s="1794" t="str">
        <f t="shared" ref="Q9:Q14" si="6">B9</f>
        <v>用途</v>
      </c>
      <c r="R9" s="770" t="s">
        <v>17</v>
      </c>
      <c r="S9" s="771">
        <f t="shared" si="0"/>
        <v>100</v>
      </c>
      <c r="T9" s="770" t="s">
        <v>17</v>
      </c>
      <c r="U9" s="771">
        <f t="shared" si="1"/>
        <v>100</v>
      </c>
      <c r="V9" s="770" t="s">
        <v>17</v>
      </c>
      <c r="W9" s="771">
        <f t="shared" si="2"/>
        <v>100</v>
      </c>
      <c r="X9" s="772"/>
      <c r="Y9" s="303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4">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01" t="s">
        <v>2555</v>
      </c>
      <c r="B14" s="629" t="s">
        <v>2705</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2556</v>
      </c>
      <c r="Q14" s="1809" t="str">
        <f t="shared" si="6"/>
        <v>交通便捷度</v>
      </c>
      <c r="R14" s="774" t="s">
        <v>17</v>
      </c>
      <c r="S14" s="775">
        <f t="shared" si="0"/>
        <v>100</v>
      </c>
      <c r="T14" s="774" t="s">
        <v>17</v>
      </c>
      <c r="U14" s="775">
        <f t="shared" si="1"/>
        <v>100</v>
      </c>
      <c r="V14" s="774" t="s">
        <v>17</v>
      </c>
      <c r="W14" s="775">
        <f t="shared" si="2"/>
        <v>100</v>
      </c>
      <c r="X14" s="1812"/>
      <c r="Y14" s="3192"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3"/>
      <c r="Q15" s="1809"/>
      <c r="R15" s="774"/>
      <c r="S15" s="775"/>
      <c r="T15" s="774"/>
      <c r="U15" s="775"/>
      <c r="V15" s="774"/>
      <c r="W15" s="775"/>
      <c r="X15" s="1812"/>
      <c r="Y15" s="3193"/>
      <c r="Z15" s="1813"/>
      <c r="AA15" s="1810">
        <v>1</v>
      </c>
      <c r="AB15" s="1810">
        <v>1</v>
      </c>
      <c r="AC15" s="1810">
        <v>1</v>
      </c>
    </row>
    <row r="16" spans="1:29" ht="213.75">
      <c r="A16" s="404"/>
      <c r="B16" s="631" t="s">
        <v>2684</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93"/>
      <c r="Q17" s="1809"/>
      <c r="R17" s="774"/>
      <c r="S17" s="775"/>
      <c r="T17" s="774"/>
      <c r="U17" s="775"/>
      <c r="V17" s="774"/>
      <c r="W17" s="775"/>
      <c r="X17" s="1812"/>
      <c r="Y17" s="3193"/>
      <c r="Z17" s="1813"/>
      <c r="AA17" s="1810">
        <v>1</v>
      </c>
      <c r="AB17" s="1810">
        <v>1</v>
      </c>
      <c r="AC17" s="1810">
        <v>1</v>
      </c>
    </row>
    <row r="18" spans="1:29" ht="42.75">
      <c r="A18" s="404"/>
      <c r="B18" s="633" t="s">
        <v>2685</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93"/>
      <c r="Q19" s="1809"/>
      <c r="R19" s="774"/>
      <c r="S19" s="775"/>
      <c r="T19" s="774"/>
      <c r="U19" s="775"/>
      <c r="V19" s="774"/>
      <c r="W19" s="775"/>
      <c r="X19" s="1812"/>
      <c r="Y19" s="3193"/>
      <c r="Z19" s="1813"/>
      <c r="AA19" s="1810">
        <v>1</v>
      </c>
      <c r="AB19" s="1810">
        <v>1</v>
      </c>
      <c r="AC19" s="1810">
        <v>1</v>
      </c>
    </row>
    <row r="20" spans="1:29" ht="71.25">
      <c r="A20" s="404"/>
      <c r="B20" s="631" t="s">
        <v>2706</v>
      </c>
      <c r="C20" s="2605"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3"/>
      <c r="Q21" s="1809"/>
      <c r="R21" s="774"/>
      <c r="S21" s="775"/>
      <c r="T21" s="774"/>
      <c r="U21" s="775"/>
      <c r="V21" s="774"/>
      <c r="W21" s="775"/>
      <c r="X21" s="1812"/>
      <c r="Y21" s="3193"/>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809">
        <f t="shared" ref="Q24:Q36"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5"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09" t="str">
        <f t="shared" si="11"/>
        <v>公共部分装修</v>
      </c>
      <c r="R28" s="774" t="s">
        <v>17</v>
      </c>
      <c r="S28" s="775">
        <f t="shared" si="12"/>
        <v>100</v>
      </c>
      <c r="T28" s="774" t="s">
        <v>17</v>
      </c>
      <c r="U28" s="775">
        <f t="shared" si="13"/>
        <v>100</v>
      </c>
      <c r="V28" s="774" t="s">
        <v>17</v>
      </c>
      <c r="W28" s="775">
        <f t="shared" si="14"/>
        <v>100</v>
      </c>
      <c r="X28" s="1812"/>
      <c r="Y28" s="3195"/>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09" t="str">
        <f t="shared" si="11"/>
        <v>成新率</v>
      </c>
      <c r="R29" s="774" t="s">
        <v>17</v>
      </c>
      <c r="S29" s="775" t="e">
        <f t="shared" si="12"/>
        <v>#N/A</v>
      </c>
      <c r="T29" s="774" t="s">
        <v>17</v>
      </c>
      <c r="U29" s="775" t="e">
        <f t="shared" si="13"/>
        <v>#N/A</v>
      </c>
      <c r="V29" s="774" t="s">
        <v>17</v>
      </c>
      <c r="W29" s="775" t="e">
        <f t="shared" si="14"/>
        <v>#N/A</v>
      </c>
      <c r="X29" s="1812"/>
      <c r="Y29" s="3195"/>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09" t="str">
        <f t="shared" si="11"/>
        <v>物业等级</v>
      </c>
      <c r="R30" s="774" t="s">
        <v>17</v>
      </c>
      <c r="S30" s="775">
        <f t="shared" si="12"/>
        <v>100</v>
      </c>
      <c r="T30" s="774" t="s">
        <v>17</v>
      </c>
      <c r="U30" s="775">
        <f t="shared" si="13"/>
        <v>100</v>
      </c>
      <c r="V30" s="774" t="s">
        <v>17</v>
      </c>
      <c r="W30" s="775">
        <f t="shared" si="14"/>
        <v>100</v>
      </c>
      <c r="X30" s="1812"/>
      <c r="Y30" s="3195"/>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94"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2561</v>
      </c>
      <c r="Q32" s="1809" t="str">
        <f t="shared" si="11"/>
        <v>车位类型</v>
      </c>
      <c r="R32" s="774" t="s">
        <v>17</v>
      </c>
      <c r="S32" s="775">
        <f t="shared" si="12"/>
        <v>100</v>
      </c>
      <c r="T32" s="774" t="s">
        <v>17</v>
      </c>
      <c r="U32" s="775">
        <f t="shared" si="13"/>
        <v>100</v>
      </c>
      <c r="V32" s="774" t="s">
        <v>17</v>
      </c>
      <c r="W32" s="775">
        <f t="shared" si="14"/>
        <v>100</v>
      </c>
      <c r="X32" s="1812"/>
      <c r="Y32" s="3195"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09" t="str">
        <f t="shared" si="11"/>
        <v>是否直接入户</v>
      </c>
      <c r="R33" s="774" t="s">
        <v>17</v>
      </c>
      <c r="S33" s="775">
        <f t="shared" si="12"/>
        <v>100</v>
      </c>
      <c r="T33" s="774" t="s">
        <v>17</v>
      </c>
      <c r="U33" s="775">
        <f t="shared" si="13"/>
        <v>100</v>
      </c>
      <c r="V33" s="774" t="s">
        <v>17</v>
      </c>
      <c r="W33" s="775">
        <f t="shared" si="14"/>
        <v>100</v>
      </c>
      <c r="X33" s="1812"/>
      <c r="Y33" s="319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09">
        <f t="shared" si="11"/>
        <v>111</v>
      </c>
      <c r="R34" s="774" t="s">
        <v>17</v>
      </c>
      <c r="S34" s="775">
        <f t="shared" si="12"/>
        <v>100</v>
      </c>
      <c r="T34" s="774" t="s">
        <v>17</v>
      </c>
      <c r="U34" s="775">
        <f t="shared" si="13"/>
        <v>100</v>
      </c>
      <c r="V34" s="774" t="s">
        <v>17</v>
      </c>
      <c r="W34" s="775">
        <f t="shared" si="14"/>
        <v>100</v>
      </c>
      <c r="X34" s="1812"/>
      <c r="Y34" s="319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09">
        <f t="shared" si="11"/>
        <v>111</v>
      </c>
      <c r="R36" s="774" t="s">
        <v>17</v>
      </c>
      <c r="S36" s="775">
        <f t="shared" si="12"/>
        <v>100</v>
      </c>
      <c r="T36" s="774" t="s">
        <v>17</v>
      </c>
      <c r="U36" s="775">
        <f t="shared" si="13"/>
        <v>100</v>
      </c>
      <c r="V36" s="774" t="s">
        <v>17</v>
      </c>
      <c r="W36" s="775">
        <f t="shared" si="14"/>
        <v>100</v>
      </c>
      <c r="X36" s="1812"/>
      <c r="Y36" s="3195"/>
      <c r="Z36" s="1813">
        <f t="shared" si="15"/>
        <v>111</v>
      </c>
      <c r="AA36" s="1810">
        <f t="shared" si="3"/>
        <v>1</v>
      </c>
      <c r="AB36" s="1810">
        <f t="shared" si="4"/>
        <v>1</v>
      </c>
      <c r="AC36" s="1810">
        <f t="shared" si="5"/>
        <v>1</v>
      </c>
    </row>
    <row r="37" spans="1:29" ht="15">
      <c r="A37" s="479" t="s">
        <v>2716</v>
      </c>
      <c r="B37" s="2693" t="s">
        <v>2717</v>
      </c>
      <c r="C37" s="1407" t="s">
        <v>1</v>
      </c>
      <c r="D37" s="1408"/>
      <c r="E37" s="1409"/>
      <c r="F37" s="1410"/>
      <c r="G37" s="1411"/>
      <c r="H37" s="1412"/>
      <c r="I37" s="1409"/>
      <c r="J37" s="1412"/>
      <c r="K37" s="619"/>
      <c r="L37" s="1143"/>
      <c r="M37" s="1144"/>
      <c r="N37" s="1131"/>
      <c r="O37" s="1144"/>
      <c r="P37" s="3190" t="str">
        <f>A37</f>
        <v>成交单价</v>
      </c>
      <c r="Q37" s="3190"/>
      <c r="R37" s="3255">
        <f>E37</f>
        <v>0</v>
      </c>
      <c r="S37" s="3255"/>
      <c r="T37" s="3255">
        <f>G37</f>
        <v>0</v>
      </c>
      <c r="U37" s="3255"/>
      <c r="V37" s="3255">
        <f>I37</f>
        <v>0</v>
      </c>
      <c r="W37" s="3255"/>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4" t="str">
        <f>A39</f>
        <v>估价对象XX用房的比较价值（楼面单价，元/平方米）</v>
      </c>
      <c r="Q39" s="3185"/>
      <c r="R39" s="3254" t="e">
        <f>IF(F1="售价",ROUND(AVERAGE(R38:V38),0),ROUND(AVERAGE(R38:V38),1))</f>
        <v>#DIV/0!</v>
      </c>
      <c r="S39" s="3254"/>
      <c r="T39" s="3254"/>
      <c r="U39" s="3254"/>
      <c r="V39" s="3254"/>
      <c r="W39" s="32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2"/>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8" t="s">
        <v>2644</v>
      </c>
      <c r="AC4" s="3197" t="s">
        <v>2645</v>
      </c>
    </row>
    <row r="5" spans="1:29" ht="15">
      <c r="A5" s="404"/>
      <c r="B5" s="405"/>
      <c r="C5" s="3217" t="s">
        <v>2538</v>
      </c>
      <c r="D5" s="3218"/>
      <c r="E5" s="3225" t="s">
        <v>2539</v>
      </c>
      <c r="F5" s="3226"/>
      <c r="G5" s="3217" t="s">
        <v>2540</v>
      </c>
      <c r="H5" s="3218"/>
      <c r="I5" s="3217" t="s">
        <v>2541</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2542</v>
      </c>
      <c r="D6" s="3216"/>
      <c r="E6" s="3262" t="s">
        <v>2542</v>
      </c>
      <c r="F6" s="3224"/>
      <c r="G6" s="3222" t="s">
        <v>2542</v>
      </c>
      <c r="H6" s="3216"/>
      <c r="I6" s="3222" t="s">
        <v>2542</v>
      </c>
      <c r="J6" s="3216"/>
      <c r="K6" s="610" t="s">
        <v>2543</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2544</v>
      </c>
      <c r="B7" s="409"/>
      <c r="C7" s="410">
        <f>'数据-取费表'!B2</f>
        <v>43324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9" t="s">
        <v>2545</v>
      </c>
      <c r="Q7" s="3221"/>
      <c r="R7" s="770" t="s">
        <v>17</v>
      </c>
      <c r="S7" s="771">
        <f t="shared" ref="S7:S14" si="0">F7</f>
        <v>0</v>
      </c>
      <c r="T7" s="770" t="s">
        <v>17</v>
      </c>
      <c r="U7" s="771">
        <f t="shared" ref="U7:U14" si="1">H7</f>
        <v>0</v>
      </c>
      <c r="V7" s="770" t="s">
        <v>17</v>
      </c>
      <c r="W7" s="771">
        <f t="shared" ref="W7:W14"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9" t="s">
        <v>2548</v>
      </c>
      <c r="Q8" s="3220"/>
      <c r="R8" s="770" t="s">
        <v>17</v>
      </c>
      <c r="S8" s="771">
        <f t="shared" si="0"/>
        <v>0</v>
      </c>
      <c r="T8" s="770" t="s">
        <v>17</v>
      </c>
      <c r="U8" s="771">
        <f t="shared" si="1"/>
        <v>0</v>
      </c>
      <c r="V8" s="770" t="s">
        <v>17</v>
      </c>
      <c r="W8" s="771">
        <f t="shared" si="2"/>
        <v>0</v>
      </c>
      <c r="X8" s="772"/>
      <c r="Y8" s="3219" t="s">
        <v>2548</v>
      </c>
      <c r="Z8" s="3220"/>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2551</v>
      </c>
      <c r="Q9" s="1794" t="str">
        <f t="shared" ref="Q9:Q14" si="6">B9</f>
        <v>用途</v>
      </c>
      <c r="R9" s="770" t="s">
        <v>17</v>
      </c>
      <c r="S9" s="771">
        <f t="shared" si="0"/>
        <v>100</v>
      </c>
      <c r="T9" s="770" t="s">
        <v>17</v>
      </c>
      <c r="U9" s="771">
        <f t="shared" si="1"/>
        <v>100</v>
      </c>
      <c r="V9" s="770" t="s">
        <v>17</v>
      </c>
      <c r="W9" s="771">
        <f t="shared" si="2"/>
        <v>100</v>
      </c>
      <c r="X9" s="772"/>
      <c r="Y9" s="303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4">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40" t="s">
        <v>2555</v>
      </c>
      <c r="B14" s="69" t="s">
        <v>2705</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2556</v>
      </c>
      <c r="Q14" s="1809" t="str">
        <f t="shared" si="6"/>
        <v>交通便捷度</v>
      </c>
      <c r="R14" s="774" t="s">
        <v>17</v>
      </c>
      <c r="S14" s="775">
        <f t="shared" si="0"/>
        <v>100</v>
      </c>
      <c r="T14" s="774" t="s">
        <v>17</v>
      </c>
      <c r="U14" s="775">
        <f t="shared" si="1"/>
        <v>100</v>
      </c>
      <c r="V14" s="774" t="s">
        <v>17</v>
      </c>
      <c r="W14" s="775">
        <f t="shared" si="2"/>
        <v>100</v>
      </c>
      <c r="X14" s="1812"/>
      <c r="Y14" s="3192"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3"/>
      <c r="Q15" s="1809"/>
      <c r="R15" s="774"/>
      <c r="S15" s="775"/>
      <c r="T15" s="774"/>
      <c r="U15" s="775"/>
      <c r="V15" s="774"/>
      <c r="W15" s="775"/>
      <c r="X15" s="1812"/>
      <c r="Y15" s="3193"/>
      <c r="Z15" s="1813"/>
      <c r="AA15" s="1810">
        <v>1</v>
      </c>
      <c r="AB15" s="1810">
        <v>1</v>
      </c>
      <c r="AC15" s="1810">
        <v>1</v>
      </c>
    </row>
    <row r="16" spans="1:29" ht="213.75">
      <c r="A16" s="428"/>
      <c r="B16" s="451" t="s">
        <v>2684</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93"/>
      <c r="Q17" s="1809"/>
      <c r="R17" s="774"/>
      <c r="S17" s="775"/>
      <c r="T17" s="774"/>
      <c r="U17" s="775"/>
      <c r="V17" s="774"/>
      <c r="W17" s="775"/>
      <c r="X17" s="1812"/>
      <c r="Y17" s="3193"/>
      <c r="Z17" s="1813"/>
      <c r="AA17" s="1810">
        <v>1</v>
      </c>
      <c r="AB17" s="1810">
        <v>1</v>
      </c>
      <c r="AC17" s="1810">
        <v>1</v>
      </c>
    </row>
    <row r="18" spans="1:29" ht="42.75">
      <c r="A18" s="428"/>
      <c r="B18" s="1384" t="s">
        <v>2685</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93"/>
      <c r="Q19" s="1809"/>
      <c r="R19" s="774"/>
      <c r="S19" s="775"/>
      <c r="T19" s="774"/>
      <c r="U19" s="775"/>
      <c r="V19" s="774"/>
      <c r="W19" s="775"/>
      <c r="X19" s="1812"/>
      <c r="Y19" s="3193"/>
      <c r="Z19" s="1813"/>
      <c r="AA19" s="1810">
        <v>1</v>
      </c>
      <c r="AB19" s="1810">
        <v>1</v>
      </c>
      <c r="AC19" s="1810">
        <v>1</v>
      </c>
    </row>
    <row r="20" spans="1:29" ht="71.25">
      <c r="A20" s="428"/>
      <c r="B20" s="451" t="s">
        <v>2706</v>
      </c>
      <c r="C20" s="2605"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3"/>
      <c r="Q21" s="1809"/>
      <c r="R21" s="774"/>
      <c r="S21" s="775"/>
      <c r="T21" s="774"/>
      <c r="U21" s="775"/>
      <c r="V21" s="774"/>
      <c r="W21" s="775"/>
      <c r="X21" s="1812"/>
      <c r="Y21" s="3193"/>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809">
        <f t="shared" ref="Q24:Q34"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94"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5"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09" t="str">
        <f t="shared" si="11"/>
        <v>物业等级</v>
      </c>
      <c r="R28" s="774" t="s">
        <v>17</v>
      </c>
      <c r="S28" s="775">
        <f t="shared" si="12"/>
        <v>100</v>
      </c>
      <c r="T28" s="774" t="s">
        <v>17</v>
      </c>
      <c r="U28" s="775">
        <f t="shared" si="13"/>
        <v>100</v>
      </c>
      <c r="V28" s="774" t="s">
        <v>17</v>
      </c>
      <c r="W28" s="775">
        <f t="shared" si="14"/>
        <v>100</v>
      </c>
      <c r="X28" s="1812"/>
      <c r="Y28" s="3195"/>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09" t="str">
        <f t="shared" si="11"/>
        <v>有无电梯</v>
      </c>
      <c r="R29" s="774" t="s">
        <v>17</v>
      </c>
      <c r="S29" s="775">
        <f t="shared" si="12"/>
        <v>100</v>
      </c>
      <c r="T29" s="774" t="s">
        <v>17</v>
      </c>
      <c r="U29" s="775">
        <f t="shared" si="13"/>
        <v>100</v>
      </c>
      <c r="V29" s="774" t="s">
        <v>17</v>
      </c>
      <c r="W29" s="775">
        <f t="shared" si="14"/>
        <v>100</v>
      </c>
      <c r="X29" s="1812"/>
      <c r="Y29" s="3195"/>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09" t="str">
        <f t="shared" si="11"/>
        <v>建筑面积</v>
      </c>
      <c r="R30" s="774" t="s">
        <v>17</v>
      </c>
      <c r="S30" s="775" t="e">
        <f t="shared" si="12"/>
        <v>#N/A</v>
      </c>
      <c r="T30" s="774" t="s">
        <v>17</v>
      </c>
      <c r="U30" s="775" t="e">
        <f t="shared" si="13"/>
        <v>#N/A</v>
      </c>
      <c r="V30" s="774" t="s">
        <v>17</v>
      </c>
      <c r="W30" s="775" t="e">
        <f t="shared" si="14"/>
        <v>#N/A</v>
      </c>
      <c r="X30" s="1812"/>
      <c r="Y30" s="3195"/>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94"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2561</v>
      </c>
      <c r="Q32" s="1809">
        <f t="shared" si="11"/>
        <v>111</v>
      </c>
      <c r="R32" s="774" t="s">
        <v>17</v>
      </c>
      <c r="S32" s="775">
        <f t="shared" si="12"/>
        <v>100</v>
      </c>
      <c r="T32" s="774" t="s">
        <v>17</v>
      </c>
      <c r="U32" s="775">
        <f t="shared" si="13"/>
        <v>100</v>
      </c>
      <c r="V32" s="774" t="s">
        <v>17</v>
      </c>
      <c r="W32" s="775">
        <f t="shared" si="14"/>
        <v>100</v>
      </c>
      <c r="X32" s="1812"/>
      <c r="Y32" s="3195" t="s">
        <v>2561</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09">
        <f t="shared" si="11"/>
        <v>111</v>
      </c>
      <c r="R33" s="774" t="s">
        <v>17</v>
      </c>
      <c r="S33" s="775">
        <f t="shared" si="12"/>
        <v>100</v>
      </c>
      <c r="T33" s="774" t="s">
        <v>17</v>
      </c>
      <c r="U33" s="775">
        <f t="shared" si="13"/>
        <v>100</v>
      </c>
      <c r="V33" s="774" t="s">
        <v>17</v>
      </c>
      <c r="W33" s="775">
        <f t="shared" si="14"/>
        <v>100</v>
      </c>
      <c r="X33" s="1812"/>
      <c r="Y33" s="3195"/>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95"/>
      <c r="Q34" s="1809">
        <f t="shared" si="11"/>
        <v>111</v>
      </c>
      <c r="R34" s="774" t="s">
        <v>17</v>
      </c>
      <c r="S34" s="775">
        <f t="shared" si="12"/>
        <v>100</v>
      </c>
      <c r="T34" s="774" t="s">
        <v>17</v>
      </c>
      <c r="U34" s="775">
        <f t="shared" si="13"/>
        <v>100</v>
      </c>
      <c r="V34" s="774" t="s">
        <v>17</v>
      </c>
      <c r="W34" s="775">
        <f t="shared" si="14"/>
        <v>100</v>
      </c>
      <c r="X34" s="1812"/>
      <c r="Y34" s="3195"/>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190" t="str">
        <f>A35</f>
        <v>成交单价（元/平方米）</v>
      </c>
      <c r="Q35" s="3190"/>
      <c r="R35" s="3255">
        <f>E35</f>
        <v>0</v>
      </c>
      <c r="S35" s="3255"/>
      <c r="T35" s="3255">
        <f>G35</f>
        <v>0</v>
      </c>
      <c r="U35" s="3255"/>
      <c r="V35" s="3255">
        <f>I35</f>
        <v>0</v>
      </c>
      <c r="W35" s="3255"/>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4" t="str">
        <f>A37</f>
        <v>估价对象XX用房的比较价值（楼面单价，元/平方米）</v>
      </c>
      <c r="Q37" s="3185"/>
      <c r="R37" s="3254" t="e">
        <f>IF(F1="售价",ROUND(AVERAGE(R36:V36),0),ROUND(AVERAGE(R36:V36),1))</f>
        <v>#DIV/0!</v>
      </c>
      <c r="S37" s="3254"/>
      <c r="T37" s="3254"/>
      <c r="U37" s="3254"/>
      <c r="V37" s="3254"/>
      <c r="W37" s="32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7" t="s">
        <v>2642</v>
      </c>
      <c r="D4" s="3200"/>
      <c r="E4" s="3201" t="s">
        <v>2643</v>
      </c>
      <c r="F4" s="3202"/>
      <c r="G4" s="3187" t="s">
        <v>2644</v>
      </c>
      <c r="H4" s="3200"/>
      <c r="I4" s="3187" t="s">
        <v>2645</v>
      </c>
      <c r="J4" s="3200"/>
      <c r="K4" s="610" t="s">
        <v>2646</v>
      </c>
      <c r="L4" s="1130"/>
      <c r="M4" s="1131"/>
      <c r="N4" s="1131"/>
      <c r="O4" s="1131"/>
      <c r="P4" s="3203" t="s">
        <v>2647</v>
      </c>
      <c r="Q4" s="3204"/>
      <c r="R4" s="3209" t="s">
        <v>2643</v>
      </c>
      <c r="S4" s="3210"/>
      <c r="T4" s="3209" t="s">
        <v>2644</v>
      </c>
      <c r="U4" s="3210"/>
      <c r="V4" s="3196" t="s">
        <v>2645</v>
      </c>
      <c r="W4" s="3196"/>
      <c r="X4" s="1812"/>
      <c r="Y4" s="3209" t="s">
        <v>2647</v>
      </c>
      <c r="Z4" s="3210"/>
      <c r="AA4" s="3197" t="s">
        <v>2643</v>
      </c>
      <c r="AB4" s="3198" t="s">
        <v>2644</v>
      </c>
      <c r="AC4" s="3197" t="s">
        <v>2645</v>
      </c>
    </row>
    <row r="5" spans="1:29" ht="15">
      <c r="A5" s="404"/>
      <c r="B5" s="405"/>
      <c r="C5" s="3217" t="s">
        <v>2538</v>
      </c>
      <c r="D5" s="3218"/>
      <c r="E5" s="3225" t="s">
        <v>2539</v>
      </c>
      <c r="F5" s="3226"/>
      <c r="G5" s="3217" t="s">
        <v>2540</v>
      </c>
      <c r="H5" s="3218"/>
      <c r="I5" s="3217" t="s">
        <v>2541</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78" t="s">
        <v>2793</v>
      </c>
      <c r="D6" s="3279"/>
      <c r="E6" s="3280" t="s">
        <v>2793</v>
      </c>
      <c r="F6" s="3281"/>
      <c r="G6" s="3278" t="s">
        <v>2793</v>
      </c>
      <c r="H6" s="3279"/>
      <c r="I6" s="3278" t="s">
        <v>2793</v>
      </c>
      <c r="J6" s="3279"/>
      <c r="K6" s="610" t="s">
        <v>2543</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2544</v>
      </c>
      <c r="B7" s="409"/>
      <c r="C7" s="410">
        <f>'数据-取费表'!B2</f>
        <v>43324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9" t="s">
        <v>2548</v>
      </c>
      <c r="Q8" s="3220"/>
      <c r="R8" s="770" t="s">
        <v>17</v>
      </c>
      <c r="S8" s="771">
        <f t="shared" si="0"/>
        <v>0</v>
      </c>
      <c r="T8" s="770" t="s">
        <v>17</v>
      </c>
      <c r="U8" s="771">
        <f t="shared" si="1"/>
        <v>0</v>
      </c>
      <c r="V8" s="770" t="s">
        <v>17</v>
      </c>
      <c r="W8" s="771">
        <f t="shared" si="2"/>
        <v>0</v>
      </c>
      <c r="X8" s="772"/>
      <c r="Y8" s="3219" t="s">
        <v>2548</v>
      </c>
      <c r="Z8" s="3220"/>
      <c r="AA8" s="773" t="e">
        <f t="shared" ref="AA8:AA40" si="3">D8/F8</f>
        <v>#DIV/0!</v>
      </c>
      <c r="AB8" s="773" t="e">
        <f t="shared" ref="AB8:AB40" si="4">D8/H8</f>
        <v>#DIV/0!</v>
      </c>
      <c r="AC8" s="773"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0" t="s">
        <v>2551</v>
      </c>
      <c r="Q9" s="1794"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90"/>
      <c r="Q10" s="1794" t="str">
        <f t="shared" si="6"/>
        <v>土地使用年限（年）</v>
      </c>
      <c r="R10" s="770" t="s">
        <v>17</v>
      </c>
      <c r="S10" s="771">
        <f t="shared" si="0"/>
        <v>112</v>
      </c>
      <c r="T10" s="770" t="s">
        <v>17</v>
      </c>
      <c r="U10" s="771">
        <f t="shared" si="1"/>
        <v>112</v>
      </c>
      <c r="V10" s="770" t="s">
        <v>17</v>
      </c>
      <c r="W10" s="771">
        <f t="shared" si="2"/>
        <v>112</v>
      </c>
      <c r="X10" s="772"/>
      <c r="Y10" s="3038"/>
      <c r="Z10" s="55" t="str">
        <f t="shared" si="7"/>
        <v>土地使用年限（年）</v>
      </c>
      <c r="AA10" s="773">
        <f t="shared" si="3"/>
        <v>0.8928571428571429</v>
      </c>
      <c r="AB10" s="773">
        <f t="shared" si="4"/>
        <v>0.8928571428571429</v>
      </c>
      <c r="AC10" s="773">
        <f t="shared" si="5"/>
        <v>0.8928571428571429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2556</v>
      </c>
      <c r="Q15" s="1809" t="str">
        <f t="shared" si="6"/>
        <v>产业集聚程度</v>
      </c>
      <c r="R15" s="774" t="s">
        <v>17</v>
      </c>
      <c r="S15" s="775">
        <f t="shared" si="0"/>
        <v>100</v>
      </c>
      <c r="T15" s="774" t="s">
        <v>17</v>
      </c>
      <c r="U15" s="775">
        <f t="shared" si="1"/>
        <v>100</v>
      </c>
      <c r="V15" s="774" t="s">
        <v>17</v>
      </c>
      <c r="W15" s="775">
        <f t="shared" si="2"/>
        <v>100</v>
      </c>
      <c r="X15" s="1812"/>
      <c r="Y15" s="3192" t="s">
        <v>2556</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93"/>
      <c r="Q16" s="1809"/>
      <c r="R16" s="774"/>
      <c r="S16" s="775"/>
      <c r="T16" s="774"/>
      <c r="U16" s="775"/>
      <c r="V16" s="774"/>
      <c r="W16" s="775"/>
      <c r="X16" s="1812"/>
      <c r="Y16" s="3193"/>
      <c r="Z16" s="1813"/>
      <c r="AA16" s="1810">
        <v>1</v>
      </c>
      <c r="AB16" s="1810">
        <v>1</v>
      </c>
      <c r="AC16" s="1810">
        <v>1</v>
      </c>
    </row>
    <row r="17" spans="1:29" ht="85.5">
      <c r="A17" s="428"/>
      <c r="B17" s="631" t="s">
        <v>2705</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93"/>
      <c r="Q18" s="1809"/>
      <c r="R18" s="774"/>
      <c r="S18" s="775"/>
      <c r="T18" s="774"/>
      <c r="U18" s="775"/>
      <c r="V18" s="774"/>
      <c r="W18" s="775"/>
      <c r="X18" s="1812"/>
      <c r="Y18" s="3193"/>
      <c r="Z18" s="1813"/>
      <c r="AA18" s="1810">
        <v>1</v>
      </c>
      <c r="AB18" s="1810">
        <v>1</v>
      </c>
      <c r="AC18" s="1810">
        <v>1</v>
      </c>
    </row>
    <row r="19" spans="1:29" ht="15">
      <c r="A19" s="428"/>
      <c r="B19" s="631" t="s">
        <v>2744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809" t="str">
        <f t="shared" ref="Q19:Q33" si="8">B19</f>
        <v>区域土地利用方向</v>
      </c>
      <c r="R19" s="774" t="s">
        <v>17</v>
      </c>
      <c r="S19" s="775">
        <f>F19</f>
        <v>100</v>
      </c>
      <c r="T19" s="774" t="s">
        <v>17</v>
      </c>
      <c r="U19" s="775">
        <f>H19</f>
        <v>100</v>
      </c>
      <c r="V19" s="774" t="s">
        <v>17</v>
      </c>
      <c r="W19" s="775">
        <f>J19</f>
        <v>100</v>
      </c>
      <c r="X19" s="1812"/>
      <c r="Y19" s="3193"/>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193"/>
      <c r="Q20" s="1809"/>
      <c r="R20" s="774"/>
      <c r="S20" s="775"/>
      <c r="T20" s="774"/>
      <c r="U20" s="775"/>
      <c r="V20" s="774"/>
      <c r="W20" s="775"/>
      <c r="X20" s="1812"/>
      <c r="Y20" s="3193"/>
      <c r="Z20" s="1813"/>
      <c r="AA20" s="1810"/>
      <c r="AB20" s="1810"/>
      <c r="AC20" s="1810"/>
    </row>
    <row r="21" spans="1:29" ht="71.25">
      <c r="A21" s="404"/>
      <c r="B21" s="631" t="s">
        <v>2795</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809" t="str">
        <f t="shared" si="8"/>
        <v>环境状况</v>
      </c>
      <c r="R21" s="774" t="s">
        <v>17</v>
      </c>
      <c r="S21" s="775">
        <f>F21</f>
        <v>100</v>
      </c>
      <c r="T21" s="774" t="s">
        <v>17</v>
      </c>
      <c r="U21" s="775">
        <f>H21</f>
        <v>100</v>
      </c>
      <c r="V21" s="774" t="s">
        <v>17</v>
      </c>
      <c r="W21" s="775">
        <f>J21</f>
        <v>100</v>
      </c>
      <c r="X21" s="1812"/>
      <c r="Y21" s="3193"/>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93"/>
      <c r="Q22" s="1809"/>
      <c r="R22" s="774"/>
      <c r="S22" s="775"/>
      <c r="T22" s="774"/>
      <c r="U22" s="775"/>
      <c r="V22" s="774"/>
      <c r="W22" s="775"/>
      <c r="X22" s="1812"/>
      <c r="Y22" s="3193"/>
      <c r="Z22" s="1813"/>
      <c r="AA22" s="1810">
        <v>1</v>
      </c>
      <c r="AB22" s="1810">
        <v>1</v>
      </c>
      <c r="AC22" s="1810">
        <v>1</v>
      </c>
    </row>
    <row r="23" spans="1:29" s="117" customFormat="1" ht="42.75">
      <c r="A23" s="649"/>
      <c r="B23" s="633" t="s">
        <v>2650</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794" t="str">
        <f t="shared" si="8"/>
        <v>公共配套设施</v>
      </c>
      <c r="R23" s="770" t="s">
        <v>17</v>
      </c>
      <c r="S23" s="771">
        <f>F23</f>
        <v>100</v>
      </c>
      <c r="T23" s="770" t="s">
        <v>17</v>
      </c>
      <c r="U23" s="771">
        <f>H23</f>
        <v>100</v>
      </c>
      <c r="V23" s="770" t="s">
        <v>17</v>
      </c>
      <c r="W23" s="771">
        <f>J23</f>
        <v>100</v>
      </c>
      <c r="X23" s="772"/>
      <c r="Y23" s="3193"/>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93"/>
      <c r="Q24" s="1794"/>
      <c r="R24" s="770"/>
      <c r="S24" s="771"/>
      <c r="T24" s="770"/>
      <c r="U24" s="771"/>
      <c r="V24" s="770"/>
      <c r="W24" s="771"/>
      <c r="X24" s="772"/>
      <c r="Y24" s="3193"/>
      <c r="Z24" s="55"/>
      <c r="AA24" s="773">
        <v>1</v>
      </c>
      <c r="AB24" s="773">
        <v>1</v>
      </c>
      <c r="AC24" s="773">
        <v>1</v>
      </c>
    </row>
    <row r="25" spans="1:29" s="117" customFormat="1" ht="28.5">
      <c r="A25" s="649"/>
      <c r="B25" s="633" t="s">
        <v>2651</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794"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93"/>
      <c r="Q26" s="1794"/>
      <c r="R26" s="770"/>
      <c r="S26" s="771"/>
      <c r="T26" s="770"/>
      <c r="U26" s="771"/>
      <c r="V26" s="770"/>
      <c r="W26" s="771"/>
      <c r="X26" s="772"/>
      <c r="Y26" s="319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3"/>
      <c r="Z27" s="1813" t="str">
        <f t="shared" ref="Z27:Z40" si="13">Q27</f>
        <v>临街状况</v>
      </c>
      <c r="AA27" s="1810">
        <f t="shared" si="3"/>
        <v>1</v>
      </c>
      <c r="AB27" s="1810">
        <f t="shared" si="4"/>
        <v>1</v>
      </c>
      <c r="AC27" s="1810">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809" t="str">
        <f t="shared" si="8"/>
        <v>毗邻道路的类型与等级</v>
      </c>
      <c r="R28" s="774" t="s">
        <v>17</v>
      </c>
      <c r="S28" s="775">
        <f t="shared" si="10"/>
        <v>100</v>
      </c>
      <c r="T28" s="774" t="s">
        <v>17</v>
      </c>
      <c r="U28" s="775">
        <f t="shared" si="11"/>
        <v>100</v>
      </c>
      <c r="V28" s="774" t="s">
        <v>17</v>
      </c>
      <c r="W28" s="775">
        <f t="shared" si="12"/>
        <v>100</v>
      </c>
      <c r="X28" s="1812"/>
      <c r="Y28" s="3193"/>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93"/>
      <c r="Q29" s="1809"/>
      <c r="R29" s="774"/>
      <c r="S29" s="775"/>
      <c r="T29" s="774"/>
      <c r="U29" s="775"/>
      <c r="V29" s="774"/>
      <c r="W29" s="775"/>
      <c r="X29" s="1812"/>
      <c r="Y29" s="3193"/>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809" t="str">
        <f t="shared" si="8"/>
        <v>土地级别</v>
      </c>
      <c r="R30" s="774" t="s">
        <v>17</v>
      </c>
      <c r="S30" s="775">
        <f t="shared" si="10"/>
        <v>100</v>
      </c>
      <c r="T30" s="774" t="s">
        <v>17</v>
      </c>
      <c r="U30" s="775">
        <f t="shared" si="11"/>
        <v>100</v>
      </c>
      <c r="V30" s="774" t="s">
        <v>17</v>
      </c>
      <c r="W30" s="775">
        <f t="shared" si="12"/>
        <v>100</v>
      </c>
      <c r="X30" s="1812"/>
      <c r="Y30" s="3193"/>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809">
        <f t="shared" si="8"/>
        <v>111</v>
      </c>
      <c r="R31" s="774" t="s">
        <v>17</v>
      </c>
      <c r="S31" s="775">
        <f t="shared" si="10"/>
        <v>100</v>
      </c>
      <c r="T31" s="774" t="s">
        <v>17</v>
      </c>
      <c r="U31" s="775">
        <f t="shared" si="11"/>
        <v>100</v>
      </c>
      <c r="V31" s="774" t="s">
        <v>17</v>
      </c>
      <c r="W31" s="775">
        <f t="shared" si="12"/>
        <v>100</v>
      </c>
      <c r="X31" s="1812"/>
      <c r="Y31" s="3193"/>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2561</v>
      </c>
      <c r="Q32" s="1809">
        <f t="shared" si="8"/>
        <v>111</v>
      </c>
      <c r="R32" s="774" t="s">
        <v>17</v>
      </c>
      <c r="S32" s="775">
        <f t="shared" si="10"/>
        <v>100</v>
      </c>
      <c r="T32" s="774" t="s">
        <v>17</v>
      </c>
      <c r="U32" s="775">
        <f t="shared" si="11"/>
        <v>100</v>
      </c>
      <c r="V32" s="774" t="s">
        <v>17</v>
      </c>
      <c r="W32" s="775">
        <f t="shared" si="12"/>
        <v>100</v>
      </c>
      <c r="X32" s="1812"/>
      <c r="Y32" s="3195" t="s">
        <v>2561</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09">
        <f t="shared" si="8"/>
        <v>111</v>
      </c>
      <c r="R33" s="777" t="s">
        <v>17</v>
      </c>
      <c r="S33" s="778">
        <f t="shared" si="10"/>
        <v>100</v>
      </c>
      <c r="T33" s="777" t="s">
        <v>17</v>
      </c>
      <c r="U33" s="778">
        <f t="shared" si="11"/>
        <v>100</v>
      </c>
      <c r="V33" s="777" t="s">
        <v>17</v>
      </c>
      <c r="W33" s="778">
        <f t="shared" si="12"/>
        <v>100</v>
      </c>
      <c r="X33" s="779"/>
      <c r="Y33" s="3195"/>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09" t="str">
        <f>B34</f>
        <v>宗地面积</v>
      </c>
      <c r="R34" s="774" t="s">
        <v>17</v>
      </c>
      <c r="S34" s="775" t="e">
        <f t="shared" si="10"/>
        <v>#N/A</v>
      </c>
      <c r="T34" s="774" t="s">
        <v>17</v>
      </c>
      <c r="U34" s="775" t="e">
        <f t="shared" si="11"/>
        <v>#N/A</v>
      </c>
      <c r="V34" s="774" t="s">
        <v>17</v>
      </c>
      <c r="W34" s="775" t="e">
        <f t="shared" si="12"/>
        <v>#N/A</v>
      </c>
      <c r="X34" s="1812"/>
      <c r="Y34" s="3195"/>
      <c r="Z34" s="1813" t="str">
        <f t="shared" si="13"/>
        <v>宗地面积</v>
      </c>
      <c r="AA34" s="1810" t="e">
        <f t="shared" si="3"/>
        <v>#N/A</v>
      </c>
      <c r="AB34" s="1810" t="e">
        <f t="shared" si="4"/>
        <v>#N/A</v>
      </c>
      <c r="AC34" s="1810" t="e">
        <f t="shared" si="5"/>
        <v>#N/A</v>
      </c>
    </row>
    <row r="35" spans="1:29" ht="15">
      <c r="A35" s="472"/>
      <c r="B35" s="422" t="s">
        <v>2748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95"/>
      <c r="Q35" s="1809" t="str">
        <f t="shared" ref="Q35:Q40" si="14">B35</f>
        <v>宗地形状</v>
      </c>
      <c r="R35" s="774" t="s">
        <v>17</v>
      </c>
      <c r="S35" s="775">
        <f t="shared" si="10"/>
        <v>100</v>
      </c>
      <c r="T35" s="774" t="s">
        <v>17</v>
      </c>
      <c r="U35" s="775">
        <f t="shared" si="11"/>
        <v>100</v>
      </c>
      <c r="V35" s="774" t="s">
        <v>17</v>
      </c>
      <c r="W35" s="775">
        <f t="shared" si="12"/>
        <v>100</v>
      </c>
      <c r="X35" s="1812"/>
      <c r="Y35" s="3195"/>
      <c r="Z35" s="1813" t="str">
        <f t="shared" si="13"/>
        <v>宗地形状</v>
      </c>
      <c r="AA35" s="1810">
        <f t="shared" si="3"/>
        <v>1</v>
      </c>
      <c r="AB35" s="1810">
        <f t="shared" si="4"/>
        <v>1</v>
      </c>
      <c r="AC35" s="1810">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95"/>
      <c r="Q36" s="1809"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95" t="s">
        <v>2561</v>
      </c>
      <c r="Q37" s="1809" t="str">
        <f t="shared" si="14"/>
        <v>工程地质条件</v>
      </c>
      <c r="R37" s="774" t="s">
        <v>17</v>
      </c>
      <c r="S37" s="775">
        <f t="shared" si="10"/>
        <v>100</v>
      </c>
      <c r="T37" s="774" t="s">
        <v>17</v>
      </c>
      <c r="U37" s="775">
        <f t="shared" si="11"/>
        <v>100</v>
      </c>
      <c r="V37" s="774" t="s">
        <v>17</v>
      </c>
      <c r="W37" s="775">
        <f t="shared" si="12"/>
        <v>100</v>
      </c>
      <c r="X37" s="1812"/>
      <c r="Y37" s="3195"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09">
        <f t="shared" si="14"/>
        <v>111</v>
      </c>
      <c r="R38" s="774" t="s">
        <v>17</v>
      </c>
      <c r="S38" s="775">
        <f t="shared" si="10"/>
        <v>100</v>
      </c>
      <c r="T38" s="774" t="s">
        <v>17</v>
      </c>
      <c r="U38" s="775">
        <f t="shared" si="11"/>
        <v>100</v>
      </c>
      <c r="V38" s="774" t="s">
        <v>17</v>
      </c>
      <c r="W38" s="775">
        <f t="shared" si="12"/>
        <v>100</v>
      </c>
      <c r="X38" s="1812"/>
      <c r="Y38" s="319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09">
        <f t="shared" si="14"/>
        <v>111</v>
      </c>
      <c r="R39" s="774" t="s">
        <v>17</v>
      </c>
      <c r="S39" s="775">
        <f t="shared" si="10"/>
        <v>100</v>
      </c>
      <c r="T39" s="774" t="s">
        <v>17</v>
      </c>
      <c r="U39" s="775">
        <f t="shared" si="11"/>
        <v>100</v>
      </c>
      <c r="V39" s="774" t="s">
        <v>17</v>
      </c>
      <c r="W39" s="775">
        <f t="shared" si="12"/>
        <v>100</v>
      </c>
      <c r="X39" s="1812"/>
      <c r="Y39" s="3195"/>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09">
        <f t="shared" si="14"/>
        <v>111</v>
      </c>
      <c r="R40" s="777" t="s">
        <v>17</v>
      </c>
      <c r="S40" s="778">
        <f t="shared" si="10"/>
        <v>100</v>
      </c>
      <c r="T40" s="777" t="s">
        <v>17</v>
      </c>
      <c r="U40" s="778">
        <f t="shared" si="11"/>
        <v>100</v>
      </c>
      <c r="V40" s="777" t="s">
        <v>17</v>
      </c>
      <c r="W40" s="778">
        <f t="shared" si="12"/>
        <v>100</v>
      </c>
      <c r="X40" s="779"/>
      <c r="Y40" s="3195"/>
      <c r="Z40" s="780">
        <f t="shared" si="13"/>
        <v>111</v>
      </c>
      <c r="AA40" s="1810">
        <f t="shared" si="3"/>
        <v>1</v>
      </c>
      <c r="AB40" s="1810">
        <f t="shared" si="4"/>
        <v>1</v>
      </c>
      <c r="AC40" s="1810">
        <f t="shared" si="5"/>
        <v>1</v>
      </c>
    </row>
    <row r="41" spans="1:29" ht="15">
      <c r="A41" s="479" t="s">
        <v>2716</v>
      </c>
      <c r="B41" s="2702" t="s">
        <v>2796</v>
      </c>
      <c r="C41" s="682" t="s">
        <v>1</v>
      </c>
      <c r="D41" s="481"/>
      <c r="E41" s="482"/>
      <c r="F41" s="483"/>
      <c r="G41" s="484"/>
      <c r="H41" s="485"/>
      <c r="I41" s="482"/>
      <c r="J41" s="485"/>
      <c r="K41" s="783"/>
      <c r="L41" s="1143"/>
      <c r="M41" s="1131"/>
      <c r="N41" s="1131"/>
      <c r="O41" s="1144"/>
      <c r="P41" s="3190" t="str">
        <f>A41</f>
        <v>成交单价</v>
      </c>
      <c r="Q41" s="3190"/>
      <c r="R41" s="3196">
        <f>E41</f>
        <v>0</v>
      </c>
      <c r="S41" s="3196"/>
      <c r="T41" s="3196">
        <f>G41</f>
        <v>0</v>
      </c>
      <c r="U41" s="3196"/>
      <c r="V41" s="3196">
        <f>I41</f>
        <v>0</v>
      </c>
      <c r="W41" s="319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183" t="e">
        <f>ROUND(PRODUCT(R41,AA7:AA40),0)</f>
        <v>#DIV/0!</v>
      </c>
      <c r="S42" s="3183"/>
      <c r="T42" s="3183" t="e">
        <f>ROUND(PRODUCT(T41,AB7:AB40),0)</f>
        <v>#DIV/0!</v>
      </c>
      <c r="U42" s="3183"/>
      <c r="V42" s="3183" t="e">
        <f>ROUND(PRODUCT(V41,AC7:AC40),0)</f>
        <v>#DIV/0!</v>
      </c>
      <c r="W42" s="3183"/>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4" t="str">
        <f>A43</f>
        <v>估价对象XX用房的比较价值（楼面单价，元/平方米）</v>
      </c>
      <c r="Q43" s="3185"/>
      <c r="R43" s="3186" t="e">
        <f>ROUND(AVERAGE(R42:V42),0)</f>
        <v>#DIV/0!</v>
      </c>
      <c r="S43" s="3186"/>
      <c r="T43" s="3186"/>
      <c r="U43" s="3186"/>
      <c r="V43" s="3186"/>
      <c r="W43" s="31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3" t="s">
        <v>2756</v>
      </c>
      <c r="D50" s="2704" t="s">
        <v>2757</v>
      </c>
      <c r="E50" s="686" t="s">
        <v>2758</v>
      </c>
      <c r="F50" s="687" t="s">
        <v>2759</v>
      </c>
      <c r="G50" s="3187" t="s">
        <v>2760</v>
      </c>
      <c r="H50" s="3188"/>
      <c r="I50" s="1813" t="s">
        <v>2797</v>
      </c>
      <c r="J50" s="1813" t="str">
        <f>项目基本情况!F35</f>
        <v>四川省成都市</v>
      </c>
      <c r="K50" s="2706" t="s">
        <v>2762</v>
      </c>
      <c r="L50" s="1106"/>
      <c r="M50" s="1144"/>
      <c r="N50" s="1144"/>
      <c r="O50" s="1144"/>
    </row>
    <row r="51" spans="1:17" s="692" customFormat="1">
      <c r="A51" s="688" t="s">
        <v>2763</v>
      </c>
      <c r="B51" s="689" t="e">
        <f>C43</f>
        <v>#DIV/0!</v>
      </c>
      <c r="C51" s="690">
        <v>1</v>
      </c>
      <c r="D51" s="1163">
        <v>1</v>
      </c>
      <c r="E51" s="690">
        <f>'数据-汇总表'!E8+'数据-汇总表'!E9</f>
        <v>63151.97</v>
      </c>
      <c r="F51" s="691" t="e">
        <f t="shared" ref="F51:F60" si="15">ROUND(B51*E51/10000,0)</f>
        <v>#DIV/0!</v>
      </c>
      <c r="G51" s="3189"/>
      <c r="H51" s="319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191"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191"/>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191"/>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191"/>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7"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69497</v>
      </c>
      <c r="F59" s="691" t="e">
        <f t="shared" si="15"/>
        <v>#DIV/0!</v>
      </c>
      <c r="G59" s="2707"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8"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1029</v>
      </c>
      <c r="E61" s="696">
        <f>IF(B41="楼面地价",SUM(E51:E60),'数据-汇总表'!D3)</f>
        <v>13142.44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9" t="s">
        <v>2778</v>
      </c>
      <c r="B65" s="1359"/>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2798</v>
      </c>
      <c r="B66" s="332" t="str">
        <f>"北京市平均增长率"&amp;TEXT(基准地价修正!P24,"0.00%")</f>
        <v>北京市平均增长率1.41%</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70"/>
      <c r="L1" s="2716" t="s">
        <v>2802</v>
      </c>
      <c r="M1" s="1080">
        <f>SUMPRODUCT((区片价!B5:B9=I2)*(区片价!C3:F3=E2)*(区片价!C5:F9))</f>
        <v>0</v>
      </c>
      <c r="N1" s="1083">
        <f>SUMPRODUCT((因素修正幅度!B5:B9=I2)*(因素修正幅度!C3:F3=E2)*(因素修正幅度!C5:F9))</f>
        <v>0</v>
      </c>
      <c r="O1" s="2717"/>
      <c r="P1" s="2717"/>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0"/>
      <c r="L2" s="2724"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9" t="s">
        <v>2815</v>
      </c>
      <c r="D3" s="2720" t="s">
        <v>2816</v>
      </c>
      <c r="E3" s="2725"/>
      <c r="F3" s="2726" t="s">
        <v>2817</v>
      </c>
      <c r="G3" s="913">
        <f>IF(F3="宗地容积率",'数据-汇总表'!I4,IF(F3="估价对象容积率",'数据-汇总表'!I6,'数据-汇总表'!I7))</f>
        <v>5.87</v>
      </c>
      <c r="H3" s="198" t="s">
        <v>2818</v>
      </c>
      <c r="I3" s="944"/>
      <c r="J3" s="2723" t="s">
        <v>2819</v>
      </c>
      <c r="K3" s="1370"/>
      <c r="L3" s="2724" t="s">
        <v>2820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5"/>
      <c r="B4" s="3286"/>
      <c r="C4" s="3286"/>
      <c r="D4" s="3287"/>
      <c r="E4" s="3287"/>
      <c r="F4" s="3287"/>
      <c r="G4" s="3287"/>
      <c r="H4" s="3287"/>
      <c r="I4" s="3287"/>
      <c r="J4" s="3288"/>
      <c r="K4" s="1370"/>
      <c r="L4" s="2724" t="s">
        <v>2821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2822</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2823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2824</v>
      </c>
      <c r="B6" s="2738" t="s">
        <v>2825</v>
      </c>
      <c r="C6" s="915">
        <f>SUMIF(L1:L12,G2,M1:M12)</f>
        <v>0</v>
      </c>
      <c r="D6" s="2739" t="s">
        <v>2826</v>
      </c>
      <c r="E6" s="2740"/>
      <c r="F6" s="2740"/>
      <c r="G6" s="2741"/>
      <c r="H6" s="2741"/>
      <c r="I6" s="2741"/>
      <c r="J6" s="2742"/>
      <c r="K6" s="1841"/>
      <c r="L6" s="2724" t="s">
        <v>2827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89" t="str">
        <f>IF(E2="商业",IF(C8="不临58条商业街","",2),"")</f>
        <v/>
      </c>
      <c r="B7" s="2743" t="s">
        <v>2828</v>
      </c>
      <c r="C7" s="916" t="e">
        <f>IF(C8="不临58条商业街",1,ROUND(1+(1.6*E8+1.2*E9+0.8*E10+0.4*E11)*C9,4))</f>
        <v>#DIV/0!</v>
      </c>
      <c r="D7" s="2744" t="s">
        <v>2829</v>
      </c>
      <c r="E7" s="945"/>
      <c r="F7" s="2745"/>
      <c r="G7" s="2746"/>
      <c r="H7" s="2746"/>
      <c r="I7" s="2746"/>
      <c r="J7" s="2747"/>
      <c r="K7" s="1841"/>
      <c r="L7" s="2724" t="s">
        <v>2830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5.87</v>
      </c>
      <c r="AA7" s="1605"/>
      <c r="AB7" s="1605"/>
      <c r="AC7" s="1606"/>
      <c r="AD7" s="1607"/>
      <c r="AE7" s="1607"/>
      <c r="AF7" s="1607"/>
      <c r="AG7" s="1607"/>
      <c r="AH7" s="1607"/>
      <c r="AI7" s="1607"/>
      <c r="AJ7" s="1608"/>
    </row>
    <row r="8" spans="1:36" ht="15">
      <c r="A8" s="3290"/>
      <c r="B8" s="198" t="s">
        <v>2833</v>
      </c>
      <c r="C8" s="2748"/>
      <c r="D8" s="917" t="s">
        <v>139</v>
      </c>
      <c r="E8" s="918" t="e">
        <f>ROUND(C11/E7,4)</f>
        <v>#DIV/0!</v>
      </c>
      <c r="F8" s="2749" t="s">
        <v>2834</v>
      </c>
      <c r="G8" s="2750"/>
      <c r="H8" s="2750"/>
      <c r="I8" s="2750"/>
      <c r="J8" s="2751"/>
      <c r="K8" s="1370"/>
      <c r="L8" s="2724"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2" t="s">
        <v>2836</v>
      </c>
      <c r="X8" s="3283"/>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90"/>
      <c r="B9" s="198" t="s">
        <v>2849</v>
      </c>
      <c r="C9" s="919">
        <f>SUMIF(修正!C59:C119,C8,修正!E59:E119)</f>
        <v>0</v>
      </c>
      <c r="D9" s="200" t="s">
        <v>140</v>
      </c>
      <c r="E9" s="200" t="e">
        <f>ROUND(C11/E7,4)</f>
        <v>#DIV/0!</v>
      </c>
      <c r="F9" s="2749" t="s">
        <v>2850</v>
      </c>
      <c r="G9" s="2750"/>
      <c r="H9" s="2750"/>
      <c r="I9" s="2750"/>
      <c r="J9" s="2751"/>
      <c r="K9" s="1370"/>
      <c r="L9" s="2724"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4"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8" t="s">
        <v>2854</v>
      </c>
      <c r="C10" s="200">
        <f>SUMIF(修正!C59:C119,C8,修正!F59:F119)</f>
        <v>0</v>
      </c>
      <c r="D10" s="200" t="s">
        <v>141</v>
      </c>
      <c r="E10" s="200" t="e">
        <f>ROUND(C11/E7,4)</f>
        <v>#DIV/0!</v>
      </c>
      <c r="F10" s="2749" t="s">
        <v>2855</v>
      </c>
      <c r="G10" s="2750"/>
      <c r="H10" s="2750"/>
      <c r="I10" s="2750"/>
      <c r="J10" s="2751"/>
      <c r="K10" s="1370"/>
      <c r="L10" s="2724"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0"/>
      <c r="B11" s="2752" t="s">
        <v>2857</v>
      </c>
      <c r="C11" s="920">
        <f>C10/4</f>
        <v>0</v>
      </c>
      <c r="D11" s="920" t="s">
        <v>142</v>
      </c>
      <c r="E11" s="920" t="e">
        <f>ROUND(C11/E7,4)</f>
        <v>#DIV/0!</v>
      </c>
      <c r="F11" s="2753" t="s">
        <v>2858</v>
      </c>
      <c r="G11" s="2754"/>
      <c r="H11" s="2754"/>
      <c r="I11" s="2754"/>
      <c r="J11" s="2755"/>
      <c r="K11" s="1370"/>
      <c r="L11" s="2724"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4" t="s">
        <v>2860</v>
      </c>
      <c r="X11" s="1613" t="s">
        <v>2861</v>
      </c>
      <c r="Y11" s="1614">
        <f>$G$3</f>
        <v>5.87</v>
      </c>
      <c r="Z11" s="1614">
        <f t="shared" ref="Z11:AJ11" si="3">$G$3</f>
        <v>5.87</v>
      </c>
      <c r="AA11" s="1614">
        <f t="shared" si="3"/>
        <v>5.87</v>
      </c>
      <c r="AB11" s="1614">
        <f t="shared" si="3"/>
        <v>5.87</v>
      </c>
      <c r="AC11" s="1614">
        <f t="shared" si="3"/>
        <v>5.87</v>
      </c>
      <c r="AD11" s="1614">
        <f t="shared" si="3"/>
        <v>5.87</v>
      </c>
      <c r="AE11" s="1614">
        <f t="shared" si="3"/>
        <v>5.87</v>
      </c>
      <c r="AF11" s="1614">
        <f t="shared" si="3"/>
        <v>5.87</v>
      </c>
      <c r="AG11" s="1614">
        <f t="shared" si="3"/>
        <v>5.87</v>
      </c>
      <c r="AH11" s="1614">
        <f t="shared" si="3"/>
        <v>5.87</v>
      </c>
      <c r="AI11" s="1614">
        <f t="shared" si="3"/>
        <v>5.87</v>
      </c>
      <c r="AJ11" s="1614">
        <f t="shared" si="3"/>
        <v>5.87</v>
      </c>
    </row>
    <row r="12" spans="1:36" ht="25.5" thickBot="1">
      <c r="A12" s="3289" t="s">
        <v>2862</v>
      </c>
      <c r="B12" s="2756" t="s">
        <v>2863</v>
      </c>
      <c r="C12" s="916">
        <f>ROUND(C15*D15*E15*F15*G15*H15*I15*J15,4)</f>
        <v>1</v>
      </c>
      <c r="D12" s="2757" t="s">
        <v>2864</v>
      </c>
      <c r="E12" s="2758"/>
      <c r="F12" s="2758"/>
      <c r="G12" s="2759"/>
      <c r="H12" s="2759"/>
      <c r="I12" s="2759"/>
      <c r="J12" s="2760"/>
      <c r="K12" s="1370"/>
      <c r="L12" s="2761"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4"/>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1"/>
      <c r="B13" s="2762" t="s">
        <v>2867</v>
      </c>
      <c r="C13" s="2763" t="s">
        <v>2868</v>
      </c>
      <c r="D13" s="1807" t="s">
        <v>2869</v>
      </c>
      <c r="E13" s="1807" t="s">
        <v>2870</v>
      </c>
      <c r="F13" s="30" t="s">
        <v>2871</v>
      </c>
      <c r="G13" s="2764" t="s">
        <v>2872</v>
      </c>
      <c r="H13" s="2764" t="s">
        <v>2872</v>
      </c>
      <c r="I13" s="2764" t="s">
        <v>2872</v>
      </c>
      <c r="J13" s="2765" t="s">
        <v>2872</v>
      </c>
      <c r="K13" s="1370"/>
      <c r="L13" s="1370"/>
      <c r="M13" s="1370"/>
      <c r="N13" s="1370"/>
      <c r="O13" s="1370"/>
      <c r="P13" s="1370"/>
      <c r="Q13" s="1370"/>
      <c r="R13" s="1601">
        <v>12</v>
      </c>
      <c r="S13" s="1602"/>
      <c r="T13" s="1601" t="e">
        <f t="shared" si="0"/>
        <v>#DIV/0!</v>
      </c>
      <c r="U13" s="1602"/>
      <c r="V13" s="1601" t="e">
        <f t="shared" si="1"/>
        <v>#DIV/0!</v>
      </c>
      <c r="W13" s="3284"/>
      <c r="X13" s="1615"/>
      <c r="Y13" s="1612">
        <f>(-0.163*(Y12^2)-0.59*Y12+7617)*(10^(-4))/Y11</f>
        <v>0.12976149914821125</v>
      </c>
      <c r="Z13" s="1612">
        <f t="shared" ref="Z13:AJ13" si="5">(-0.163*(Z12^2)-0.59*Z12+7617)*(10^(-4))/Z11</f>
        <v>0.12976149914821125</v>
      </c>
      <c r="AA13" s="1612">
        <f t="shared" si="5"/>
        <v>0.12976149914821125</v>
      </c>
      <c r="AB13" s="1612">
        <f t="shared" si="5"/>
        <v>0.12976149914821125</v>
      </c>
      <c r="AC13" s="1612">
        <f t="shared" si="5"/>
        <v>0.12976149914821125</v>
      </c>
      <c r="AD13" s="1612">
        <f t="shared" si="5"/>
        <v>0.12976149914821125</v>
      </c>
      <c r="AE13" s="1612">
        <f t="shared" si="5"/>
        <v>0.12976149914821125</v>
      </c>
      <c r="AF13" s="1612">
        <f t="shared" si="5"/>
        <v>0.12976149914821125</v>
      </c>
      <c r="AG13" s="1612">
        <f t="shared" si="5"/>
        <v>0.12976149914821125</v>
      </c>
      <c r="AH13" s="1612">
        <f t="shared" si="5"/>
        <v>0.12976149914821125</v>
      </c>
      <c r="AI13" s="1612">
        <f t="shared" si="5"/>
        <v>0.12976149914821125</v>
      </c>
      <c r="AJ13" s="1612">
        <f t="shared" si="5"/>
        <v>0.12976149914821125</v>
      </c>
    </row>
    <row r="14" spans="1:36" ht="15">
      <c r="A14" s="3291"/>
      <c r="B14" s="2766"/>
      <c r="C14" s="2767"/>
      <c r="D14" s="2768"/>
      <c r="E14" s="2768"/>
      <c r="F14" s="2769"/>
      <c r="G14" s="2770" t="s">
        <v>2873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2"/>
      <c r="B15" s="2774" t="s">
        <v>2874</v>
      </c>
      <c r="C15" s="229">
        <f>IF(C14="有",1.1,1)</f>
        <v>1</v>
      </c>
      <c r="D15" s="229">
        <f>IF(D14="有",1.1,1)</f>
        <v>1</v>
      </c>
      <c r="E15" s="229">
        <f>IF(E14="有",1.1,1)</f>
        <v>1</v>
      </c>
      <c r="F15" s="229">
        <f>IF(F14="500米范围内",1.2,IF(F14="500-1000米",1.1,1))</f>
        <v>1</v>
      </c>
      <c r="G15" s="946">
        <v>1</v>
      </c>
      <c r="H15" s="946">
        <v>1</v>
      </c>
      <c r="I15" s="946">
        <v>1</v>
      </c>
      <c r="J15" s="947">
        <v>1</v>
      </c>
      <c r="K15" s="1370"/>
      <c r="L15" s="2775" t="s">
        <v>2810</v>
      </c>
      <c r="M15" s="917" t="s">
        <v>2875</v>
      </c>
      <c r="N15" s="917" t="s">
        <v>2876</v>
      </c>
      <c r="O15" s="917" t="s">
        <v>2877</v>
      </c>
      <c r="P15" s="2776" t="s">
        <v>2878</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9" t="s">
        <v>2879</v>
      </c>
      <c r="B16" s="2743" t="s">
        <v>2880</v>
      </c>
      <c r="C16" s="1800" t="e">
        <f>ROUND(SUM(G17:J17)/C17,0)</f>
        <v>#DIV/0!</v>
      </c>
      <c r="D16" s="2777" t="s">
        <v>2881</v>
      </c>
      <c r="E16" s="2778"/>
      <c r="F16" s="2779"/>
      <c r="G16" s="2780"/>
      <c r="H16" s="2780"/>
      <c r="I16" s="2780"/>
      <c r="J16" s="2781"/>
      <c r="K16" s="1370"/>
      <c r="L16" s="2782" t="s">
        <v>2882</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783" t="s">
        <v>2883</v>
      </c>
      <c r="C17" s="921">
        <f>SUMPRODUCT((修正!A2:A5=E2)*(修正!B1:M1=G2)*(修正!B2:M5))</f>
        <v>0</v>
      </c>
      <c r="D17" s="2784" t="s">
        <v>2884</v>
      </c>
      <c r="E17" s="920" t="str">
        <f>IF(OR(G2="八级",G2="九级",G2="十级",G2="十一级",G2="十二级"),"五通一平","七通一平")</f>
        <v>七通一平</v>
      </c>
      <c r="F17" s="921" t="s">
        <v>2885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5" t="s">
        <v>2886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2887</v>
      </c>
      <c r="C18" s="923">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2888</v>
      </c>
      <c r="C19" s="924" t="e">
        <f>ROUND(IF(H19="按公示增长率计算",SUMPRODUCT((地价!A3:A23=YEAR(G19)&amp;"-"&amp;ROUNDUP(MONTH(G19)/3,0))*(地价!X2:AB2=E2)*(地价!X3:AB23)),IF(H19="地价指数",M20/M19,(1+I19)^O19)),4)</f>
        <v>#DIV/0!</v>
      </c>
      <c r="D19" s="2795" t="s">
        <v>2889</v>
      </c>
      <c r="E19" s="925">
        <v>41640</v>
      </c>
      <c r="F19" s="2795" t="s">
        <v>2890</v>
      </c>
      <c r="G19" s="926">
        <f>'数据-取费表'!B2</f>
        <v>43324</v>
      </c>
      <c r="H19" s="2796" t="s">
        <v>2891</v>
      </c>
      <c r="I19" s="927" t="str">
        <f>IF(H19="季度增幅（自定义）",SUMIF(N21:N24,E2,O21:O24),"")</f>
        <v/>
      </c>
      <c r="J19" s="2793"/>
      <c r="K19" s="1377"/>
      <c r="L19" s="2797" t="s">
        <v>2892</v>
      </c>
      <c r="M19" s="1733">
        <f>ROUND(SUMIF(地价!B2:F2,E2,地价!B23:F23),0)</f>
        <v>0</v>
      </c>
      <c r="N19" s="2798" t="s">
        <v>2893</v>
      </c>
      <c r="O19" s="928">
        <f>ROUNDDOWN(DATEDIF(E19,G19,"M")/3,0)</f>
        <v>18</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2894</v>
      </c>
      <c r="C20" s="929" t="e">
        <f>ROUND(POWER(1+G20,J20-I20)*(POWER(1+G20,I20)-1)/(POWER(1+G20,J20)-1),4)</f>
        <v>#DIV/0!</v>
      </c>
      <c r="D20" s="2804" t="s">
        <v>2895</v>
      </c>
      <c r="E20" s="1767">
        <f ca="1">存贷款利率!D4/100</f>
        <v>4.3499999999999997E-2</v>
      </c>
      <c r="F20" s="2804" t="s">
        <v>2886</v>
      </c>
      <c r="G20" s="934">
        <f>SUMIF(M15:P15,E2,M17:P17)</f>
        <v>0</v>
      </c>
      <c r="H20" s="2804" t="s">
        <v>2896</v>
      </c>
      <c r="I20" s="935" t="e">
        <f>SUMIF('数据-取费表'!C6:C15,E2,'数据-取费表'!F6:F15)/COUNTIF('数据-取费表'!C6:C15,E2)</f>
        <v>#DIV/0!</v>
      </c>
      <c r="J20" s="936">
        <f>IF(E2="住宅",70,IF(E2="商业",40,50))</f>
        <v>50</v>
      </c>
      <c r="K20" s="1377"/>
      <c r="L20" s="2805" t="s">
        <v>2897</v>
      </c>
      <c r="M20" s="1734">
        <f>ROUND(SUMPRODUCT((地价!A4:A23=YEAR(G19)&amp;"-"&amp;ROUNDUP(MONTH(G19)/3,0))*(地价!B2:F2=E2)*(地价!B4:F23)),0)</f>
        <v>0</v>
      </c>
      <c r="N20" s="2806" t="s">
        <v>2898</v>
      </c>
      <c r="O20" s="2807" t="s">
        <v>2899</v>
      </c>
      <c r="P20" s="2808" t="s">
        <v>2900</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2901</v>
      </c>
      <c r="C21" s="937">
        <f>IF(B21="容积率修正",IF(G3&lt;=10,D22,J22),C23)</f>
        <v>0</v>
      </c>
      <c r="D21" s="2811"/>
      <c r="E21" s="2811"/>
      <c r="F21" s="2811"/>
      <c r="G21" s="2811"/>
      <c r="H21" s="2811"/>
      <c r="I21" s="2811"/>
      <c r="J21" s="2812"/>
      <c r="K21" s="1377"/>
      <c r="N21" s="2813" t="s">
        <v>2902</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6" customFormat="1" ht="14.25">
      <c r="A22" s="2662" t="s">
        <v>2903</v>
      </c>
      <c r="B22" s="2814" t="s">
        <v>2904</v>
      </c>
      <c r="C22" s="1809" t="s">
        <v>2905</v>
      </c>
      <c r="D22" s="1809">
        <f>IF(E22=G22,F22,IF(G3&lt;=10,ROUND(F22+(H22-F22)*(G3-E22)/(G22-E22),4),"——"))</f>
        <v>0</v>
      </c>
      <c r="E22" s="913">
        <f>ROUNDDOWN(G3,1)</f>
        <v>5.8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3" t="s">
        <v>2906</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2" t="s">
        <v>2907</v>
      </c>
      <c r="B23" s="2815" t="s">
        <v>2908</v>
      </c>
      <c r="C23" s="1013">
        <f>ROUND(IF(G3&gt;1,IF(I3&lt;7,SUMPRODUCT((B93:B98=I3)*(C92:N92=G2)*(C93:N98)),SUMIF(C92:N92,G2,C100:N100)),IF(I3&lt;7,SUMPRODUCT((B102:B107=I3)*(C92:N92=G2)*(C102:N107)),SUMIF(C92:N92,G2,C109:N109))),4)</f>
        <v>0</v>
      </c>
      <c r="D23" s="2771"/>
      <c r="E23" s="2771"/>
      <c r="F23" s="2816"/>
      <c r="G23" s="2817"/>
      <c r="H23" s="2818"/>
      <c r="I23" s="2819"/>
      <c r="J23" s="2820"/>
      <c r="K23" s="1370"/>
      <c r="N23" s="2813" t="s">
        <v>2909</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2910</v>
      </c>
      <c r="C24" s="924">
        <f>SUMIF(A45:A88,E2,B45:B88)</f>
        <v>0</v>
      </c>
      <c r="D24" s="2791"/>
      <c r="E24" s="2821"/>
      <c r="F24" s="2821"/>
      <c r="G24" s="2821"/>
      <c r="H24" s="2821"/>
      <c r="I24" s="2821"/>
      <c r="J24" s="2822"/>
      <c r="K24" s="1377"/>
      <c r="N24" s="2823" t="s">
        <v>2911</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2912</v>
      </c>
      <c r="C25" s="930"/>
      <c r="D25" s="2746"/>
      <c r="E25" s="2746"/>
      <c r="F25" s="2825"/>
      <c r="G25" s="2746"/>
      <c r="H25" s="2746"/>
      <c r="I25" s="2746"/>
      <c r="J25" s="2747"/>
      <c r="K25" s="1370"/>
      <c r="N25" s="2826" t="s">
        <v>2913</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7"/>
      <c r="B26" s="2814" t="s">
        <v>2914</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2915</v>
      </c>
      <c r="C27" s="931"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2916</v>
      </c>
      <c r="C28" s="2838" t="s">
        <v>2917</v>
      </c>
      <c r="D28" s="2838" t="s">
        <v>2918</v>
      </c>
      <c r="E28" s="2839" t="s">
        <v>2919</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2920</v>
      </c>
      <c r="C29" s="206" t="e">
        <f>ROUND(C5*C18*C19*C20*C21*C24,0)</f>
        <v>#DIV/0!</v>
      </c>
      <c r="D29" s="2843"/>
      <c r="E29" s="942" t="e">
        <f>ROUND(C29*D29/10000,0)</f>
        <v>#DIV/0!</v>
      </c>
      <c r="F29" s="2844" t="s">
        <v>2921</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2922</v>
      </c>
      <c r="C30" s="229" t="e">
        <f>ROUND(IF(E2="工业",C29*M39,C29*M38),0)</f>
        <v>#DIV/0!</v>
      </c>
      <c r="D30" s="2849"/>
      <c r="E30" s="942" t="e">
        <f>ROUND(C30*D30/10000,0)</f>
        <v>#DIV/0!</v>
      </c>
      <c r="F30" s="2850" t="s">
        <v>2923</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99" t="s">
        <v>2928</v>
      </c>
      <c r="B33" s="2859" t="s">
        <v>2929</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0"/>
      <c r="B34" s="2763" t="s">
        <v>2930</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0"/>
      <c r="B35" s="2763" t="s">
        <v>2931</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01"/>
      <c r="B36" s="2763" t="s">
        <v>2932</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2933</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0"/>
      <c r="L37" s="2862" t="s">
        <v>2934</v>
      </c>
      <c r="M37" s="2863"/>
      <c r="N37" s="1370"/>
      <c r="O37" s="1370"/>
      <c r="P37" s="1370"/>
      <c r="Q37" s="1370"/>
      <c r="R37" s="1370"/>
      <c r="S37" s="1370"/>
      <c r="T37" s="1370"/>
      <c r="U37" s="1370"/>
      <c r="V37" s="1370"/>
      <c r="W37" s="1370"/>
      <c r="X37" s="1370"/>
      <c r="Y37" s="1370"/>
      <c r="Z37" s="1371"/>
    </row>
    <row r="38" spans="1:37">
      <c r="A38" s="2861"/>
      <c r="B38" s="2763" t="s">
        <v>2935</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0"/>
      <c r="L38" s="1886" t="s">
        <v>2936</v>
      </c>
      <c r="M38" s="2864">
        <v>0.25</v>
      </c>
      <c r="N38" s="1370"/>
      <c r="O38" s="1370"/>
      <c r="P38" s="1370"/>
      <c r="Q38" s="1370"/>
      <c r="R38" s="1370"/>
      <c r="S38" s="1370"/>
      <c r="T38" s="1370"/>
      <c r="U38" s="1370"/>
      <c r="V38" s="1370"/>
      <c r="W38" s="1370"/>
      <c r="X38" s="1370"/>
      <c r="Y38" s="1370"/>
      <c r="Z38" s="1371"/>
    </row>
    <row r="39" spans="1:37" ht="13.5" thickBot="1">
      <c r="A39" s="2847"/>
      <c r="B39" s="2865" t="s">
        <v>2937</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70"/>
      <c r="L39" s="2867" t="s">
        <v>2878</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2938</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2939</v>
      </c>
      <c r="B46" s="2873">
        <f>1+E48</f>
        <v>1</v>
      </c>
      <c r="C46" s="2874"/>
      <c r="D46" s="811"/>
      <c r="E46" s="812"/>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2940</v>
      </c>
      <c r="B47" s="1808" t="s">
        <v>2941</v>
      </c>
      <c r="C47" s="1808" t="s">
        <v>2942</v>
      </c>
      <c r="D47" s="1808" t="s">
        <v>2943</v>
      </c>
      <c r="E47" s="816" t="s">
        <v>2944</v>
      </c>
      <c r="F47" s="2877" t="s">
        <v>2945</v>
      </c>
      <c r="G47" s="1808" t="s">
        <v>754</v>
      </c>
      <c r="H47" s="2878" t="s">
        <v>2946</v>
      </c>
      <c r="I47" s="1808" t="s">
        <v>2947</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76.5">
      <c r="A48" s="2876" t="s">
        <v>2948</v>
      </c>
      <c r="B48" s="2879" t="str">
        <f>估价对象房地状况!C4</f>
        <v>估价对象位于成都市高新区，周边商业氛围较成熟，人流量较大，有九方购物中心、天虹商场等商业项目，商业繁华度较好。</v>
      </c>
      <c r="C48" s="2768"/>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6" t="s">
        <v>2949</v>
      </c>
      <c r="B49" s="2880" t="str">
        <f>估价对象房地状况!C18</f>
        <v>估价对象周边路网较密集、公共交通通达情况较好，有115、236路及地铁1号线等公共交通，停车便捷程度较好，综合评价交通便捷度较好。</v>
      </c>
      <c r="C49" s="2768"/>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38.25">
      <c r="A50" s="2876" t="s">
        <v>2950</v>
      </c>
      <c r="B50" s="2880" t="str">
        <f>估价对象房地状况!C19</f>
        <v>区域内多为商业办公用地吗，土地利用方向较一致。</v>
      </c>
      <c r="C50" s="2768"/>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2951</v>
      </c>
      <c r="B51" s="2881" t="s">
        <v>2952</v>
      </c>
      <c r="C51" s="2768"/>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2953</v>
      </c>
      <c r="B52" s="2880" t="str">
        <f>估价对象房地状况!C24</f>
        <v>城市次干道——交子大道</v>
      </c>
      <c r="C52" s="2768"/>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2954</v>
      </c>
      <c r="B53" s="2882" t="s">
        <v>2955</v>
      </c>
      <c r="C53" s="2768"/>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3" t="s">
        <v>2956</v>
      </c>
      <c r="B5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68"/>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2957</v>
      </c>
      <c r="B55" s="2880" t="str">
        <f>估价对象房地状况!C22</f>
        <v>估价对象所在区域基础设施水平达到“六通”。</v>
      </c>
      <c r="C55" s="2768"/>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4" t="s">
        <v>2958</v>
      </c>
      <c r="B56" s="2885" t="str">
        <f>估价对象房地状况!C20</f>
        <v>区域自然环境：鲨鱼公园；人文环境：成都规划馆；综合评价环境状况一般。</v>
      </c>
      <c r="C56" s="2768"/>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2959</v>
      </c>
      <c r="B57" s="2873">
        <f>1+E59</f>
        <v>1</v>
      </c>
      <c r="C57" s="811"/>
      <c r="D57" s="811"/>
      <c r="E57" s="812"/>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2940</v>
      </c>
      <c r="B58" s="1808"/>
      <c r="C58" s="1808" t="s">
        <v>2942</v>
      </c>
      <c r="D58" s="1808" t="s">
        <v>2943</v>
      </c>
      <c r="E58" s="816" t="s">
        <v>2944</v>
      </c>
      <c r="F58" s="2877" t="s">
        <v>2960</v>
      </c>
      <c r="G58" s="1808" t="s">
        <v>754</v>
      </c>
      <c r="H58" s="2878" t="s">
        <v>2946</v>
      </c>
      <c r="I58" s="1808" t="s">
        <v>2947</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6" t="s">
        <v>2961</v>
      </c>
      <c r="B59" s="2879" t="str">
        <f>估价对象房地状况!C17</f>
        <v>估价对象位于XX商圈，周边办公楼项目较多，入驻率高，办公集聚程度较好</v>
      </c>
      <c r="C59" s="2768"/>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6" t="s">
        <v>2949</v>
      </c>
      <c r="B60" s="2880" t="str">
        <f>估价对象房地状况!C18</f>
        <v>估价对象周边路网较密集、公共交通通达情况较好，有115、236路及地铁1号线等公共交通，停车便捷程度较好，综合评价交通便捷度较好。</v>
      </c>
      <c r="C60" s="2768"/>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38.25">
      <c r="A61" s="2876" t="s">
        <v>2950</v>
      </c>
      <c r="B61" s="2880" t="str">
        <f>估价对象房地状况!C19</f>
        <v>区域内多为商业办公用地吗，土地利用方向较一致。</v>
      </c>
      <c r="C61" s="2768"/>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2951</v>
      </c>
      <c r="B62" s="2881" t="s">
        <v>2952</v>
      </c>
      <c r="C62" s="2768"/>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2953</v>
      </c>
      <c r="B63" s="2880" t="str">
        <f>估价对象房地状况!C24</f>
        <v>城市次干道——交子大道</v>
      </c>
      <c r="C63" s="2768"/>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2954</v>
      </c>
      <c r="B64" s="2882" t="s">
        <v>2955</v>
      </c>
      <c r="C64" s="2768"/>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6" t="s">
        <v>2956</v>
      </c>
      <c r="B65"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68"/>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2957</v>
      </c>
      <c r="B66" s="1724" t="str">
        <f>估价对象房地状况!C22</f>
        <v>估价对象所在区域基础设施水平达到“六通”。</v>
      </c>
      <c r="C66" s="2768"/>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4" t="s">
        <v>2958</v>
      </c>
      <c r="B67" s="2886" t="str">
        <f>估价对象房地状况!C20</f>
        <v>区域自然环境：鲨鱼公园；人文环境：成都规划馆；综合评价环境状况一般。</v>
      </c>
      <c r="C67" s="2768"/>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2962</v>
      </c>
      <c r="B68" s="2873">
        <f>1+E70</f>
        <v>1</v>
      </c>
      <c r="C68" s="811"/>
      <c r="D68" s="811"/>
      <c r="E68" s="812"/>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2940</v>
      </c>
      <c r="B69" s="1808"/>
      <c r="C69" s="1808" t="s">
        <v>2942</v>
      </c>
      <c r="D69" s="1808" t="s">
        <v>2943</v>
      </c>
      <c r="E69" s="816" t="s">
        <v>2944</v>
      </c>
      <c r="F69" s="2877" t="s">
        <v>2960</v>
      </c>
      <c r="G69" s="1808" t="s">
        <v>754</v>
      </c>
      <c r="H69" s="2878" t="s">
        <v>2946</v>
      </c>
      <c r="I69" s="1808" t="s">
        <v>2947</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76" t="s">
        <v>2963</v>
      </c>
      <c r="B70" s="2879">
        <f>估价对象房地状况!C15</f>
        <v>0</v>
      </c>
      <c r="C70" s="2768"/>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6" t="s">
        <v>2949</v>
      </c>
      <c r="B71" s="2880" t="str">
        <f>估价对象房地状况!C18</f>
        <v>估价对象周边路网较密集、公共交通通达情况较好，有115、236路及地铁1号线等公共交通，停车便捷程度较好，综合评价交通便捷度较好。</v>
      </c>
      <c r="C71" s="2768"/>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38.25">
      <c r="A72" s="2876" t="s">
        <v>2950</v>
      </c>
      <c r="B72" s="2880" t="str">
        <f>估价对象房地状况!C19</f>
        <v>区域内多为商业办公用地吗，土地利用方向较一致。</v>
      </c>
      <c r="C72" s="2768"/>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2964</v>
      </c>
      <c r="B73" s="2880" t="str">
        <f>估价对象房地状况!C24</f>
        <v>城市次干道——交子大道</v>
      </c>
      <c r="C73" s="2768"/>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27.5">
      <c r="A74" s="2876" t="s">
        <v>2956</v>
      </c>
      <c r="B7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68"/>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2957</v>
      </c>
      <c r="B75" s="1724" t="str">
        <f>估价对象房地状况!C22</f>
        <v>估价对象所在区域基础设施水平达到“六通”。</v>
      </c>
      <c r="C75" s="2768"/>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2954</v>
      </c>
      <c r="B76" s="2882" t="s">
        <v>2955</v>
      </c>
      <c r="C76" s="2768"/>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51">
      <c r="A77" s="2876" t="s">
        <v>2958</v>
      </c>
      <c r="B77" s="2879" t="str">
        <f>估价对象房地状况!C20</f>
        <v>区域自然环境：鲨鱼公园；人文环境：成都规划馆；综合评价环境状况一般。</v>
      </c>
      <c r="C77" s="2768"/>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4"/>
      <c r="AG77" s="1372"/>
      <c r="AK77" s="2794"/>
    </row>
    <row r="78" spans="1:37" ht="24.75" thickBot="1">
      <c r="A78" s="2884" t="s">
        <v>2965</v>
      </c>
      <c r="B78" s="2888"/>
      <c r="C78" s="2768"/>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4"/>
      <c r="AG78" s="1372"/>
      <c r="AK78" s="2794"/>
    </row>
    <row r="79" spans="1:37" ht="15">
      <c r="A79" s="2872" t="s">
        <v>2966</v>
      </c>
      <c r="B79" s="2873">
        <f>1+E81</f>
        <v>1</v>
      </c>
      <c r="C79" s="811"/>
      <c r="D79" s="811"/>
      <c r="E79" s="812"/>
      <c r="F79" s="2875"/>
      <c r="G79" s="6"/>
      <c r="H79" s="6"/>
      <c r="I79" s="6"/>
      <c r="J79" s="7"/>
      <c r="K79" s="7"/>
      <c r="L79" s="7"/>
      <c r="M79" s="7"/>
      <c r="N79" s="7"/>
      <c r="Z79" s="2718"/>
      <c r="AA79" s="2794"/>
      <c r="AG79" s="1372"/>
      <c r="AK79" s="2794"/>
    </row>
    <row r="80" spans="1:37" ht="24.75">
      <c r="A80" s="2876" t="s">
        <v>2940</v>
      </c>
      <c r="B80" s="1808"/>
      <c r="C80" s="1808" t="s">
        <v>2942</v>
      </c>
      <c r="D80" s="1808" t="s">
        <v>2943</v>
      </c>
      <c r="E80" s="816" t="s">
        <v>2944</v>
      </c>
      <c r="F80" s="2877" t="s">
        <v>2960</v>
      </c>
      <c r="G80" s="1808" t="s">
        <v>754</v>
      </c>
      <c r="H80" s="2878" t="s">
        <v>2946</v>
      </c>
      <c r="I80" s="1808" t="s">
        <v>2947</v>
      </c>
      <c r="J80" s="603" t="s">
        <v>2593</v>
      </c>
      <c r="K80" s="603" t="s">
        <v>2594</v>
      </c>
      <c r="L80" s="603" t="s">
        <v>2595</v>
      </c>
      <c r="M80" s="603" t="s">
        <v>2596</v>
      </c>
      <c r="N80" s="603" t="s">
        <v>2597</v>
      </c>
      <c r="Z80" s="2718"/>
      <c r="AA80" s="2794"/>
      <c r="AG80" s="1372"/>
      <c r="AK80" s="2794"/>
    </row>
    <row r="81" spans="1:37" ht="38.25">
      <c r="A81" s="2876" t="s">
        <v>2967</v>
      </c>
      <c r="B81" s="2880" t="str">
        <f>估价对象房地状况!G15</f>
        <v>估价对象位于XX开发区，园区建设成熟度XX，产业集聚程度XX</v>
      </c>
      <c r="C81" s="2768"/>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2949</v>
      </c>
      <c r="B82" s="2880" t="str">
        <f>估价对象房地状况!G16</f>
        <v>估价对象周边道路状况、公共交通通达情况、停车便捷程度，综合评价交通便捷度较好</v>
      </c>
      <c r="C82" s="2768"/>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4"/>
      <c r="AG82" s="1372"/>
      <c r="AK82" s="2794"/>
    </row>
    <row r="83" spans="1:37" ht="24">
      <c r="A83" s="2876" t="s">
        <v>2950</v>
      </c>
      <c r="B83" s="2880">
        <f>估价对象房地状况!G17</f>
        <v>0</v>
      </c>
      <c r="C83" s="2768"/>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4"/>
      <c r="AG83" s="1372"/>
      <c r="AK83" s="2794"/>
    </row>
    <row r="84" spans="1:37" ht="14.25">
      <c r="A84" s="2876" t="s">
        <v>2964</v>
      </c>
      <c r="B84" s="2880">
        <f>估价对象房地状况!G22</f>
        <v>0</v>
      </c>
      <c r="C84" s="2768"/>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4"/>
      <c r="AG84" s="1372"/>
      <c r="AK84" s="2794"/>
    </row>
    <row r="85" spans="1:37" ht="25.5">
      <c r="A85" s="2876" t="s">
        <v>2956</v>
      </c>
      <c r="B85" s="1724" t="str">
        <f>估价对象房地状况!G19</f>
        <v>估价对象所在区域公共配套设施齐备情况</v>
      </c>
      <c r="C85" s="2768"/>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4"/>
      <c r="AG85" s="1372"/>
      <c r="AK85" s="2794"/>
    </row>
    <row r="86" spans="1:37" ht="25.5">
      <c r="A86" s="2876" t="s">
        <v>2957</v>
      </c>
      <c r="B86" s="1724" t="str">
        <f>估价对象房地状况!G20</f>
        <v>估价对象所在区域基础设施水平</v>
      </c>
      <c r="C86" s="2768"/>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4"/>
      <c r="AG86" s="1372"/>
      <c r="AK86" s="2794"/>
    </row>
    <row r="87" spans="1:37" ht="24">
      <c r="A87" s="2876" t="s">
        <v>2954</v>
      </c>
      <c r="B87" s="2882" t="s">
        <v>2968</v>
      </c>
      <c r="C87" s="2768"/>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4"/>
      <c r="AG87" s="1372"/>
      <c r="AK87" s="2794"/>
    </row>
    <row r="88" spans="1:37" ht="39" thickBot="1">
      <c r="A88" s="2884" t="s">
        <v>2969</v>
      </c>
      <c r="B88" s="2889" t="str">
        <f>估价对象房地状况!G18</f>
        <v>该园区内是否有污染型企业，绿化情况，卫生条件，整体环境状况判断</v>
      </c>
      <c r="C88" s="2768"/>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4"/>
      <c r="AG88" s="1372"/>
      <c r="AK88" s="2794"/>
    </row>
    <row r="90" spans="1:37">
      <c r="A90" s="3293" t="s">
        <v>2970</v>
      </c>
      <c r="B90" s="3293"/>
      <c r="C90" s="3293"/>
      <c r="D90" s="3293"/>
      <c r="E90" s="3293"/>
      <c r="F90" s="3293"/>
      <c r="G90" s="3293"/>
      <c r="H90" s="3293"/>
      <c r="I90" s="3293"/>
      <c r="J90" s="3293"/>
      <c r="K90" s="2890"/>
      <c r="L90" s="2890"/>
      <c r="M90" s="2890"/>
      <c r="N90" s="2890"/>
    </row>
    <row r="91" spans="1:37">
      <c r="A91" s="3295" t="s">
        <v>2971</v>
      </c>
      <c r="B91" s="3295" t="s">
        <v>2972</v>
      </c>
      <c r="C91" s="2844" t="s">
        <v>2973</v>
      </c>
      <c r="D91" s="2845"/>
      <c r="E91" s="2845"/>
      <c r="F91" s="2845"/>
      <c r="G91" s="2845"/>
      <c r="H91" s="2845"/>
      <c r="I91" s="2845"/>
      <c r="J91" s="2891"/>
      <c r="K91" s="2892"/>
      <c r="L91" s="2892"/>
      <c r="M91" s="2892"/>
      <c r="N91" s="2892"/>
    </row>
    <row r="92" spans="1:37">
      <c r="A92" s="3295"/>
      <c r="B92" s="3295"/>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96"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7"/>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6" t="s">
        <v>2975</v>
      </c>
      <c r="B101" s="2897" t="s">
        <v>2976</v>
      </c>
      <c r="C101" s="2898">
        <f>$G$3</f>
        <v>5.87</v>
      </c>
      <c r="D101" s="2898">
        <f t="shared" ref="D101:N101" si="31">$G$3</f>
        <v>5.87</v>
      </c>
      <c r="E101" s="2898">
        <f t="shared" si="31"/>
        <v>5.87</v>
      </c>
      <c r="F101" s="2898">
        <f t="shared" si="31"/>
        <v>5.87</v>
      </c>
      <c r="G101" s="2898">
        <f t="shared" si="31"/>
        <v>5.87</v>
      </c>
      <c r="H101" s="2898">
        <f t="shared" si="31"/>
        <v>5.87</v>
      </c>
      <c r="I101" s="2898">
        <f t="shared" si="31"/>
        <v>5.87</v>
      </c>
      <c r="J101" s="2898">
        <f t="shared" si="31"/>
        <v>5.87</v>
      </c>
      <c r="K101" s="2898">
        <f t="shared" si="31"/>
        <v>5.87</v>
      </c>
      <c r="L101" s="2898">
        <f t="shared" si="31"/>
        <v>5.87</v>
      </c>
      <c r="M101" s="2898">
        <f t="shared" si="31"/>
        <v>5.87</v>
      </c>
      <c r="N101" s="2898">
        <f t="shared" si="31"/>
        <v>5.87</v>
      </c>
    </row>
    <row r="102" spans="1:14">
      <c r="A102" s="3297"/>
      <c r="B102" s="2893">
        <v>1</v>
      </c>
      <c r="C102" s="2894">
        <f>1.9362/C101</f>
        <v>0.32984667802385009</v>
      </c>
      <c r="D102" s="2894">
        <f>1.9362/D101</f>
        <v>0.32984667802385009</v>
      </c>
      <c r="E102" s="2894">
        <f>1.8629/E101</f>
        <v>0.3173594548551959</v>
      </c>
      <c r="F102" s="2894">
        <f>1.8629/F101</f>
        <v>0.3173594548551959</v>
      </c>
      <c r="G102" s="2894">
        <f>1.8629/G101</f>
        <v>0.3173594548551959</v>
      </c>
      <c r="H102" s="2894">
        <f>1.8629/H101</f>
        <v>0.3173594548551959</v>
      </c>
      <c r="I102" s="2894">
        <f>1.8629/I101</f>
        <v>0.3173594548551959</v>
      </c>
      <c r="J102" s="2894">
        <f>1.942/J101</f>
        <v>0.33083475298126064</v>
      </c>
      <c r="K102" s="2894">
        <f>1.942/K101</f>
        <v>0.33083475298126064</v>
      </c>
      <c r="L102" s="2894">
        <f>1.942/L101</f>
        <v>0.33083475298126064</v>
      </c>
      <c r="M102" s="2894">
        <f>1.942/M101</f>
        <v>0.33083475298126064</v>
      </c>
      <c r="N102" s="2894">
        <f>1.942/N101</f>
        <v>0.33083475298126064</v>
      </c>
    </row>
    <row r="103" spans="1:14">
      <c r="A103" s="3297"/>
      <c r="B103" s="2893">
        <v>2</v>
      </c>
      <c r="C103" s="2894">
        <f>1.4198/C101</f>
        <v>0.24187393526405451</v>
      </c>
      <c r="D103" s="2894">
        <f>1.4198/D101</f>
        <v>0.24187393526405451</v>
      </c>
      <c r="E103" s="2894">
        <f>1.3372/E101</f>
        <v>0.22780238500851788</v>
      </c>
      <c r="F103" s="2894">
        <f>1.3372/F101</f>
        <v>0.22780238500851788</v>
      </c>
      <c r="G103" s="2894">
        <f>1.3372/G101</f>
        <v>0.22780238500851788</v>
      </c>
      <c r="H103" s="2894">
        <f>1.3372/H101</f>
        <v>0.22780238500851788</v>
      </c>
      <c r="I103" s="2894">
        <f>1.3372/I101</f>
        <v>0.22780238500851788</v>
      </c>
      <c r="J103" s="2894">
        <f>1.2799/J101</f>
        <v>0.21804088586030665</v>
      </c>
      <c r="K103" s="2894">
        <f>1.2799/K101</f>
        <v>0.21804088586030665</v>
      </c>
      <c r="L103" s="2894">
        <f>1.2799/L101</f>
        <v>0.21804088586030665</v>
      </c>
      <c r="M103" s="2894">
        <f>1.2799/M101</f>
        <v>0.21804088586030665</v>
      </c>
      <c r="N103" s="2894">
        <f>1.2799/N101</f>
        <v>0.21804088586030665</v>
      </c>
    </row>
    <row r="104" spans="1:14">
      <c r="A104" s="3297"/>
      <c r="B104" s="2893">
        <v>3</v>
      </c>
      <c r="C104" s="2894">
        <f>1.1594/C101</f>
        <v>0.19751277683134583</v>
      </c>
      <c r="D104" s="2894">
        <f>1.1594/D101</f>
        <v>0.19751277683134583</v>
      </c>
      <c r="E104" s="2894">
        <f>1.0788/E101</f>
        <v>0.18378194207836457</v>
      </c>
      <c r="F104" s="2894">
        <f>1.0788/F101</f>
        <v>0.18378194207836457</v>
      </c>
      <c r="G104" s="2894">
        <f>1.0788/G101</f>
        <v>0.18378194207836457</v>
      </c>
      <c r="H104" s="2894">
        <f>1.0788/H101</f>
        <v>0.18378194207836457</v>
      </c>
      <c r="I104" s="2894">
        <f>1.0788/I101</f>
        <v>0.18378194207836457</v>
      </c>
      <c r="J104" s="2894">
        <f>1.0072/J101</f>
        <v>0.17158432708688245</v>
      </c>
      <c r="K104" s="2894">
        <f>1.0072/K101</f>
        <v>0.17158432708688245</v>
      </c>
      <c r="L104" s="2894">
        <f>1.0072/L101</f>
        <v>0.17158432708688245</v>
      </c>
      <c r="M104" s="2894">
        <f>1.0072/M101</f>
        <v>0.17158432708688245</v>
      </c>
      <c r="N104" s="2894">
        <f>1.0072/N101</f>
        <v>0.17158432708688245</v>
      </c>
    </row>
    <row r="105" spans="1:14">
      <c r="A105" s="3297"/>
      <c r="B105" s="2893">
        <v>4</v>
      </c>
      <c r="C105" s="2894">
        <f>0.9622/C101</f>
        <v>0.16391822827938671</v>
      </c>
      <c r="D105" s="2894">
        <f>0.9622/D101</f>
        <v>0.16391822827938671</v>
      </c>
      <c r="E105" s="2894">
        <f>0.8656/E101</f>
        <v>0.14746166950596251</v>
      </c>
      <c r="F105" s="2894">
        <f>0.8656/F101</f>
        <v>0.14746166950596251</v>
      </c>
      <c r="G105" s="2894">
        <f>0.8656/G101</f>
        <v>0.14746166950596251</v>
      </c>
      <c r="H105" s="2894">
        <f>0.8656/H101</f>
        <v>0.14746166950596251</v>
      </c>
      <c r="I105" s="2894">
        <f>0.8656/I101</f>
        <v>0.14746166950596251</v>
      </c>
      <c r="J105" s="2894">
        <f>0.7525/J101</f>
        <v>0.12819420783645655</v>
      </c>
      <c r="K105" s="2894">
        <f>0.7525/K101</f>
        <v>0.12819420783645655</v>
      </c>
      <c r="L105" s="2894">
        <f>0.7525/L101</f>
        <v>0.12819420783645655</v>
      </c>
      <c r="M105" s="2894">
        <f>0.7525/M101</f>
        <v>0.12819420783645655</v>
      </c>
      <c r="N105" s="2894">
        <f>0.7525/N101</f>
        <v>0.12819420783645655</v>
      </c>
    </row>
    <row r="106" spans="1:14">
      <c r="A106" s="3297"/>
      <c r="B106" s="2893">
        <v>5</v>
      </c>
      <c r="C106" s="2894">
        <f>0.8417/C101</f>
        <v>0.14339011925042588</v>
      </c>
      <c r="D106" s="2894">
        <f>0.8417/D101</f>
        <v>0.14339011925042588</v>
      </c>
      <c r="E106" s="2894">
        <f>0.7371/E101</f>
        <v>0.12557069846678023</v>
      </c>
      <c r="F106" s="2894">
        <f>0.7371/F101</f>
        <v>0.12557069846678023</v>
      </c>
      <c r="G106" s="2894">
        <f>0.7371/G101</f>
        <v>0.12557069846678023</v>
      </c>
      <c r="H106" s="2894">
        <f>0.7371/H101</f>
        <v>0.12557069846678023</v>
      </c>
      <c r="I106" s="2894">
        <f>0.7371/I101</f>
        <v>0.12557069846678023</v>
      </c>
      <c r="J106" s="2894">
        <f>0.5659/J101</f>
        <v>9.6405451448040871E-2</v>
      </c>
      <c r="K106" s="2894">
        <f>0.5659/K101</f>
        <v>9.6405451448040871E-2</v>
      </c>
      <c r="L106" s="2894">
        <f>0.5659/L101</f>
        <v>9.6405451448040871E-2</v>
      </c>
      <c r="M106" s="2894">
        <f>0.5659/M101</f>
        <v>9.6405451448040871E-2</v>
      </c>
      <c r="N106" s="2894">
        <f>0.5659/N101</f>
        <v>9.6405451448040871E-2</v>
      </c>
    </row>
    <row r="107" spans="1:14">
      <c r="A107" s="3297"/>
      <c r="B107" s="2893">
        <v>6</v>
      </c>
      <c r="C107" s="2894">
        <f>0.7608/C101</f>
        <v>0.12960817717206133</v>
      </c>
      <c r="D107" s="2894">
        <f>0.7608/D101</f>
        <v>0.12960817717206133</v>
      </c>
      <c r="E107" s="2894">
        <f>0.6482/E101</f>
        <v>0.11042589437819421</v>
      </c>
      <c r="F107" s="2894">
        <f>0.6482/F101</f>
        <v>0.11042589437819421</v>
      </c>
      <c r="G107" s="2894">
        <f>0.6482/G101</f>
        <v>0.11042589437819421</v>
      </c>
      <c r="H107" s="2894">
        <f>0.6482/H101</f>
        <v>0.11042589437819421</v>
      </c>
      <c r="I107" s="2894">
        <f>0.6482/I101</f>
        <v>0.11042589437819421</v>
      </c>
      <c r="J107" s="2894">
        <f>0.4525/J101</f>
        <v>7.7086882453151623E-2</v>
      </c>
      <c r="K107" s="2894">
        <f>0.4525/K101</f>
        <v>7.7086882453151623E-2</v>
      </c>
      <c r="L107" s="2894">
        <f>0.4525/L101</f>
        <v>7.7086882453151623E-2</v>
      </c>
      <c r="M107" s="2894">
        <f>0.4525/M101</f>
        <v>7.7086882453151623E-2</v>
      </c>
      <c r="N107" s="2894">
        <f>0.4525/N101</f>
        <v>7.7086882453151623E-2</v>
      </c>
    </row>
    <row r="108" spans="1:14">
      <c r="A108" s="3297"/>
      <c r="B108" s="3153"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8"/>
      <c r="B109" s="3154"/>
      <c r="C109" s="2896">
        <f>(-0.163*(C108^2)-0.59*C108+7617)*(10^(-4))/C101</f>
        <v>0.12976149914821125</v>
      </c>
      <c r="D109" s="2896">
        <f>(-0.163*(D108^2)-0.59*D108+7617)*(10^(-4))/D101</f>
        <v>0.12976149914821125</v>
      </c>
      <c r="E109" s="2896">
        <f>(-0.161*(E108^2)-7.509*E108+6533)*(10^(-4))/E101</f>
        <v>0.11129471890971039</v>
      </c>
      <c r="F109" s="2896">
        <f>(-0.161*(F108^2)-7.509*F108+6533)*(10^(-4))/F101</f>
        <v>0.11129471890971039</v>
      </c>
      <c r="G109" s="2896">
        <f>(-0.161*(G108^2)-7.509*G108+6533)*(10^(-4))/G101</f>
        <v>0.11129471890971039</v>
      </c>
      <c r="H109" s="2896">
        <f>(-0.161*(H108^2)-7.509*H108+6533)*(10^(-4))/H101</f>
        <v>0.11129471890971039</v>
      </c>
      <c r="I109" s="2896">
        <f>(-0.161*(I108^2)-7.509*I108+6533)*(10^(-4))/I101</f>
        <v>0.11129471890971039</v>
      </c>
      <c r="J109" s="2896">
        <f>(-0.214*(J108^2)-21.991*J108+4665)*(10^(-4))/J101</f>
        <v>7.9471890971039183E-2</v>
      </c>
      <c r="K109" s="2896">
        <f>(-0.214*(K108^2)-21.991*K108+4665)*(10^(-4))/K101</f>
        <v>7.9471890971039183E-2</v>
      </c>
      <c r="L109" s="2896">
        <f>(-0.214*(L108^2)-21.991*L108+4665)*(10^(-4))/L101</f>
        <v>7.9471890971039183E-2</v>
      </c>
      <c r="M109" s="2896">
        <f>(-0.214*(M108^2)-21.991*M108+4665)*(10^(-4))/M101</f>
        <v>7.9471890971039183E-2</v>
      </c>
      <c r="N109" s="2896">
        <f>(-0.214*(N108^2)-21.991*N108+4665)*(10^(-4))/N101</f>
        <v>7.9471890971039183E-2</v>
      </c>
    </row>
    <row r="110" spans="1:14">
      <c r="A110" s="3294" t="s">
        <v>2978</v>
      </c>
      <c r="B110" s="3294"/>
      <c r="C110" s="3294"/>
      <c r="D110" s="3294"/>
      <c r="E110" s="3294"/>
      <c r="F110" s="3294"/>
      <c r="G110" s="3294"/>
      <c r="H110" s="3294"/>
      <c r="I110" s="3294"/>
      <c r="J110" s="3294"/>
      <c r="K110" s="2899"/>
      <c r="L110" s="2899"/>
      <c r="M110" s="2899"/>
      <c r="N110" s="2899"/>
    </row>
    <row r="112" spans="1:14" ht="13.5" thickBot="1"/>
    <row r="113" spans="1:13" ht="25.5" thickBot="1">
      <c r="A113" s="900" t="s">
        <v>2979</v>
      </c>
      <c r="B113" s="1287">
        <f>G3</f>
        <v>5.87</v>
      </c>
      <c r="C113" s="901" t="s">
        <v>2980</v>
      </c>
      <c r="D113" s="902">
        <f>SUMPRODUCT((A115:A118=F113)*(B114:M114=H113)*B115:M118)</f>
        <v>0</v>
      </c>
      <c r="E113" s="2722" t="s">
        <v>2810</v>
      </c>
      <c r="F113" s="2901">
        <f>E2</f>
        <v>0</v>
      </c>
      <c r="G113" s="2722" t="s">
        <v>2811</v>
      </c>
      <c r="H113" s="2901">
        <f>G2</f>
        <v>0</v>
      </c>
      <c r="I113" s="2722"/>
      <c r="J113" s="2902"/>
      <c r="K113" s="2902"/>
      <c r="L113" s="2902"/>
      <c r="M113" s="2902"/>
    </row>
    <row r="114" spans="1:13">
      <c r="A114" s="905"/>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6" t="s">
        <v>2875</v>
      </c>
      <c r="B115" s="907">
        <f>ROUND(0.9335-0.0094*B113,4)</f>
        <v>0.87829999999999997</v>
      </c>
      <c r="C115" s="907">
        <f>B115</f>
        <v>0.87829999999999997</v>
      </c>
      <c r="D115" s="907">
        <f>ROUND(0.8331-0.0109*B113,4)</f>
        <v>0.76910000000000001</v>
      </c>
      <c r="E115" s="907">
        <f>D115</f>
        <v>0.76910000000000001</v>
      </c>
      <c r="F115" s="907">
        <f>E115</f>
        <v>0.76910000000000001</v>
      </c>
      <c r="G115" s="907">
        <f>F115</f>
        <v>0.76910000000000001</v>
      </c>
      <c r="H115" s="907">
        <f>G115</f>
        <v>0.76910000000000001</v>
      </c>
      <c r="I115" s="907">
        <f>ROUND(0.689-0.0155*B113,4)</f>
        <v>0.59799999999999998</v>
      </c>
      <c r="J115" s="907">
        <f t="shared" ref="J115:M118" si="33">I115</f>
        <v>0.59799999999999998</v>
      </c>
      <c r="K115" s="907">
        <f t="shared" si="33"/>
        <v>0.59799999999999998</v>
      </c>
      <c r="L115" s="907">
        <f t="shared" si="33"/>
        <v>0.59799999999999998</v>
      </c>
      <c r="M115" s="908">
        <f t="shared" si="33"/>
        <v>0.59799999999999998</v>
      </c>
    </row>
    <row r="116" spans="1:13">
      <c r="A116" s="906" t="s">
        <v>2876</v>
      </c>
      <c r="B116" s="907">
        <f>ROUND(0.949-0.012*B113,4)</f>
        <v>0.87860000000000005</v>
      </c>
      <c r="C116" s="907">
        <f>B116</f>
        <v>0.87860000000000005</v>
      </c>
      <c r="D116" s="907">
        <f>ROUND(0.8567-0.013*B113,4)</f>
        <v>0.78039999999999998</v>
      </c>
      <c r="E116" s="907">
        <f t="shared" ref="E116:H117" si="34">D116</f>
        <v>0.78039999999999998</v>
      </c>
      <c r="F116" s="907">
        <f t="shared" si="34"/>
        <v>0.78039999999999998</v>
      </c>
      <c r="G116" s="907">
        <f t="shared" si="34"/>
        <v>0.78039999999999998</v>
      </c>
      <c r="H116" s="907">
        <f t="shared" si="34"/>
        <v>0.78039999999999998</v>
      </c>
      <c r="I116" s="907">
        <f>ROUND(0.7694-0.014*B113,4)</f>
        <v>0.68720000000000003</v>
      </c>
      <c r="J116" s="907">
        <f t="shared" si="33"/>
        <v>0.68720000000000003</v>
      </c>
      <c r="K116" s="907">
        <f t="shared" si="33"/>
        <v>0.68720000000000003</v>
      </c>
      <c r="L116" s="907">
        <f t="shared" si="33"/>
        <v>0.68720000000000003</v>
      </c>
      <c r="M116" s="908">
        <f t="shared" si="33"/>
        <v>0.68720000000000003</v>
      </c>
    </row>
    <row r="117" spans="1:13">
      <c r="A117" s="906" t="s">
        <v>2877</v>
      </c>
      <c r="B117" s="907">
        <f>ROUND(0.8808-0.006*B113,4)</f>
        <v>0.84560000000000002</v>
      </c>
      <c r="C117" s="907">
        <f>B117</f>
        <v>0.84560000000000002</v>
      </c>
      <c r="D117" s="907">
        <f>ROUND(0.8748-0.008*B113,4)</f>
        <v>0.82779999999999998</v>
      </c>
      <c r="E117" s="907">
        <f t="shared" si="34"/>
        <v>0.82779999999999998</v>
      </c>
      <c r="F117" s="907">
        <f t="shared" si="34"/>
        <v>0.82779999999999998</v>
      </c>
      <c r="G117" s="907">
        <f t="shared" si="34"/>
        <v>0.82779999999999998</v>
      </c>
      <c r="H117" s="907">
        <f t="shared" si="34"/>
        <v>0.82779999999999998</v>
      </c>
      <c r="I117" s="907">
        <f>ROUND(0.7412-0.0095*B113,4)</f>
        <v>0.68540000000000001</v>
      </c>
      <c r="J117" s="907">
        <f t="shared" si="33"/>
        <v>0.68540000000000001</v>
      </c>
      <c r="K117" s="907">
        <f t="shared" si="33"/>
        <v>0.68540000000000001</v>
      </c>
      <c r="L117" s="907">
        <f t="shared" si="33"/>
        <v>0.68540000000000001</v>
      </c>
      <c r="M117" s="908">
        <f t="shared" si="33"/>
        <v>0.68540000000000001</v>
      </c>
    </row>
    <row r="118" spans="1:13" ht="13.5" thickBot="1">
      <c r="A118" s="714" t="s">
        <v>2878</v>
      </c>
      <c r="B118" s="909">
        <f>ROUND(0.7275-0.01*B113,4)</f>
        <v>0.66879999999999995</v>
      </c>
      <c r="C118" s="909">
        <f>B118</f>
        <v>0.66879999999999995</v>
      </c>
      <c r="D118" s="909">
        <f>ROUND(0.7043-0.012*B113,4)</f>
        <v>0.63390000000000002</v>
      </c>
      <c r="E118" s="909">
        <f>D118</f>
        <v>0.63390000000000002</v>
      </c>
      <c r="F118" s="909">
        <f>E118</f>
        <v>0.63390000000000002</v>
      </c>
      <c r="G118" s="909">
        <f>ROUND(0.6299-0.0122*B113,4)</f>
        <v>0.55830000000000002</v>
      </c>
      <c r="H118" s="909">
        <f>G118</f>
        <v>0.55830000000000002</v>
      </c>
      <c r="I118" s="909">
        <f>ROUND(0.5667-0.0136*B113,4)</f>
        <v>0.4869</v>
      </c>
      <c r="J118" s="909">
        <f t="shared" si="33"/>
        <v>0.4869</v>
      </c>
      <c r="K118" s="909">
        <f t="shared" si="33"/>
        <v>0.4869</v>
      </c>
      <c r="L118" s="909">
        <f t="shared" si="33"/>
        <v>0.4869</v>
      </c>
      <c r="M118" s="910">
        <f t="shared" si="33"/>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2" t="s">
        <v>183</v>
      </c>
      <c r="B18" s="879" t="s">
        <v>560</v>
      </c>
      <c r="C18" s="880" t="s">
        <v>561</v>
      </c>
      <c r="D18" s="881"/>
      <c r="E18" s="879">
        <v>1</v>
      </c>
      <c r="F18" s="882" t="s">
        <v>562</v>
      </c>
      <c r="G18" s="883"/>
      <c r="H18" s="875"/>
      <c r="I18" s="875"/>
    </row>
    <row r="19" spans="1:9" s="884" customFormat="1" ht="19.5" customHeight="1">
      <c r="A19" s="3302"/>
      <c r="B19" s="3302" t="s">
        <v>563</v>
      </c>
      <c r="C19" s="880" t="s">
        <v>564</v>
      </c>
      <c r="D19" s="881"/>
      <c r="E19" s="879">
        <v>0.9</v>
      </c>
      <c r="F19" s="882" t="s">
        <v>565</v>
      </c>
      <c r="G19" s="883"/>
      <c r="H19" s="875"/>
      <c r="I19" s="875"/>
    </row>
    <row r="20" spans="1:9" s="884" customFormat="1" ht="19.5" customHeight="1">
      <c r="A20" s="3302"/>
      <c r="B20" s="3302"/>
      <c r="C20" s="880" t="s">
        <v>566</v>
      </c>
      <c r="D20" s="881"/>
      <c r="E20" s="879">
        <v>1.1000000000000001</v>
      </c>
      <c r="F20" s="882" t="s">
        <v>567</v>
      </c>
      <c r="G20" s="883"/>
      <c r="H20" s="875"/>
      <c r="I20" s="875"/>
    </row>
    <row r="21" spans="1:9" s="884" customFormat="1" ht="19.5" customHeight="1">
      <c r="A21" s="3302"/>
      <c r="B21" s="3302"/>
      <c r="C21" s="880" t="s">
        <v>568</v>
      </c>
      <c r="D21" s="881"/>
      <c r="E21" s="879">
        <v>0.8</v>
      </c>
      <c r="F21" s="882" t="s">
        <v>569</v>
      </c>
      <c r="G21" s="883"/>
      <c r="H21" s="875"/>
      <c r="I21" s="875"/>
    </row>
    <row r="22" spans="1:9" s="884" customFormat="1" ht="19.5" customHeight="1">
      <c r="A22" s="3302"/>
      <c r="B22" s="3302"/>
      <c r="C22" s="880" t="s">
        <v>570</v>
      </c>
      <c r="D22" s="881"/>
      <c r="E22" s="879">
        <v>0.5</v>
      </c>
      <c r="F22" s="882"/>
      <c r="G22" s="883"/>
      <c r="H22" s="875"/>
      <c r="I22" s="875"/>
    </row>
    <row r="23" spans="1:9" s="884" customFormat="1" ht="19.5" customHeight="1">
      <c r="A23" s="3302" t="s">
        <v>184</v>
      </c>
      <c r="B23" s="879" t="s">
        <v>560</v>
      </c>
      <c r="C23" s="880" t="s">
        <v>571</v>
      </c>
      <c r="D23" s="881"/>
      <c r="E23" s="879">
        <v>1</v>
      </c>
      <c r="F23" s="882" t="s">
        <v>572</v>
      </c>
      <c r="G23" s="883"/>
      <c r="H23" s="875"/>
      <c r="I23" s="875"/>
    </row>
    <row r="24" spans="1:9" s="884" customFormat="1" ht="19.5" customHeight="1">
      <c r="A24" s="3302"/>
      <c r="B24" s="3302" t="s">
        <v>563</v>
      </c>
      <c r="C24" s="880" t="s">
        <v>573</v>
      </c>
      <c r="D24" s="881"/>
      <c r="E24" s="879">
        <v>0.5</v>
      </c>
      <c r="F24" s="882"/>
      <c r="G24" s="883"/>
      <c r="H24" s="875"/>
      <c r="I24" s="875"/>
    </row>
    <row r="25" spans="1:9" s="884" customFormat="1" ht="19.5" customHeight="1">
      <c r="A25" s="3302"/>
      <c r="B25" s="3302"/>
      <c r="C25" s="880" t="s">
        <v>574</v>
      </c>
      <c r="D25" s="881"/>
      <c r="E25" s="879">
        <v>1.1000000000000001</v>
      </c>
      <c r="F25" s="882"/>
      <c r="G25" s="883"/>
      <c r="H25" s="875"/>
      <c r="I25" s="875"/>
    </row>
    <row r="26" spans="1:9" s="884" customFormat="1" ht="19.5" customHeight="1">
      <c r="A26" s="3302"/>
      <c r="B26" s="3302"/>
      <c r="C26" s="880" t="s">
        <v>575</v>
      </c>
      <c r="D26" s="881"/>
      <c r="E26" s="879">
        <v>1.1000000000000001</v>
      </c>
      <c r="F26" s="882"/>
      <c r="G26" s="883"/>
      <c r="H26" s="875"/>
      <c r="I26" s="875"/>
    </row>
    <row r="27" spans="1:9" s="884" customFormat="1" ht="19.5" customHeight="1">
      <c r="A27" s="3302"/>
      <c r="B27" s="3302"/>
      <c r="C27" s="880" t="s">
        <v>576</v>
      </c>
      <c r="D27" s="881"/>
      <c r="E27" s="879">
        <v>0.9</v>
      </c>
      <c r="F27" s="882" t="s">
        <v>577</v>
      </c>
      <c r="G27" s="883"/>
      <c r="H27" s="875"/>
      <c r="I27" s="875"/>
    </row>
    <row r="28" spans="1:9" s="884" customFormat="1" ht="19.5" customHeight="1">
      <c r="A28" s="3302"/>
      <c r="B28" s="3302"/>
      <c r="C28" s="880" t="s">
        <v>578</v>
      </c>
      <c r="D28" s="881"/>
      <c r="E28" s="879">
        <v>0.9</v>
      </c>
      <c r="F28" s="882" t="s">
        <v>579</v>
      </c>
      <c r="G28" s="883"/>
      <c r="H28" s="875"/>
      <c r="I28" s="875"/>
    </row>
    <row r="29" spans="1:9" s="884" customFormat="1" ht="19.5" customHeight="1">
      <c r="A29" s="3302"/>
      <c r="B29" s="3302"/>
      <c r="C29" s="880" t="s">
        <v>580</v>
      </c>
      <c r="D29" s="881"/>
      <c r="E29" s="879">
        <v>0.9</v>
      </c>
      <c r="F29" s="882" t="s">
        <v>581</v>
      </c>
      <c r="G29" s="883"/>
      <c r="H29" s="875"/>
      <c r="I29" s="875"/>
    </row>
    <row r="30" spans="1:9" s="884" customFormat="1" ht="19.5" customHeight="1">
      <c r="A30" s="3302"/>
      <c r="B30" s="3302"/>
      <c r="C30" s="880" t="s">
        <v>582</v>
      </c>
      <c r="D30" s="881"/>
      <c r="E30" s="879">
        <v>0.9</v>
      </c>
      <c r="F30" s="882" t="s">
        <v>583</v>
      </c>
      <c r="G30" s="883"/>
      <c r="H30" s="875"/>
      <c r="I30" s="875"/>
    </row>
    <row r="31" spans="1:9" s="884" customFormat="1" ht="19.5" customHeight="1">
      <c r="A31" s="3302"/>
      <c r="B31" s="3302"/>
      <c r="C31" s="880" t="s">
        <v>584</v>
      </c>
      <c r="D31" s="881"/>
      <c r="E31" s="879">
        <v>0.8</v>
      </c>
      <c r="F31" s="882" t="s">
        <v>585</v>
      </c>
      <c r="G31" s="883"/>
      <c r="H31" s="875"/>
      <c r="I31" s="875"/>
    </row>
    <row r="32" spans="1:9" s="884" customFormat="1" ht="19.5" customHeight="1">
      <c r="A32" s="3302"/>
      <c r="B32" s="3302"/>
      <c r="C32" s="880" t="s">
        <v>586</v>
      </c>
      <c r="D32" s="881"/>
      <c r="E32" s="879">
        <v>0.8</v>
      </c>
      <c r="F32" s="882" t="s">
        <v>587</v>
      </c>
      <c r="G32" s="883"/>
      <c r="H32" s="875"/>
      <c r="I32" s="875"/>
    </row>
    <row r="33" spans="1:9" s="884" customFormat="1" ht="19.5" customHeight="1">
      <c r="A33" s="3302" t="s">
        <v>185</v>
      </c>
      <c r="B33" s="879" t="s">
        <v>560</v>
      </c>
      <c r="C33" s="880" t="s">
        <v>588</v>
      </c>
      <c r="D33" s="881"/>
      <c r="E33" s="879">
        <v>1</v>
      </c>
      <c r="F33" s="882" t="s">
        <v>589</v>
      </c>
      <c r="G33" s="883"/>
      <c r="H33" s="875"/>
      <c r="I33" s="875"/>
    </row>
    <row r="34" spans="1:9" s="884" customFormat="1" ht="19.5" customHeight="1">
      <c r="A34" s="3302"/>
      <c r="B34" s="879" t="s">
        <v>563</v>
      </c>
      <c r="C34" s="880" t="s">
        <v>590</v>
      </c>
      <c r="D34" s="881"/>
      <c r="E34" s="879">
        <v>1.5</v>
      </c>
      <c r="F34" s="882" t="s">
        <v>591</v>
      </c>
      <c r="G34" s="883"/>
      <c r="H34" s="875"/>
      <c r="I34" s="875"/>
    </row>
    <row r="35" spans="1:9" s="884" customFormat="1" ht="19.5" customHeight="1">
      <c r="A35" s="3302" t="s">
        <v>186</v>
      </c>
      <c r="B35" s="879" t="s">
        <v>560</v>
      </c>
      <c r="C35" s="880" t="s">
        <v>592</v>
      </c>
      <c r="D35" s="881"/>
      <c r="E35" s="879">
        <v>1</v>
      </c>
      <c r="F35" s="882" t="s">
        <v>593</v>
      </c>
      <c r="G35" s="883"/>
      <c r="H35" s="875"/>
      <c r="I35" s="875"/>
    </row>
    <row r="36" spans="1:9" s="884" customFormat="1" ht="19.5" customHeight="1">
      <c r="A36" s="3302"/>
      <c r="B36" s="3302" t="s">
        <v>563</v>
      </c>
      <c r="C36" s="880" t="s">
        <v>594</v>
      </c>
      <c r="D36" s="881"/>
      <c r="E36" s="879">
        <v>1</v>
      </c>
      <c r="F36" s="882" t="s">
        <v>595</v>
      </c>
      <c r="G36" s="883"/>
      <c r="H36" s="875"/>
      <c r="I36" s="875"/>
    </row>
    <row r="37" spans="1:9" s="884" customFormat="1" ht="19.5" customHeight="1">
      <c r="A37" s="3302"/>
      <c r="B37" s="3302"/>
      <c r="C37" s="880" t="s">
        <v>596</v>
      </c>
      <c r="D37" s="881"/>
      <c r="E37" s="879">
        <v>1.5</v>
      </c>
      <c r="F37" s="882" t="s">
        <v>597</v>
      </c>
      <c r="G37" s="883"/>
      <c r="H37" s="875"/>
      <c r="I37" s="875"/>
    </row>
    <row r="38" spans="1:9" s="884" customFormat="1" ht="19.5" customHeight="1">
      <c r="A38" s="3302"/>
      <c r="B38" s="3302"/>
      <c r="C38" s="880" t="s">
        <v>598</v>
      </c>
      <c r="D38" s="881"/>
      <c r="E38" s="879">
        <v>1</v>
      </c>
      <c r="F38" s="882" t="s">
        <v>599</v>
      </c>
      <c r="G38" s="883"/>
      <c r="H38" s="875"/>
      <c r="I38" s="875"/>
    </row>
    <row r="39" spans="1:9" s="884" customFormat="1" ht="19.5" customHeight="1">
      <c r="A39" s="3302"/>
      <c r="B39" s="33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2" t="s">
        <v>614</v>
      </c>
      <c r="C61" s="815" t="s">
        <v>615</v>
      </c>
      <c r="D61" s="815" t="s">
        <v>616</v>
      </c>
      <c r="E61" s="892">
        <v>0.5</v>
      </c>
      <c r="F61" s="879">
        <v>80</v>
      </c>
    </row>
    <row r="62" spans="1:8" s="875" customFormat="1" ht="24">
      <c r="A62" s="879">
        <v>2</v>
      </c>
      <c r="B62" s="3302"/>
      <c r="C62" s="815" t="s">
        <v>617</v>
      </c>
      <c r="D62" s="815" t="s">
        <v>618</v>
      </c>
      <c r="E62" s="892">
        <v>0.5</v>
      </c>
      <c r="F62" s="879">
        <v>80</v>
      </c>
    </row>
    <row r="63" spans="1:8" s="875" customFormat="1" ht="36">
      <c r="A63" s="879">
        <v>3</v>
      </c>
      <c r="B63" s="3302"/>
      <c r="C63" s="815" t="s">
        <v>619</v>
      </c>
      <c r="D63" s="815" t="s">
        <v>620</v>
      </c>
      <c r="E63" s="892">
        <v>0.5</v>
      </c>
      <c r="F63" s="879">
        <v>80</v>
      </c>
    </row>
    <row r="64" spans="1:8" s="875" customFormat="1" ht="36">
      <c r="A64" s="879">
        <v>4</v>
      </c>
      <c r="B64" s="3302"/>
      <c r="C64" s="815" t="s">
        <v>621</v>
      </c>
      <c r="D64" s="815" t="s">
        <v>622</v>
      </c>
      <c r="E64" s="892">
        <v>0.4</v>
      </c>
      <c r="F64" s="879">
        <v>60</v>
      </c>
    </row>
    <row r="65" spans="1:6" s="875" customFormat="1" ht="36">
      <c r="A65" s="879">
        <v>5</v>
      </c>
      <c r="B65" s="3302"/>
      <c r="C65" s="815" t="s">
        <v>623</v>
      </c>
      <c r="D65" s="815" t="s">
        <v>624</v>
      </c>
      <c r="E65" s="892">
        <v>0.2</v>
      </c>
      <c r="F65" s="879">
        <v>30</v>
      </c>
    </row>
    <row r="66" spans="1:6" s="875" customFormat="1" ht="36">
      <c r="A66" s="879">
        <v>6</v>
      </c>
      <c r="B66" s="3302"/>
      <c r="C66" s="815" t="s">
        <v>625</v>
      </c>
      <c r="D66" s="815" t="s">
        <v>626</v>
      </c>
      <c r="E66" s="892">
        <v>0.3</v>
      </c>
      <c r="F66" s="879">
        <v>50</v>
      </c>
    </row>
    <row r="67" spans="1:6" s="875" customFormat="1" ht="36">
      <c r="A67" s="879">
        <v>7</v>
      </c>
      <c r="B67" s="3302"/>
      <c r="C67" s="815" t="s">
        <v>627</v>
      </c>
      <c r="D67" s="815" t="s">
        <v>628</v>
      </c>
      <c r="E67" s="892">
        <v>0.2</v>
      </c>
      <c r="F67" s="879">
        <v>30</v>
      </c>
    </row>
    <row r="68" spans="1:6" s="875" customFormat="1" ht="36">
      <c r="A68" s="879">
        <v>8</v>
      </c>
      <c r="B68" s="3302"/>
      <c r="C68" s="815" t="s">
        <v>629</v>
      </c>
      <c r="D68" s="815" t="s">
        <v>630</v>
      </c>
      <c r="E68" s="892">
        <v>0.2</v>
      </c>
      <c r="F68" s="879">
        <v>30</v>
      </c>
    </row>
    <row r="69" spans="1:6" s="875" customFormat="1" ht="36">
      <c r="A69" s="879">
        <v>9</v>
      </c>
      <c r="B69" s="3302"/>
      <c r="C69" s="815" t="s">
        <v>631</v>
      </c>
      <c r="D69" s="815" t="s">
        <v>632</v>
      </c>
      <c r="E69" s="892">
        <v>0.2</v>
      </c>
      <c r="F69" s="879">
        <v>30</v>
      </c>
    </row>
    <row r="70" spans="1:6" s="875" customFormat="1" ht="48">
      <c r="A70" s="879">
        <v>10</v>
      </c>
      <c r="B70" s="3302"/>
      <c r="C70" s="815" t="s">
        <v>633</v>
      </c>
      <c r="D70" s="815" t="s">
        <v>634</v>
      </c>
      <c r="E70" s="892">
        <v>0.2</v>
      </c>
      <c r="F70" s="879">
        <v>30</v>
      </c>
    </row>
    <row r="71" spans="1:6" s="875" customFormat="1" ht="48">
      <c r="A71" s="879">
        <v>11</v>
      </c>
      <c r="B71" s="3302"/>
      <c r="C71" s="815" t="s">
        <v>635</v>
      </c>
      <c r="D71" s="815" t="s">
        <v>636</v>
      </c>
      <c r="E71" s="892">
        <v>0.2</v>
      </c>
      <c r="F71" s="879">
        <v>30</v>
      </c>
    </row>
    <row r="72" spans="1:6" s="875" customFormat="1" ht="36">
      <c r="A72" s="879">
        <v>12</v>
      </c>
      <c r="B72" s="3302"/>
      <c r="C72" s="815" t="s">
        <v>637</v>
      </c>
      <c r="D72" s="815" t="s">
        <v>638</v>
      </c>
      <c r="E72" s="892">
        <v>0.5</v>
      </c>
      <c r="F72" s="879">
        <v>80</v>
      </c>
    </row>
    <row r="73" spans="1:6" s="875" customFormat="1" ht="24">
      <c r="A73" s="879">
        <v>13</v>
      </c>
      <c r="B73" s="3302"/>
      <c r="C73" s="815" t="s">
        <v>639</v>
      </c>
      <c r="D73" s="815" t="s">
        <v>640</v>
      </c>
      <c r="E73" s="892">
        <v>0.4</v>
      </c>
      <c r="F73" s="879">
        <v>60</v>
      </c>
    </row>
    <row r="74" spans="1:6" s="875" customFormat="1" ht="24">
      <c r="A74" s="879">
        <v>14</v>
      </c>
      <c r="B74" s="3302"/>
      <c r="C74" s="815" t="s">
        <v>641</v>
      </c>
      <c r="D74" s="815" t="s">
        <v>642</v>
      </c>
      <c r="E74" s="892">
        <v>0.2</v>
      </c>
      <c r="F74" s="879">
        <v>30</v>
      </c>
    </row>
    <row r="75" spans="1:6" s="875" customFormat="1" ht="24">
      <c r="A75" s="879">
        <v>15</v>
      </c>
      <c r="B75" s="3302"/>
      <c r="C75" s="815" t="s">
        <v>643</v>
      </c>
      <c r="D75" s="815" t="s">
        <v>644</v>
      </c>
      <c r="E75" s="892">
        <v>0.2</v>
      </c>
      <c r="F75" s="879">
        <v>30</v>
      </c>
    </row>
    <row r="76" spans="1:6" s="875" customFormat="1" ht="24">
      <c r="A76" s="879">
        <v>16</v>
      </c>
      <c r="B76" s="3302" t="s">
        <v>645</v>
      </c>
      <c r="C76" s="815" t="s">
        <v>646</v>
      </c>
      <c r="D76" s="815" t="s">
        <v>647</v>
      </c>
      <c r="E76" s="892">
        <v>0.5</v>
      </c>
      <c r="F76" s="879">
        <v>80</v>
      </c>
    </row>
    <row r="77" spans="1:6" s="875" customFormat="1" ht="24">
      <c r="A77" s="879">
        <v>17</v>
      </c>
      <c r="B77" s="3302"/>
      <c r="C77" s="815" t="s">
        <v>648</v>
      </c>
      <c r="D77" s="815" t="s">
        <v>649</v>
      </c>
      <c r="E77" s="892">
        <v>0.5</v>
      </c>
      <c r="F77" s="879">
        <v>80</v>
      </c>
    </row>
    <row r="78" spans="1:6" s="875" customFormat="1" ht="24">
      <c r="A78" s="879">
        <v>18</v>
      </c>
      <c r="B78" s="3302"/>
      <c r="C78" s="815" t="s">
        <v>650</v>
      </c>
      <c r="D78" s="815" t="s">
        <v>651</v>
      </c>
      <c r="E78" s="892">
        <v>0.2</v>
      </c>
      <c r="F78" s="879">
        <v>30</v>
      </c>
    </row>
    <row r="79" spans="1:6" s="875" customFormat="1" ht="24">
      <c r="A79" s="879">
        <v>19</v>
      </c>
      <c r="B79" s="3302"/>
      <c r="C79" s="815" t="s">
        <v>652</v>
      </c>
      <c r="D79" s="815" t="s">
        <v>653</v>
      </c>
      <c r="E79" s="892">
        <v>0.5</v>
      </c>
      <c r="F79" s="879">
        <v>80</v>
      </c>
    </row>
    <row r="80" spans="1:6" s="875" customFormat="1" ht="36">
      <c r="A80" s="879">
        <v>20</v>
      </c>
      <c r="B80" s="3302"/>
      <c r="C80" s="815" t="s">
        <v>654</v>
      </c>
      <c r="D80" s="815" t="s">
        <v>655</v>
      </c>
      <c r="E80" s="892">
        <v>0.2</v>
      </c>
      <c r="F80" s="879">
        <v>30</v>
      </c>
    </row>
    <row r="81" spans="1:6" s="875" customFormat="1" ht="36">
      <c r="A81" s="879">
        <v>21</v>
      </c>
      <c r="B81" s="3302"/>
      <c r="C81" s="815" t="s">
        <v>656</v>
      </c>
      <c r="D81" s="815" t="s">
        <v>657</v>
      </c>
      <c r="E81" s="892">
        <v>0.2</v>
      </c>
      <c r="F81" s="879">
        <v>30</v>
      </c>
    </row>
    <row r="82" spans="1:6" s="875" customFormat="1" ht="48">
      <c r="A82" s="879">
        <v>22</v>
      </c>
      <c r="B82" s="3302"/>
      <c r="C82" s="815" t="s">
        <v>658</v>
      </c>
      <c r="D82" s="815" t="s">
        <v>659</v>
      </c>
      <c r="E82" s="892">
        <v>0.2</v>
      </c>
      <c r="F82" s="879">
        <v>30</v>
      </c>
    </row>
    <row r="83" spans="1:6" s="875" customFormat="1" ht="48">
      <c r="A83" s="879">
        <v>23</v>
      </c>
      <c r="B83" s="3302"/>
      <c r="C83" s="815" t="s">
        <v>660</v>
      </c>
      <c r="D83" s="815" t="s">
        <v>661</v>
      </c>
      <c r="E83" s="892">
        <v>0.2</v>
      </c>
      <c r="F83" s="879">
        <v>30</v>
      </c>
    </row>
    <row r="84" spans="1:6" s="875" customFormat="1" ht="36">
      <c r="A84" s="879">
        <v>24</v>
      </c>
      <c r="B84" s="3302"/>
      <c r="C84" s="815" t="s">
        <v>662</v>
      </c>
      <c r="D84" s="815" t="s">
        <v>663</v>
      </c>
      <c r="E84" s="892">
        <v>0.2</v>
      </c>
      <c r="F84" s="879">
        <v>30</v>
      </c>
    </row>
    <row r="85" spans="1:6" s="875" customFormat="1" ht="36">
      <c r="A85" s="879">
        <v>25</v>
      </c>
      <c r="B85" s="3302"/>
      <c r="C85" s="815" t="s">
        <v>664</v>
      </c>
      <c r="D85" s="815" t="s">
        <v>665</v>
      </c>
      <c r="E85" s="892">
        <v>0.5</v>
      </c>
      <c r="F85" s="879">
        <v>80</v>
      </c>
    </row>
    <row r="86" spans="1:6" s="875" customFormat="1" ht="36">
      <c r="A86" s="879">
        <v>26</v>
      </c>
      <c r="B86" s="3302"/>
      <c r="C86" s="815" t="s">
        <v>666</v>
      </c>
      <c r="D86" s="815" t="s">
        <v>667</v>
      </c>
      <c r="E86" s="892">
        <v>0.2</v>
      </c>
      <c r="F86" s="879">
        <v>30</v>
      </c>
    </row>
    <row r="87" spans="1:6" s="875" customFormat="1" ht="36">
      <c r="A87" s="879">
        <v>27</v>
      </c>
      <c r="B87" s="3302"/>
      <c r="C87" s="815" t="s">
        <v>668</v>
      </c>
      <c r="D87" s="815" t="s">
        <v>669</v>
      </c>
      <c r="E87" s="892">
        <v>0.2</v>
      </c>
      <c r="F87" s="879">
        <v>30</v>
      </c>
    </row>
    <row r="88" spans="1:6" s="875" customFormat="1" ht="36">
      <c r="A88" s="879">
        <v>28</v>
      </c>
      <c r="B88" s="3302"/>
      <c r="C88" s="815" t="s">
        <v>670</v>
      </c>
      <c r="D88" s="815" t="s">
        <v>671</v>
      </c>
      <c r="E88" s="892">
        <v>0.2</v>
      </c>
      <c r="F88" s="879">
        <v>30</v>
      </c>
    </row>
    <row r="89" spans="1:6" s="875" customFormat="1" ht="24">
      <c r="A89" s="879">
        <v>29</v>
      </c>
      <c r="B89" s="3302"/>
      <c r="C89" s="815" t="s">
        <v>672</v>
      </c>
      <c r="D89" s="815" t="s">
        <v>673</v>
      </c>
      <c r="E89" s="892">
        <v>0.2</v>
      </c>
      <c r="F89" s="879">
        <v>30</v>
      </c>
    </row>
    <row r="90" spans="1:6" s="875" customFormat="1" ht="24">
      <c r="A90" s="879">
        <v>30</v>
      </c>
      <c r="B90" s="3302"/>
      <c r="C90" s="815" t="s">
        <v>674</v>
      </c>
      <c r="D90" s="815" t="s">
        <v>675</v>
      </c>
      <c r="E90" s="892">
        <v>0.2</v>
      </c>
      <c r="F90" s="879">
        <v>30</v>
      </c>
    </row>
    <row r="91" spans="1:6" s="875" customFormat="1" ht="36">
      <c r="A91" s="879">
        <v>31</v>
      </c>
      <c r="B91" s="3302"/>
      <c r="C91" s="815" t="s">
        <v>676</v>
      </c>
      <c r="D91" s="815" t="s">
        <v>677</v>
      </c>
      <c r="E91" s="892">
        <v>0.2</v>
      </c>
      <c r="F91" s="879">
        <v>30</v>
      </c>
    </row>
    <row r="92" spans="1:6" s="875" customFormat="1" ht="24">
      <c r="A92" s="879">
        <v>32</v>
      </c>
      <c r="B92" s="3302" t="s">
        <v>678</v>
      </c>
      <c r="C92" s="879" t="s">
        <v>679</v>
      </c>
      <c r="D92" s="815" t="s">
        <v>680</v>
      </c>
      <c r="E92" s="892">
        <v>0.2</v>
      </c>
      <c r="F92" s="879">
        <v>30</v>
      </c>
    </row>
    <row r="93" spans="1:6" s="875" customFormat="1" ht="36">
      <c r="A93" s="879">
        <v>33</v>
      </c>
      <c r="B93" s="3302"/>
      <c r="C93" s="879" t="s">
        <v>681</v>
      </c>
      <c r="D93" s="815" t="s">
        <v>682</v>
      </c>
      <c r="E93" s="892">
        <v>0.2</v>
      </c>
      <c r="F93" s="879">
        <v>30</v>
      </c>
    </row>
    <row r="94" spans="1:6" s="875" customFormat="1" ht="48">
      <c r="A94" s="879">
        <v>34</v>
      </c>
      <c r="B94" s="3302"/>
      <c r="C94" s="879" t="s">
        <v>683</v>
      </c>
      <c r="D94" s="815" t="s">
        <v>684</v>
      </c>
      <c r="E94" s="892">
        <v>0.2</v>
      </c>
      <c r="F94" s="879">
        <v>30</v>
      </c>
    </row>
    <row r="95" spans="1:6" s="875" customFormat="1" ht="36">
      <c r="A95" s="879">
        <v>35</v>
      </c>
      <c r="B95" s="3302"/>
      <c r="C95" s="879" t="s">
        <v>685</v>
      </c>
      <c r="D95" s="815" t="s">
        <v>686</v>
      </c>
      <c r="E95" s="892">
        <v>0.2</v>
      </c>
      <c r="F95" s="879">
        <v>30</v>
      </c>
    </row>
    <row r="96" spans="1:6" s="875" customFormat="1" ht="48">
      <c r="A96" s="879">
        <v>36</v>
      </c>
      <c r="B96" s="3302"/>
      <c r="C96" s="815" t="s">
        <v>687</v>
      </c>
      <c r="D96" s="815" t="s">
        <v>688</v>
      </c>
      <c r="E96" s="892">
        <v>0.2</v>
      </c>
      <c r="F96" s="879">
        <v>30</v>
      </c>
    </row>
    <row r="97" spans="1:6" s="875" customFormat="1" ht="36">
      <c r="A97" s="879">
        <v>37</v>
      </c>
      <c r="B97" s="3302"/>
      <c r="C97" s="879" t="s">
        <v>689</v>
      </c>
      <c r="D97" s="815" t="s">
        <v>690</v>
      </c>
      <c r="E97" s="892">
        <v>0.2</v>
      </c>
      <c r="F97" s="879">
        <v>30</v>
      </c>
    </row>
    <row r="98" spans="1:6" s="875" customFormat="1" ht="36">
      <c r="A98" s="879">
        <v>38</v>
      </c>
      <c r="B98" s="3302"/>
      <c r="C98" s="879" t="s">
        <v>691</v>
      </c>
      <c r="D98" s="815" t="s">
        <v>692</v>
      </c>
      <c r="E98" s="892">
        <v>0.2</v>
      </c>
      <c r="F98" s="879">
        <v>30</v>
      </c>
    </row>
    <row r="99" spans="1:6" s="875" customFormat="1" ht="36">
      <c r="A99" s="879">
        <v>39</v>
      </c>
      <c r="B99" s="3302" t="s">
        <v>693</v>
      </c>
      <c r="C99" s="879" t="s">
        <v>694</v>
      </c>
      <c r="D99" s="815" t="s">
        <v>695</v>
      </c>
      <c r="E99" s="892">
        <v>0.3</v>
      </c>
      <c r="F99" s="879">
        <v>50</v>
      </c>
    </row>
    <row r="100" spans="1:6" s="875" customFormat="1" ht="24">
      <c r="A100" s="879">
        <v>40</v>
      </c>
      <c r="B100" s="3302"/>
      <c r="C100" s="879" t="s">
        <v>696</v>
      </c>
      <c r="D100" s="815" t="s">
        <v>697</v>
      </c>
      <c r="E100" s="892">
        <v>0.2</v>
      </c>
      <c r="F100" s="879">
        <v>30</v>
      </c>
    </row>
    <row r="101" spans="1:6" s="875" customFormat="1" ht="36">
      <c r="A101" s="879">
        <v>41</v>
      </c>
      <c r="B101" s="33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2" t="s">
        <v>708</v>
      </c>
      <c r="C105" s="879" t="s">
        <v>709</v>
      </c>
      <c r="D105" s="815" t="s">
        <v>710</v>
      </c>
      <c r="E105" s="892">
        <v>0.2</v>
      </c>
      <c r="F105" s="879">
        <v>30</v>
      </c>
    </row>
    <row r="106" spans="1:6" s="875" customFormat="1" ht="36">
      <c r="A106" s="879">
        <v>46</v>
      </c>
      <c r="B106" s="3302"/>
      <c r="C106" s="879" t="s">
        <v>711</v>
      </c>
      <c r="D106" s="815" t="s">
        <v>712</v>
      </c>
      <c r="E106" s="892">
        <v>0.2</v>
      </c>
      <c r="F106" s="879">
        <v>30</v>
      </c>
    </row>
    <row r="107" spans="1:6" s="875" customFormat="1" ht="36">
      <c r="A107" s="879">
        <v>47</v>
      </c>
      <c r="B107" s="3302" t="s">
        <v>713</v>
      </c>
      <c r="C107" s="879" t="s">
        <v>714</v>
      </c>
      <c r="D107" s="815" t="s">
        <v>715</v>
      </c>
      <c r="E107" s="892">
        <v>0.3</v>
      </c>
      <c r="F107" s="879">
        <v>50</v>
      </c>
    </row>
    <row r="108" spans="1:6" s="875" customFormat="1" ht="36">
      <c r="A108" s="879">
        <v>48</v>
      </c>
      <c r="B108" s="33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2" t="s">
        <v>724</v>
      </c>
      <c r="C111" s="879" t="s">
        <v>725</v>
      </c>
      <c r="D111" s="815" t="s">
        <v>726</v>
      </c>
      <c r="E111" s="892">
        <v>0.2</v>
      </c>
      <c r="F111" s="879">
        <v>30</v>
      </c>
    </row>
    <row r="112" spans="1:6" s="875" customFormat="1" ht="24">
      <c r="A112" s="879">
        <v>52</v>
      </c>
      <c r="B112" s="3302"/>
      <c r="C112" s="879" t="s">
        <v>727</v>
      </c>
      <c r="D112" s="815" t="s">
        <v>728</v>
      </c>
      <c r="E112" s="892">
        <v>0.2</v>
      </c>
      <c r="F112" s="879">
        <v>30</v>
      </c>
    </row>
    <row r="113" spans="1:6" s="875" customFormat="1" ht="24">
      <c r="A113" s="879">
        <v>53</v>
      </c>
      <c r="B113" s="33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2" t="s">
        <v>737</v>
      </c>
      <c r="C116" s="879" t="s">
        <v>738</v>
      </c>
      <c r="D116" s="815" t="s">
        <v>739</v>
      </c>
      <c r="E116" s="892">
        <v>0.2</v>
      </c>
      <c r="F116" s="879">
        <v>30</v>
      </c>
    </row>
    <row r="117" spans="1:6" ht="36">
      <c r="A117" s="879">
        <v>57</v>
      </c>
      <c r="B117" s="33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3001</v>
      </c>
    </row>
    <row r="2" spans="1:5" ht="15.75">
      <c r="A2" s="2908" t="s">
        <v>2993</v>
      </c>
      <c r="B2" s="2909" t="e">
        <f ca="1">SUMIF(B6:B13,"&lt;&gt;#ref!",B6:B13)</f>
        <v>#DIV/0!</v>
      </c>
      <c r="C2" s="2908" t="s">
        <v>2994</v>
      </c>
      <c r="D2" s="2908" t="s">
        <v>2995</v>
      </c>
      <c r="E2" s="2909">
        <f ca="1">SUMIF(E6:E13,"&lt;&gt;#ref!",E6:E13)</f>
        <v>0</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3">
        <f ca="1">SUMIF(INDIRECT("'"&amp;A6&amp;"'"&amp;"!C:C"),"建筑面积",INDIRECT("'"&amp;A6&amp;"'"&amp;"!D:D"))</f>
        <v>0</v>
      </c>
    </row>
    <row r="7" spans="1:5" ht="15.75">
      <c r="A7" s="2913"/>
      <c r="B7" s="2909" t="e">
        <f ca="1">SUMIF(INDIRECT("'"&amp;A7&amp;"'"&amp;"!A:A"),"总价",INDIRECT("'"&amp;A7&amp;"'"&amp;"!B:B"))</f>
        <v>#REF!</v>
      </c>
      <c r="C7" s="2908" t="s">
        <v>2994</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3" t="e">
        <f t="shared" ca="1" si="0"/>
        <v>#REF!</v>
      </c>
    </row>
    <row r="9" spans="1:5" ht="15.75">
      <c r="A9" s="2913"/>
      <c r="B9" s="2909" t="e">
        <f t="shared" ca="1" si="1"/>
        <v>#REF!</v>
      </c>
      <c r="C9" s="2908" t="s">
        <v>2994</v>
      </c>
      <c r="D9" s="2910"/>
      <c r="E9" s="2573" t="e">
        <f t="shared" ca="1" si="0"/>
        <v>#REF!</v>
      </c>
    </row>
    <row r="10" spans="1:5" ht="15.75">
      <c r="A10" s="2913"/>
      <c r="B10" s="2909" t="e">
        <f t="shared" ca="1" si="1"/>
        <v>#REF!</v>
      </c>
      <c r="C10" s="2908" t="s">
        <v>2994</v>
      </c>
      <c r="D10" s="2910"/>
      <c r="E10" s="2573" t="e">
        <f t="shared" ca="1" si="0"/>
        <v>#REF!</v>
      </c>
    </row>
    <row r="11" spans="1:5" ht="15.75">
      <c r="A11" s="2913"/>
      <c r="B11" s="2909" t="e">
        <f t="shared" ca="1" si="1"/>
        <v>#REF!</v>
      </c>
      <c r="C11" s="2908" t="s">
        <v>2994</v>
      </c>
      <c r="D11" s="2910"/>
      <c r="E11" s="2573" t="e">
        <f t="shared" ca="1" si="0"/>
        <v>#REF!</v>
      </c>
    </row>
    <row r="12" spans="1:5" ht="15.75">
      <c r="A12" s="2913"/>
      <c r="B12" s="2909" t="e">
        <f t="shared" ca="1" si="1"/>
        <v>#REF!</v>
      </c>
      <c r="C12" s="2908" t="s">
        <v>2994</v>
      </c>
      <c r="D12" s="2910"/>
      <c r="E12" s="2573" t="e">
        <f t="shared" ca="1" si="0"/>
        <v>#REF!</v>
      </c>
    </row>
    <row r="13" spans="1:5" ht="15.75">
      <c r="A13" s="2913"/>
      <c r="B13" s="2909" t="e">
        <f t="shared" ca="1" si="1"/>
        <v>#REF!</v>
      </c>
      <c r="C13" s="2908" t="s">
        <v>2994</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1150</v>
      </c>
      <c r="C1" s="3308"/>
      <c r="D1" s="3308"/>
      <c r="E1" s="3308"/>
      <c r="F1" s="3308"/>
      <c r="G1" s="3307" t="s">
        <v>1151</v>
      </c>
      <c r="H1" s="3307"/>
      <c r="I1" s="3307"/>
      <c r="J1" s="3307"/>
      <c r="K1" s="3307"/>
      <c r="L1" s="3307"/>
      <c r="N1" s="3307" t="s">
        <v>1152</v>
      </c>
      <c r="O1" s="3307"/>
      <c r="P1" s="3307"/>
      <c r="Q1" s="3307"/>
      <c r="R1" s="1446"/>
      <c r="S1" s="3307" t="s">
        <v>1153</v>
      </c>
      <c r="T1" s="3307"/>
      <c r="U1" s="3307"/>
      <c r="V1" s="3307"/>
      <c r="X1" s="3306" t="s">
        <v>1154</v>
      </c>
      <c r="Y1" s="3307"/>
      <c r="Z1" s="3307"/>
      <c r="AA1" s="3307"/>
      <c r="AB1" s="3307"/>
      <c r="AD1" s="3306" t="s">
        <v>1155</v>
      </c>
      <c r="AE1" s="3307"/>
      <c r="AF1" s="3307"/>
      <c r="AG1" s="3307"/>
      <c r="AH1" s="330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3042</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9">
        <v>2018</v>
      </c>
      <c r="H5" s="1729">
        <v>3</v>
      </c>
      <c r="I5" s="2922">
        <v>0</v>
      </c>
      <c r="J5" s="2922">
        <v>0</v>
      </c>
      <c r="K5" s="2922">
        <v>0</v>
      </c>
      <c r="L5" s="2922">
        <v>0</v>
      </c>
      <c r="N5" s="1467">
        <f>I5/100</f>
        <v>0</v>
      </c>
      <c r="O5" s="1467">
        <f t="shared" ref="O5" si="7">J5/100</f>
        <v>0</v>
      </c>
      <c r="P5" s="1467">
        <f t="shared" ref="P5" si="8">K5/100</f>
        <v>0</v>
      </c>
      <c r="Q5" s="1467">
        <f t="shared" ref="Q5" si="9">L5/100</f>
        <v>0</v>
      </c>
      <c r="R5" s="1731"/>
      <c r="S5" s="1732"/>
      <c r="T5" s="1731"/>
      <c r="U5" s="1731"/>
      <c r="V5" s="1731"/>
      <c r="W5" s="2926" t="s">
        <v>3036</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3043</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7"/>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3034</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7"/>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3031</v>
      </c>
      <c r="B8" s="1469">
        <v>439</v>
      </c>
      <c r="C8" s="1469">
        <v>327</v>
      </c>
      <c r="D8" s="1469">
        <f>C8</f>
        <v>327</v>
      </c>
      <c r="E8" s="1469">
        <v>627</v>
      </c>
      <c r="F8" s="1470">
        <v>283</v>
      </c>
      <c r="G8" s="2924">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3032</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0"/>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9"/>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0"/>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09">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0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0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0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0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0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0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0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0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0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0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0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10">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11"/>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11"/>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12"/>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0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0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0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0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0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0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0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0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0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0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0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0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0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0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0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0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0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0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0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0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0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0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0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0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0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0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0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0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0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0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0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0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0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0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0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0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0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0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0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0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0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0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0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0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9"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4" t="s">
        <v>3004</v>
      </c>
      <c r="D1" s="3315"/>
      <c r="E1" s="3315"/>
      <c r="F1" s="3315"/>
      <c r="G1" s="3315"/>
      <c r="H1" s="3315"/>
      <c r="I1" s="3315"/>
      <c r="J1" s="3315"/>
      <c r="K1" s="3315"/>
      <c r="L1" s="3315"/>
      <c r="M1" s="3315"/>
      <c r="N1" s="3315"/>
      <c r="O1" s="3315"/>
      <c r="P1" s="3315"/>
      <c r="Q1" s="3315"/>
      <c r="R1" s="3315"/>
      <c r="S1" s="3316"/>
      <c r="T1" s="1204" t="s">
        <v>3005</v>
      </c>
    </row>
    <row r="2" spans="1:45" s="707" customFormat="1" ht="38.25">
      <c r="A2" s="1205"/>
      <c r="B2" s="703" t="s">
        <v>3006</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3">
        <v>1500</v>
      </c>
      <c r="G3" s="1703">
        <v>2000</v>
      </c>
      <c r="H3" s="1703">
        <v>2500</v>
      </c>
      <c r="I3" s="1703">
        <v>3000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7">
        <v>97</v>
      </c>
      <c r="G4" s="1707">
        <v>96</v>
      </c>
      <c r="H4" s="1707">
        <v>95</v>
      </c>
      <c r="I4" s="1707">
        <v>94</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1" t="s">
        <v>3118</v>
      </c>
      <c r="D17" s="1232" t="s">
        <v>3119</v>
      </c>
      <c r="E17" s="1232" t="s">
        <v>3120</v>
      </c>
      <c r="F17" s="1232" t="s">
        <v>3121</v>
      </c>
      <c r="G17" s="1232" t="s">
        <v>3122</v>
      </c>
      <c r="H17" s="1232" t="s">
        <v>3123</v>
      </c>
      <c r="I17" s="1232" t="s">
        <v>3124</v>
      </c>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65</v>
      </c>
      <c r="F18" s="1244">
        <v>60</v>
      </c>
      <c r="G18" s="1244">
        <v>55</v>
      </c>
      <c r="H18" s="1244">
        <v>55</v>
      </c>
      <c r="I18" s="1244">
        <v>55</v>
      </c>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6" t="s">
        <v>3015</v>
      </c>
      <c r="E19" s="1791"/>
      <c r="F19" s="1791"/>
      <c r="G19" s="1791"/>
      <c r="H19" s="1280"/>
      <c r="I19" s="168"/>
      <c r="J19" s="168"/>
      <c r="K19" s="168"/>
      <c r="L19" s="168"/>
      <c r="M19" s="168"/>
      <c r="N19" s="168"/>
      <c r="O19" s="168"/>
      <c r="P19" s="168"/>
      <c r="Q19" s="168"/>
      <c r="R19" s="788"/>
      <c r="S19" s="138"/>
    </row>
    <row r="20" spans="1:45" ht="16.5" thickBot="1">
      <c r="A20" s="715" t="s">
        <v>3016</v>
      </c>
      <c r="B20" s="338">
        <f ca="1">IF(D20="——",S22,S22-F20)</f>
        <v>14156</v>
      </c>
      <c r="C20" s="168"/>
      <c r="D20" s="2917" t="s">
        <v>70</v>
      </c>
      <c r="E20" s="1792"/>
      <c r="F20" s="1204" t="e">
        <f ca="1">SUMIF(INDIRECT("'"&amp;H20&amp;"'"&amp;"!A:A"),"承租人权益价值",INDIRECT("'"&amp;H20&amp;"'"&amp;"!c:c"))</f>
        <v>#REF!</v>
      </c>
      <c r="G20" s="1204" t="s">
        <v>3017</v>
      </c>
      <c r="H20" s="2918"/>
      <c r="I20" s="168"/>
      <c r="J20" s="168"/>
      <c r="K20" s="168"/>
      <c r="L20" s="168"/>
      <c r="M20" s="168"/>
      <c r="N20" s="168"/>
      <c r="O20" s="168"/>
      <c r="P20" s="168"/>
      <c r="Q20" s="168"/>
      <c r="R20" s="788"/>
      <c r="S20" s="138"/>
    </row>
    <row r="21" spans="1:45" ht="15.75">
      <c r="A21" s="715" t="s">
        <v>3018</v>
      </c>
      <c r="B21" s="338">
        <f ca="1">R22</f>
        <v>7510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18849.449999999993</v>
      </c>
      <c r="C22" s="3175" t="s">
        <v>33</v>
      </c>
      <c r="D22" s="3176"/>
      <c r="E22" s="3176"/>
      <c r="F22" s="3176"/>
      <c r="G22" s="3176"/>
      <c r="H22" s="3176"/>
      <c r="I22" s="3176"/>
      <c r="J22" s="3176"/>
      <c r="K22" s="3176"/>
      <c r="L22" s="3176"/>
      <c r="M22" s="3176"/>
      <c r="N22" s="3176"/>
      <c r="O22" s="3176"/>
      <c r="P22" s="3176"/>
      <c r="Q22" s="3313"/>
      <c r="R22" s="716">
        <f ca="1">ROUND(S22*10000/B22,0)</f>
        <v>7510</v>
      </c>
      <c r="S22" s="24">
        <f ca="1">SUM(S24:S10000)</f>
        <v>14156</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f>Sheet1!E2</f>
        <v>158.21</v>
      </c>
      <c r="C24" s="719">
        <v>1</v>
      </c>
      <c r="D24" s="720"/>
      <c r="E24" s="719">
        <v>1</v>
      </c>
      <c r="F24" s="720"/>
      <c r="G24" s="719">
        <v>1</v>
      </c>
      <c r="H24" s="720"/>
      <c r="I24" s="719">
        <v>1</v>
      </c>
      <c r="J24" s="720"/>
      <c r="K24" s="719">
        <v>1</v>
      </c>
      <c r="L24" s="720"/>
      <c r="M24" s="719">
        <v>1</v>
      </c>
      <c r="N24" s="720"/>
      <c r="O24" s="719">
        <v>1</v>
      </c>
      <c r="P24" s="720" t="s">
        <v>3125</v>
      </c>
      <c r="Q24" s="719">
        <v>1</v>
      </c>
      <c r="R24" s="721">
        <f ca="1">结果表!G20</f>
        <v>11455</v>
      </c>
      <c r="S24" s="719">
        <f t="shared" ref="S24:S54" ca="1" si="11">ROUND(R24*B24/10000,0)</f>
        <v>181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3125</v>
      </c>
      <c r="Q25" s="24">
        <f>(SUMIF($17:$17,P25,$18:$18)-SUMIF($17:$17,$P$24,$18:$18)+100)/100</f>
        <v>1</v>
      </c>
      <c r="R25" s="716">
        <f ca="1">IF(B25="",0,ROUND($R$24*C25*E25*G25*I25*K25*M25*O25*Q25,0))</f>
        <v>11455</v>
      </c>
      <c r="S25" s="361">
        <f t="shared" ca="1" si="11"/>
        <v>89</v>
      </c>
    </row>
    <row r="26" spans="1:45">
      <c r="A26" s="159"/>
      <c r="B26" s="59">
        <f>Sheet1!E4</f>
        <v>75.02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3125</v>
      </c>
      <c r="Q26" s="24">
        <f t="shared" ref="Q26:Q89" si="19">(SUMIF($17:$17,P26,$18:$18)-SUMIF($17:$17,$P$24,$18:$18)+100)/100</f>
        <v>1</v>
      </c>
      <c r="R26" s="716">
        <f t="shared" ref="R26:R89" ca="1" si="20">IF(B26="",0,ROUND($R$24*C26*E26*G26*I26*K26*M26*O26*Q26,0))</f>
        <v>11455</v>
      </c>
      <c r="S26" s="361">
        <f t="shared" ca="1" si="11"/>
        <v>86</v>
      </c>
    </row>
    <row r="27" spans="1:45">
      <c r="A27" s="159"/>
      <c r="B27" s="59">
        <f>Sheet1!E5</f>
        <v>117.6</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3125</v>
      </c>
      <c r="Q27" s="24">
        <f t="shared" si="19"/>
        <v>1</v>
      </c>
      <c r="R27" s="716">
        <f t="shared" ca="1" si="20"/>
        <v>11455</v>
      </c>
      <c r="S27" s="361">
        <f t="shared" ca="1" si="11"/>
        <v>135</v>
      </c>
    </row>
    <row r="28" spans="1:45">
      <c r="A28" s="159"/>
      <c r="B28" s="59">
        <f>Sheet1!E6</f>
        <v>52.35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3125</v>
      </c>
      <c r="Q28" s="24">
        <f t="shared" si="19"/>
        <v>1</v>
      </c>
      <c r="R28" s="716">
        <f t="shared" ca="1" si="20"/>
        <v>11455</v>
      </c>
      <c r="S28" s="361">
        <f t="shared" ca="1" si="11"/>
        <v>60</v>
      </c>
    </row>
    <row r="29" spans="1:45">
      <c r="A29" s="159"/>
      <c r="B29" s="59">
        <f>Sheet1!E7</f>
        <v>157.30000000000001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3125</v>
      </c>
      <c r="Q29" s="24">
        <f t="shared" si="19"/>
        <v>1</v>
      </c>
      <c r="R29" s="716">
        <f t="shared" ca="1" si="20"/>
        <v>11455</v>
      </c>
      <c r="S29" s="361">
        <f t="shared" ca="1" si="11"/>
        <v>180</v>
      </c>
    </row>
    <row r="30" spans="1:45">
      <c r="A30" s="159"/>
      <c r="B30" s="59">
        <f>Sheet1!E8</f>
        <v>72.5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3125</v>
      </c>
      <c r="Q30" s="24">
        <f t="shared" si="19"/>
        <v>1</v>
      </c>
      <c r="R30" s="716">
        <f t="shared" ca="1" si="20"/>
        <v>11455</v>
      </c>
      <c r="S30" s="361">
        <f t="shared" ca="1" si="11"/>
        <v>83</v>
      </c>
    </row>
    <row r="31" spans="1:45">
      <c r="A31" s="159"/>
      <c r="B31" s="59">
        <f>Sheet1!E9</f>
        <v>137.57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3125</v>
      </c>
      <c r="Q31" s="24">
        <f t="shared" si="19"/>
        <v>1</v>
      </c>
      <c r="R31" s="716">
        <f t="shared" ca="1" si="20"/>
        <v>11455</v>
      </c>
      <c r="S31" s="361">
        <f t="shared" ca="1" si="11"/>
        <v>158</v>
      </c>
    </row>
    <row r="32" spans="1:45">
      <c r="A32" s="159"/>
      <c r="B32" s="59">
        <f>Sheet1!E10</f>
        <v>64.61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3125</v>
      </c>
      <c r="Q32" s="24">
        <f t="shared" si="19"/>
        <v>1</v>
      </c>
      <c r="R32" s="716">
        <f t="shared" ca="1" si="20"/>
        <v>11455</v>
      </c>
      <c r="S32" s="361">
        <f t="shared" ca="1" si="11"/>
        <v>74</v>
      </c>
    </row>
    <row r="33" spans="1:19">
      <c r="A33" s="159"/>
      <c r="B33" s="59">
        <f>Sheet1!E11</f>
        <v>94.62</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3125</v>
      </c>
      <c r="Q33" s="24">
        <f t="shared" si="19"/>
        <v>1</v>
      </c>
      <c r="R33" s="716">
        <f t="shared" ca="1" si="20"/>
        <v>11455</v>
      </c>
      <c r="S33" s="361">
        <f t="shared" ca="1" si="11"/>
        <v>108</v>
      </c>
    </row>
    <row r="34" spans="1:19">
      <c r="A34" s="159"/>
      <c r="B34" s="59">
        <f>Sheet1!E12</f>
        <v>280.05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3125</v>
      </c>
      <c r="Q34" s="24">
        <f t="shared" si="19"/>
        <v>1</v>
      </c>
      <c r="R34" s="716">
        <f t="shared" ca="1" si="20"/>
        <v>11455</v>
      </c>
      <c r="S34" s="361">
        <f t="shared" ca="1" si="11"/>
        <v>321</v>
      </c>
    </row>
    <row r="35" spans="1:19">
      <c r="A35" s="159"/>
      <c r="B35" s="59">
        <f>Sheet1!E13</f>
        <v>105.85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3125</v>
      </c>
      <c r="Q35" s="24">
        <f t="shared" si="19"/>
        <v>1</v>
      </c>
      <c r="R35" s="716">
        <f t="shared" ca="1" si="20"/>
        <v>11455</v>
      </c>
      <c r="S35" s="361">
        <f t="shared" ca="1" si="11"/>
        <v>121</v>
      </c>
    </row>
    <row r="36" spans="1:19">
      <c r="A36" s="159"/>
      <c r="B36" s="59">
        <f>Sheet1!E14</f>
        <v>211.82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3125</v>
      </c>
      <c r="Q36" s="24">
        <f t="shared" si="19"/>
        <v>1</v>
      </c>
      <c r="R36" s="716">
        <f t="shared" ca="1" si="20"/>
        <v>11455</v>
      </c>
      <c r="S36" s="361">
        <f t="shared" ca="1" si="11"/>
        <v>243</v>
      </c>
    </row>
    <row r="37" spans="1:19">
      <c r="A37" s="159"/>
      <c r="B37" s="59">
        <f>Sheet1!E15</f>
        <v>611.04999999999995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3125</v>
      </c>
      <c r="Q37" s="24">
        <f t="shared" si="19"/>
        <v>1</v>
      </c>
      <c r="R37" s="716">
        <f t="shared" ca="1" si="20"/>
        <v>11340</v>
      </c>
      <c r="S37" s="361">
        <f t="shared" ca="1" si="11"/>
        <v>693</v>
      </c>
    </row>
    <row r="38" spans="1:19">
      <c r="A38" s="159"/>
      <c r="B38" s="59">
        <f>Sheet1!E16</f>
        <v>350.4</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3125</v>
      </c>
      <c r="Q38" s="24">
        <f t="shared" si="19"/>
        <v>1</v>
      </c>
      <c r="R38" s="716">
        <f t="shared" ca="1" si="20"/>
        <v>11455</v>
      </c>
      <c r="S38" s="361">
        <f t="shared" ca="1" si="11"/>
        <v>401</v>
      </c>
    </row>
    <row r="39" spans="1:19">
      <c r="A39" s="159"/>
      <c r="B39" s="59">
        <f>Sheet1!E17</f>
        <v>323.68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3126</v>
      </c>
      <c r="Q39" s="24">
        <f t="shared" si="19"/>
        <v>0.7</v>
      </c>
      <c r="R39" s="716">
        <f t="shared" ca="1" si="20"/>
        <v>8019</v>
      </c>
      <c r="S39" s="361">
        <f t="shared" ca="1" si="11"/>
        <v>260</v>
      </c>
    </row>
    <row r="40" spans="1:19">
      <c r="A40" s="159"/>
      <c r="B40" s="59">
        <f>Sheet1!E18</f>
        <v>389.15</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3126</v>
      </c>
      <c r="Q40" s="24">
        <f t="shared" si="19"/>
        <v>0.7</v>
      </c>
      <c r="R40" s="716">
        <f t="shared" ca="1" si="20"/>
        <v>8019</v>
      </c>
      <c r="S40" s="361">
        <f t="shared" ca="1" si="11"/>
        <v>312</v>
      </c>
    </row>
    <row r="41" spans="1:19">
      <c r="A41" s="159"/>
      <c r="B41" s="59">
        <f>Sheet1!E19</f>
        <v>142.53</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3126</v>
      </c>
      <c r="Q41" s="24">
        <f t="shared" si="19"/>
        <v>0.7</v>
      </c>
      <c r="R41" s="716">
        <f t="shared" ca="1" si="20"/>
        <v>8019</v>
      </c>
      <c r="S41" s="361">
        <f t="shared" ca="1" si="11"/>
        <v>114</v>
      </c>
    </row>
    <row r="42" spans="1:19">
      <c r="A42" s="159"/>
      <c r="B42" s="59">
        <f>Sheet1!E20</f>
        <v>37.119999999999997</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3126</v>
      </c>
      <c r="Q42" s="24">
        <f t="shared" si="19"/>
        <v>0.7</v>
      </c>
      <c r="R42" s="716">
        <f t="shared" ca="1" si="20"/>
        <v>8019</v>
      </c>
      <c r="S42" s="361">
        <f t="shared" ca="1" si="11"/>
        <v>30</v>
      </c>
    </row>
    <row r="43" spans="1:19">
      <c r="A43" s="159"/>
      <c r="B43" s="59">
        <f>Sheet1!E21</f>
        <v>43.2</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3126</v>
      </c>
      <c r="Q43" s="24">
        <f t="shared" si="19"/>
        <v>0.7</v>
      </c>
      <c r="R43" s="716">
        <f t="shared" ca="1" si="20"/>
        <v>8019</v>
      </c>
      <c r="S43" s="361">
        <f t="shared" ca="1" si="11"/>
        <v>35</v>
      </c>
    </row>
    <row r="44" spans="1:19">
      <c r="A44" s="159"/>
      <c r="B44" s="59">
        <f>Sheet1!E22</f>
        <v>206.57</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3126</v>
      </c>
      <c r="Q44" s="24">
        <f t="shared" si="19"/>
        <v>0.7</v>
      </c>
      <c r="R44" s="716">
        <f t="shared" ca="1" si="20"/>
        <v>8019</v>
      </c>
      <c r="S44" s="361">
        <f t="shared" ca="1" si="11"/>
        <v>166</v>
      </c>
    </row>
    <row r="45" spans="1:19">
      <c r="A45" s="159"/>
      <c r="B45" s="59">
        <f>Sheet1!E23</f>
        <v>61.62</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3126</v>
      </c>
      <c r="Q45" s="24">
        <f t="shared" si="19"/>
        <v>0.7</v>
      </c>
      <c r="R45" s="716">
        <f t="shared" ca="1" si="20"/>
        <v>8019</v>
      </c>
      <c r="S45" s="361">
        <f t="shared" ca="1" si="11"/>
        <v>49</v>
      </c>
    </row>
    <row r="46" spans="1:19">
      <c r="A46" s="159"/>
      <c r="B46" s="59">
        <f>Sheet1!E24</f>
        <v>259.49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3126</v>
      </c>
      <c r="Q46" s="24">
        <f t="shared" si="19"/>
        <v>0.7</v>
      </c>
      <c r="R46" s="716">
        <f t="shared" ca="1" si="20"/>
        <v>8019</v>
      </c>
      <c r="S46" s="361">
        <f t="shared" ca="1" si="11"/>
        <v>208</v>
      </c>
    </row>
    <row r="47" spans="1:19">
      <c r="A47" s="159"/>
      <c r="B47" s="59">
        <f>Sheet1!E25</f>
        <v>81.400000000000006</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3126</v>
      </c>
      <c r="Q47" s="24">
        <f t="shared" si="19"/>
        <v>0.7</v>
      </c>
      <c r="R47" s="716">
        <f t="shared" ca="1" si="20"/>
        <v>8019</v>
      </c>
      <c r="S47" s="361">
        <f t="shared" ca="1" si="11"/>
        <v>65</v>
      </c>
    </row>
    <row r="48" spans="1:19">
      <c r="A48" s="159"/>
      <c r="B48" s="59">
        <f>Sheet1!E26</f>
        <v>123.69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3126</v>
      </c>
      <c r="Q48" s="24">
        <f t="shared" si="19"/>
        <v>0.7</v>
      </c>
      <c r="R48" s="716">
        <f t="shared" ca="1" si="20"/>
        <v>8019</v>
      </c>
      <c r="S48" s="361">
        <f t="shared" ca="1" si="11"/>
        <v>99</v>
      </c>
    </row>
    <row r="49" spans="1:19">
      <c r="A49" s="159"/>
      <c r="B49" s="59">
        <f>Sheet1!E27</f>
        <v>167.08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3126</v>
      </c>
      <c r="Q49" s="24">
        <f t="shared" si="19"/>
        <v>0.7</v>
      </c>
      <c r="R49" s="716">
        <f t="shared" ca="1" si="20"/>
        <v>8019</v>
      </c>
      <c r="S49" s="361">
        <f t="shared" ca="1" si="11"/>
        <v>134</v>
      </c>
    </row>
    <row r="50" spans="1:19">
      <c r="A50" s="159"/>
      <c r="B50" s="59">
        <f>Sheet1!E28</f>
        <v>224.14</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3126</v>
      </c>
      <c r="Q50" s="24">
        <f t="shared" si="19"/>
        <v>0.7</v>
      </c>
      <c r="R50" s="716">
        <f t="shared" ca="1" si="20"/>
        <v>8019</v>
      </c>
      <c r="S50" s="361">
        <f t="shared" ca="1" si="11"/>
        <v>180</v>
      </c>
    </row>
    <row r="51" spans="1:19">
      <c r="A51" s="159"/>
      <c r="B51" s="59">
        <f>Sheet1!E29</f>
        <v>665.05</v>
      </c>
      <c r="C51" s="24">
        <f t="shared" si="12"/>
        <v>0.99</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3126</v>
      </c>
      <c r="Q51" s="24">
        <f t="shared" si="19"/>
        <v>0.7</v>
      </c>
      <c r="R51" s="716">
        <f t="shared" ca="1" si="20"/>
        <v>7938</v>
      </c>
      <c r="S51" s="361">
        <f t="shared" ca="1" si="11"/>
        <v>528</v>
      </c>
    </row>
    <row r="52" spans="1:19">
      <c r="A52" s="159"/>
      <c r="B52" s="59">
        <f>Sheet1!E30</f>
        <v>164.28</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3126</v>
      </c>
      <c r="Q52" s="24">
        <f t="shared" si="19"/>
        <v>0.7</v>
      </c>
      <c r="R52" s="716">
        <f t="shared" ca="1" si="20"/>
        <v>8019</v>
      </c>
      <c r="S52" s="361">
        <f t="shared" ca="1" si="11"/>
        <v>132</v>
      </c>
    </row>
    <row r="53" spans="1:19">
      <c r="A53" s="159"/>
      <c r="B53" s="59">
        <f>Sheet1!E31</f>
        <v>314.56</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3126</v>
      </c>
      <c r="Q53" s="24">
        <f t="shared" si="19"/>
        <v>0.7</v>
      </c>
      <c r="R53" s="716">
        <f t="shared" ca="1" si="20"/>
        <v>8019</v>
      </c>
      <c r="S53" s="361">
        <f t="shared" ca="1" si="11"/>
        <v>252</v>
      </c>
    </row>
    <row r="54" spans="1:19">
      <c r="A54" s="159"/>
      <c r="B54" s="59">
        <f>Sheet1!E32</f>
        <v>276.85000000000002</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3127</v>
      </c>
      <c r="Q54" s="24">
        <f t="shared" si="19"/>
        <v>0.65</v>
      </c>
      <c r="R54" s="716">
        <f t="shared" ca="1" si="20"/>
        <v>7446</v>
      </c>
      <c r="S54" s="361">
        <f t="shared" ca="1" si="11"/>
        <v>206</v>
      </c>
    </row>
    <row r="55" spans="1:19">
      <c r="A55" s="159"/>
      <c r="B55" s="59">
        <f>Sheet1!E33</f>
        <v>116.48</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3127</v>
      </c>
      <c r="Q55" s="24">
        <f t="shared" si="19"/>
        <v>0.65</v>
      </c>
      <c r="R55" s="716">
        <f t="shared" ca="1" si="20"/>
        <v>7446</v>
      </c>
      <c r="S55" s="361">
        <f t="shared" ref="S55:S77" ca="1" si="21">ROUND(R55*B55/10000,0)</f>
        <v>87</v>
      </c>
    </row>
    <row r="56" spans="1:19">
      <c r="A56" s="159"/>
      <c r="B56" s="59">
        <f>Sheet1!E34</f>
        <v>361.45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3127</v>
      </c>
      <c r="Q56" s="24">
        <f t="shared" si="19"/>
        <v>0.65</v>
      </c>
      <c r="R56" s="716">
        <f t="shared" ca="1" si="20"/>
        <v>7446</v>
      </c>
      <c r="S56" s="361">
        <f t="shared" ca="1" si="21"/>
        <v>269</v>
      </c>
    </row>
    <row r="57" spans="1:19">
      <c r="A57" s="159"/>
      <c r="B57" s="59">
        <f>Sheet1!E35</f>
        <v>263.87</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3127</v>
      </c>
      <c r="Q57" s="24">
        <f t="shared" si="19"/>
        <v>0.65</v>
      </c>
      <c r="R57" s="716">
        <f t="shared" ca="1" si="20"/>
        <v>7446</v>
      </c>
      <c r="S57" s="361">
        <f t="shared" ca="1" si="21"/>
        <v>196</v>
      </c>
    </row>
    <row r="58" spans="1:19">
      <c r="A58" s="159"/>
      <c r="B58" s="59">
        <f>Sheet1!E36</f>
        <v>90.78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3127</v>
      </c>
      <c r="Q58" s="24">
        <f t="shared" si="19"/>
        <v>0.65</v>
      </c>
      <c r="R58" s="716">
        <f t="shared" ca="1" si="20"/>
        <v>7446</v>
      </c>
      <c r="S58" s="361">
        <f t="shared" ca="1" si="21"/>
        <v>68</v>
      </c>
    </row>
    <row r="59" spans="1:19">
      <c r="A59" s="159"/>
      <c r="B59" s="59">
        <f>Sheet1!E37</f>
        <v>118.86</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3127</v>
      </c>
      <c r="Q59" s="24">
        <f t="shared" si="19"/>
        <v>0.65</v>
      </c>
      <c r="R59" s="716">
        <f t="shared" ca="1" si="20"/>
        <v>7446</v>
      </c>
      <c r="S59" s="361">
        <f t="shared" ca="1" si="21"/>
        <v>89</v>
      </c>
    </row>
    <row r="60" spans="1:19">
      <c r="A60" s="159"/>
      <c r="B60" s="59">
        <f>Sheet1!E38</f>
        <v>169.4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3127</v>
      </c>
      <c r="Q60" s="24">
        <f t="shared" si="19"/>
        <v>0.65</v>
      </c>
      <c r="R60" s="716">
        <f t="shared" ca="1" si="20"/>
        <v>7446</v>
      </c>
      <c r="S60" s="361">
        <f t="shared" ca="1" si="21"/>
        <v>126</v>
      </c>
    </row>
    <row r="61" spans="1:19">
      <c r="A61" s="159"/>
      <c r="B61" s="59">
        <f>Sheet1!E39</f>
        <v>227.91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3127</v>
      </c>
      <c r="Q61" s="24">
        <f t="shared" si="19"/>
        <v>0.65</v>
      </c>
      <c r="R61" s="716">
        <f t="shared" ca="1" si="20"/>
        <v>7446</v>
      </c>
      <c r="S61" s="361">
        <f t="shared" ca="1" si="21"/>
        <v>170</v>
      </c>
    </row>
    <row r="62" spans="1:19">
      <c r="A62" s="159"/>
      <c r="B62" s="59">
        <f>Sheet1!E40</f>
        <v>143.56</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3127</v>
      </c>
      <c r="Q62" s="24">
        <f t="shared" si="19"/>
        <v>0.65</v>
      </c>
      <c r="R62" s="716">
        <f t="shared" ca="1" si="20"/>
        <v>7446</v>
      </c>
      <c r="S62" s="361">
        <f t="shared" ca="1" si="21"/>
        <v>107</v>
      </c>
    </row>
    <row r="63" spans="1:19">
      <c r="A63" s="159"/>
      <c r="B63" s="59">
        <f>Sheet1!E41</f>
        <v>529.16999999999996</v>
      </c>
      <c r="C63" s="24">
        <f t="shared" si="12"/>
        <v>0.99</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3127</v>
      </c>
      <c r="Q63" s="24">
        <f t="shared" si="19"/>
        <v>0.65</v>
      </c>
      <c r="R63" s="716">
        <f t="shared" ca="1" si="20"/>
        <v>7371</v>
      </c>
      <c r="S63" s="361">
        <f t="shared" ca="1" si="21"/>
        <v>390</v>
      </c>
    </row>
    <row r="64" spans="1:19">
      <c r="A64" s="159"/>
      <c r="B64" s="59">
        <f>Sheet1!E42</f>
        <v>168.47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3127</v>
      </c>
      <c r="Q64" s="24">
        <f t="shared" si="19"/>
        <v>0.65</v>
      </c>
      <c r="R64" s="716">
        <f t="shared" ca="1" si="20"/>
        <v>7446</v>
      </c>
      <c r="S64" s="361">
        <f t="shared" ca="1" si="21"/>
        <v>125</v>
      </c>
    </row>
    <row r="65" spans="1:19">
      <c r="A65" s="159"/>
      <c r="B65" s="59">
        <f>Sheet1!E43</f>
        <v>316.37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3127</v>
      </c>
      <c r="Q65" s="24">
        <f t="shared" si="19"/>
        <v>0.65</v>
      </c>
      <c r="R65" s="716">
        <f t="shared" ca="1" si="20"/>
        <v>7446</v>
      </c>
      <c r="S65" s="361">
        <f t="shared" ca="1" si="21"/>
        <v>236</v>
      </c>
    </row>
    <row r="66" spans="1:19">
      <c r="A66" s="159"/>
      <c r="B66" s="59">
        <f>Sheet1!E44</f>
        <v>282.05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3128</v>
      </c>
      <c r="Q66" s="24">
        <f t="shared" si="19"/>
        <v>0.6</v>
      </c>
      <c r="R66" s="716">
        <f t="shared" ca="1" si="20"/>
        <v>6873</v>
      </c>
      <c r="S66" s="361">
        <f t="shared" ca="1" si="21"/>
        <v>194</v>
      </c>
    </row>
    <row r="67" spans="1:19">
      <c r="A67" s="159"/>
      <c r="B67" s="59">
        <f>Sheet1!E45</f>
        <v>131.13999999999999</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3128</v>
      </c>
      <c r="Q67" s="24">
        <f t="shared" si="19"/>
        <v>0.6</v>
      </c>
      <c r="R67" s="716">
        <f t="shared" ca="1" si="20"/>
        <v>6873</v>
      </c>
      <c r="S67" s="361">
        <f t="shared" ca="1" si="21"/>
        <v>90</v>
      </c>
    </row>
    <row r="68" spans="1:19">
      <c r="A68" s="159"/>
      <c r="B68" s="59">
        <f>Sheet1!E46</f>
        <v>435.56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3128</v>
      </c>
      <c r="Q68" s="24">
        <f t="shared" si="19"/>
        <v>0.6</v>
      </c>
      <c r="R68" s="716">
        <f t="shared" ca="1" si="20"/>
        <v>6873</v>
      </c>
      <c r="S68" s="361">
        <f t="shared" ca="1" si="21"/>
        <v>299</v>
      </c>
    </row>
    <row r="69" spans="1:19">
      <c r="A69" s="159"/>
      <c r="B69" s="59">
        <f>Sheet1!E47</f>
        <v>261.70999999999998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3128</v>
      </c>
      <c r="Q69" s="24">
        <f t="shared" si="19"/>
        <v>0.6</v>
      </c>
      <c r="R69" s="716">
        <f t="shared" ca="1" si="20"/>
        <v>6873</v>
      </c>
      <c r="S69" s="361">
        <f t="shared" ca="1" si="21"/>
        <v>180</v>
      </c>
    </row>
    <row r="70" spans="1:19">
      <c r="A70" s="159"/>
      <c r="B70" s="59">
        <f>Sheet1!E48</f>
        <v>90.79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3128</v>
      </c>
      <c r="Q70" s="24">
        <f t="shared" si="19"/>
        <v>0.6</v>
      </c>
      <c r="R70" s="716">
        <f t="shared" ca="1" si="20"/>
        <v>6873</v>
      </c>
      <c r="S70" s="361">
        <f t="shared" ca="1" si="21"/>
        <v>62</v>
      </c>
    </row>
    <row r="71" spans="1:19">
      <c r="A71" s="159"/>
      <c r="B71" s="59">
        <f>Sheet1!E49</f>
        <v>118.96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3128</v>
      </c>
      <c r="Q71" s="24">
        <f t="shared" si="19"/>
        <v>0.6</v>
      </c>
      <c r="R71" s="716">
        <f t="shared" ca="1" si="20"/>
        <v>6873</v>
      </c>
      <c r="S71" s="361">
        <f t="shared" ca="1" si="21"/>
        <v>82</v>
      </c>
    </row>
    <row r="72" spans="1:19">
      <c r="A72" s="159"/>
      <c r="B72" s="59">
        <f>Sheet1!E50</f>
        <v>224.37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3128</v>
      </c>
      <c r="Q72" s="24">
        <f t="shared" si="19"/>
        <v>0.6</v>
      </c>
      <c r="R72" s="716">
        <f t="shared" ca="1" si="20"/>
        <v>6873</v>
      </c>
      <c r="S72" s="361">
        <f t="shared" ca="1" si="21"/>
        <v>154</v>
      </c>
    </row>
    <row r="73" spans="1:19">
      <c r="A73" s="159"/>
      <c r="B73" s="59">
        <f>Sheet1!E51</f>
        <v>164.88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3128</v>
      </c>
      <c r="Q73" s="24">
        <f t="shared" si="19"/>
        <v>0.6</v>
      </c>
      <c r="R73" s="716">
        <f t="shared" ca="1" si="20"/>
        <v>6873</v>
      </c>
      <c r="S73" s="361">
        <f t="shared" ca="1" si="21"/>
        <v>113</v>
      </c>
    </row>
    <row r="74" spans="1:19">
      <c r="A74" s="159"/>
      <c r="B74" s="59">
        <f>Sheet1!E52</f>
        <v>142.76</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3128</v>
      </c>
      <c r="Q74" s="24">
        <f t="shared" si="19"/>
        <v>0.6</v>
      </c>
      <c r="R74" s="716">
        <f t="shared" ca="1" si="20"/>
        <v>6873</v>
      </c>
      <c r="S74" s="361">
        <f t="shared" ca="1" si="21"/>
        <v>98</v>
      </c>
    </row>
    <row r="75" spans="1:19">
      <c r="A75" s="159"/>
      <c r="B75" s="59">
        <f>Sheet1!E53</f>
        <v>528.04</v>
      </c>
      <c r="C75" s="24">
        <f t="shared" si="12"/>
        <v>0.99</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3128</v>
      </c>
      <c r="Q75" s="24">
        <f t="shared" si="19"/>
        <v>0.6</v>
      </c>
      <c r="R75" s="716">
        <f t="shared" ca="1" si="20"/>
        <v>6804</v>
      </c>
      <c r="S75" s="361">
        <f t="shared" ca="1" si="21"/>
        <v>359</v>
      </c>
    </row>
    <row r="76" spans="1:19">
      <c r="A76" s="159"/>
      <c r="B76" s="59">
        <f>Sheet1!E54</f>
        <v>163.56</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3128</v>
      </c>
      <c r="Q76" s="24">
        <f t="shared" si="19"/>
        <v>0.6</v>
      </c>
      <c r="R76" s="716">
        <f t="shared" ca="1" si="20"/>
        <v>6873</v>
      </c>
      <c r="S76" s="361">
        <f t="shared" ca="1" si="21"/>
        <v>112</v>
      </c>
    </row>
    <row r="77" spans="1:19">
      <c r="A77" s="159"/>
      <c r="B77" s="59">
        <f>Sheet1!E55</f>
        <v>317.36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3128</v>
      </c>
      <c r="Q77" s="24">
        <f t="shared" si="19"/>
        <v>0.6</v>
      </c>
      <c r="R77" s="716">
        <f t="shared" ca="1" si="20"/>
        <v>6873</v>
      </c>
      <c r="S77" s="361">
        <f t="shared" ca="1" si="21"/>
        <v>218</v>
      </c>
    </row>
    <row r="78" spans="1:19">
      <c r="A78" s="159"/>
      <c r="B78" s="59">
        <f>Sheet1!E56</f>
        <v>365.78</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3129</v>
      </c>
      <c r="Q78" s="24">
        <f t="shared" si="19"/>
        <v>0.55000000000000004</v>
      </c>
      <c r="R78" s="716">
        <f t="shared" ca="1" si="20"/>
        <v>6300</v>
      </c>
      <c r="S78" s="361">
        <f t="shared" ref="S78:S122" ca="1" si="22">ROUND(R78*B78/10000,0)</f>
        <v>230</v>
      </c>
    </row>
    <row r="79" spans="1:19">
      <c r="A79" s="159"/>
      <c r="B79" s="59">
        <f>Sheet1!E57</f>
        <v>557.26</v>
      </c>
      <c r="C79" s="24">
        <f t="shared" si="12"/>
        <v>0.99</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3129</v>
      </c>
      <c r="Q79" s="24">
        <f t="shared" si="19"/>
        <v>0.55000000000000004</v>
      </c>
      <c r="R79" s="716">
        <f t="shared" ca="1" si="20"/>
        <v>6237</v>
      </c>
      <c r="S79" s="361">
        <f t="shared" ca="1" si="22"/>
        <v>348</v>
      </c>
    </row>
    <row r="80" spans="1:19">
      <c r="A80" s="159"/>
      <c r="B80" s="59">
        <f>Sheet1!E58</f>
        <v>56.6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3129</v>
      </c>
      <c r="Q80" s="24">
        <f t="shared" si="19"/>
        <v>0.55000000000000004</v>
      </c>
      <c r="R80" s="716">
        <f t="shared" ca="1" si="20"/>
        <v>6300</v>
      </c>
      <c r="S80" s="361">
        <f t="shared" ca="1" si="22"/>
        <v>36</v>
      </c>
    </row>
    <row r="81" spans="1:19">
      <c r="A81" s="159"/>
      <c r="B81" s="59">
        <f>Sheet1!E59</f>
        <v>290.10000000000002</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3129</v>
      </c>
      <c r="Q81" s="24">
        <f t="shared" si="19"/>
        <v>0.55000000000000004</v>
      </c>
      <c r="R81" s="716">
        <f t="shared" ca="1" si="20"/>
        <v>6300</v>
      </c>
      <c r="S81" s="361">
        <f t="shared" ca="1" si="22"/>
        <v>183</v>
      </c>
    </row>
    <row r="82" spans="1:19">
      <c r="A82" s="159"/>
      <c r="B82" s="59">
        <f>Sheet1!E60</f>
        <v>329.75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3129</v>
      </c>
      <c r="Q82" s="24">
        <f t="shared" si="19"/>
        <v>0.55000000000000004</v>
      </c>
      <c r="R82" s="716">
        <f t="shared" ca="1" si="20"/>
        <v>6300</v>
      </c>
      <c r="S82" s="361">
        <f t="shared" ca="1" si="22"/>
        <v>208</v>
      </c>
    </row>
    <row r="83" spans="1:19">
      <c r="A83" s="159"/>
      <c r="B83" s="59">
        <f>Sheet1!E61</f>
        <v>125.01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3129</v>
      </c>
      <c r="Q83" s="24">
        <f t="shared" si="19"/>
        <v>0.55000000000000004</v>
      </c>
      <c r="R83" s="716">
        <f t="shared" ca="1" si="20"/>
        <v>6300</v>
      </c>
      <c r="S83" s="361">
        <f t="shared" ca="1" si="22"/>
        <v>79</v>
      </c>
    </row>
    <row r="84" spans="1:19">
      <c r="A84" s="159"/>
      <c r="B84" s="59">
        <f>Sheet1!E62</f>
        <v>77.400000000000006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3129</v>
      </c>
      <c r="Q84" s="24">
        <f t="shared" si="19"/>
        <v>0.55000000000000004</v>
      </c>
      <c r="R84" s="716">
        <f t="shared" ca="1" si="20"/>
        <v>6300</v>
      </c>
      <c r="S84" s="361">
        <f t="shared" ca="1" si="22"/>
        <v>49</v>
      </c>
    </row>
    <row r="85" spans="1:19">
      <c r="A85" s="159"/>
      <c r="B85" s="59">
        <f>Sheet1!E63</f>
        <v>382.32</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3129</v>
      </c>
      <c r="Q85" s="24">
        <f t="shared" si="19"/>
        <v>0.55000000000000004</v>
      </c>
      <c r="R85" s="716">
        <f t="shared" ca="1" si="20"/>
        <v>6300</v>
      </c>
      <c r="S85" s="361">
        <f t="shared" ca="1" si="22"/>
        <v>241</v>
      </c>
    </row>
    <row r="86" spans="1:19">
      <c r="A86" s="159"/>
      <c r="B86" s="59">
        <f>Sheet1!E64</f>
        <v>143.5</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3129</v>
      </c>
      <c r="Q86" s="24">
        <f t="shared" si="19"/>
        <v>0.55000000000000004</v>
      </c>
      <c r="R86" s="716">
        <f t="shared" ca="1" si="20"/>
        <v>6300</v>
      </c>
      <c r="S86" s="361">
        <f t="shared" ca="1" si="22"/>
        <v>90</v>
      </c>
    </row>
    <row r="87" spans="1:19">
      <c r="A87" s="159"/>
      <c r="B87" s="59">
        <f>Sheet1!E65</f>
        <v>147.47</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3129</v>
      </c>
      <c r="Q87" s="24">
        <f t="shared" si="19"/>
        <v>0.55000000000000004</v>
      </c>
      <c r="R87" s="716">
        <f t="shared" ca="1" si="20"/>
        <v>6300</v>
      </c>
      <c r="S87" s="361">
        <f t="shared" ca="1" si="22"/>
        <v>93</v>
      </c>
    </row>
    <row r="88" spans="1:19">
      <c r="A88" s="159"/>
      <c r="B88" s="59">
        <f>Sheet1!E66</f>
        <v>130.05000000000001</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3129</v>
      </c>
      <c r="Q88" s="24">
        <f t="shared" si="19"/>
        <v>0.55000000000000004</v>
      </c>
      <c r="R88" s="716">
        <f t="shared" ca="1" si="20"/>
        <v>6300</v>
      </c>
      <c r="S88" s="361">
        <f t="shared" ca="1" si="22"/>
        <v>82</v>
      </c>
    </row>
    <row r="89" spans="1:19">
      <c r="A89" s="159"/>
      <c r="B89" s="59">
        <f>Sheet1!E67</f>
        <v>315.05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3129</v>
      </c>
      <c r="Q89" s="24">
        <f t="shared" si="19"/>
        <v>0.55000000000000004</v>
      </c>
      <c r="R89" s="716">
        <f t="shared" ca="1" si="20"/>
        <v>6300</v>
      </c>
      <c r="S89" s="361">
        <f t="shared" ca="1" si="22"/>
        <v>198</v>
      </c>
    </row>
    <row r="90" spans="1:19">
      <c r="A90" s="159"/>
      <c r="B90" s="59">
        <f>Sheet1!E68</f>
        <v>308.42</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3130</v>
      </c>
      <c r="Q90" s="24">
        <f t="shared" ref="Q90:Q153" si="30">(SUMIF($17:$17,P90,$18:$18)-SUMIF($17:$17,$P$24,$18:$18)+100)/100</f>
        <v>0.55000000000000004</v>
      </c>
      <c r="R90" s="716">
        <f t="shared" ref="R90:R153" ca="1" si="31">IF(B90="",0,ROUND($R$24*C90*E90*G90*I90*K90*M90*O90*Q90,0))</f>
        <v>6300</v>
      </c>
      <c r="S90" s="361">
        <f t="shared" ca="1" si="22"/>
        <v>194</v>
      </c>
    </row>
    <row r="91" spans="1:19">
      <c r="A91" s="159"/>
      <c r="B91" s="59">
        <f>Sheet1!E69</f>
        <v>30.82</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3130</v>
      </c>
      <c r="Q91" s="24">
        <f t="shared" si="30"/>
        <v>0.55000000000000004</v>
      </c>
      <c r="R91" s="716">
        <f t="shared" ca="1" si="31"/>
        <v>6300</v>
      </c>
      <c r="S91" s="361">
        <f t="shared" ca="1" si="22"/>
        <v>19</v>
      </c>
    </row>
    <row r="92" spans="1:19">
      <c r="A92" s="159"/>
      <c r="B92" s="59">
        <f>Sheet1!E70</f>
        <v>69.25</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3130</v>
      </c>
      <c r="Q92" s="24">
        <f t="shared" si="30"/>
        <v>0.55000000000000004</v>
      </c>
      <c r="R92" s="716">
        <f t="shared" ca="1" si="31"/>
        <v>6300</v>
      </c>
      <c r="S92" s="361">
        <f t="shared" ca="1" si="22"/>
        <v>44</v>
      </c>
    </row>
    <row r="93" spans="1:19">
      <c r="A93" s="159"/>
      <c r="B93" s="59">
        <f>Sheet1!E71</f>
        <v>69.36</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3130</v>
      </c>
      <c r="Q93" s="24">
        <f t="shared" si="30"/>
        <v>0.55000000000000004</v>
      </c>
      <c r="R93" s="716">
        <f t="shared" ca="1" si="31"/>
        <v>6300</v>
      </c>
      <c r="S93" s="361">
        <f t="shared" ca="1" si="22"/>
        <v>44</v>
      </c>
    </row>
    <row r="94" spans="1:19">
      <c r="A94" s="159"/>
      <c r="B94" s="59">
        <f>Sheet1!E72</f>
        <v>287.89999999999998</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3130</v>
      </c>
      <c r="Q94" s="24">
        <f t="shared" si="30"/>
        <v>0.55000000000000004</v>
      </c>
      <c r="R94" s="716">
        <f t="shared" ca="1" si="31"/>
        <v>6300</v>
      </c>
      <c r="S94" s="361">
        <f t="shared" ca="1" si="22"/>
        <v>181</v>
      </c>
    </row>
    <row r="95" spans="1:19">
      <c r="A95" s="159"/>
      <c r="B95" s="59">
        <f>Sheet1!E73</f>
        <v>212.41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t="s">
        <v>3130</v>
      </c>
      <c r="Q95" s="24">
        <f t="shared" si="30"/>
        <v>0.55000000000000004</v>
      </c>
      <c r="R95" s="716">
        <f t="shared" ca="1" si="31"/>
        <v>6300</v>
      </c>
      <c r="S95" s="361">
        <f t="shared" ca="1" si="22"/>
        <v>134</v>
      </c>
    </row>
    <row r="96" spans="1:19">
      <c r="A96" s="159"/>
      <c r="B96" s="59">
        <f>Sheet1!E74</f>
        <v>117.06</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3130</v>
      </c>
      <c r="Q96" s="24">
        <f t="shared" si="30"/>
        <v>0.55000000000000004</v>
      </c>
      <c r="R96" s="716">
        <f t="shared" ca="1" si="31"/>
        <v>6300</v>
      </c>
      <c r="S96" s="361">
        <f t="shared" ca="1" si="22"/>
        <v>74</v>
      </c>
    </row>
    <row r="97" spans="1:19">
      <c r="A97" s="159"/>
      <c r="B97" s="59">
        <f>Sheet1!E75</f>
        <v>116.5</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3130</v>
      </c>
      <c r="Q97" s="24">
        <f t="shared" si="30"/>
        <v>0.55000000000000004</v>
      </c>
      <c r="R97" s="716">
        <f t="shared" ca="1" si="31"/>
        <v>6300</v>
      </c>
      <c r="S97" s="361">
        <f t="shared" ca="1" si="22"/>
        <v>73</v>
      </c>
    </row>
    <row r="98" spans="1:19">
      <c r="A98" s="159"/>
      <c r="B98" s="59">
        <f>Sheet1!E76</f>
        <v>30.11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3130</v>
      </c>
      <c r="Q98" s="24">
        <f t="shared" si="30"/>
        <v>0.55000000000000004</v>
      </c>
      <c r="R98" s="716">
        <f t="shared" ca="1" si="31"/>
        <v>6300</v>
      </c>
      <c r="S98" s="361">
        <f t="shared" ca="1" si="22"/>
        <v>19</v>
      </c>
    </row>
    <row r="99" spans="1:19">
      <c r="A99" s="159"/>
      <c r="B99" s="59">
        <f>Sheet1!E77</f>
        <v>55.15</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t="s">
        <v>3130</v>
      </c>
      <c r="Q99" s="24">
        <f t="shared" si="30"/>
        <v>0.55000000000000004</v>
      </c>
      <c r="R99" s="716">
        <f t="shared" ca="1" si="31"/>
        <v>6300</v>
      </c>
      <c r="S99" s="361">
        <f t="shared" ca="1" si="22"/>
        <v>35</v>
      </c>
    </row>
    <row r="100" spans="1:19">
      <c r="A100" s="159"/>
      <c r="B100" s="59">
        <f>Sheet1!E78</f>
        <v>67.94</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t="s">
        <v>3130</v>
      </c>
      <c r="Q100" s="24">
        <f t="shared" si="30"/>
        <v>0.55000000000000004</v>
      </c>
      <c r="R100" s="716">
        <f t="shared" ca="1" si="31"/>
        <v>6300</v>
      </c>
      <c r="S100" s="361">
        <f t="shared" ca="1" si="22"/>
        <v>43</v>
      </c>
    </row>
    <row r="101" spans="1:19">
      <c r="A101" s="159"/>
      <c r="B101" s="59">
        <f>Sheet1!E79</f>
        <v>200.49</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t="s">
        <v>3130</v>
      </c>
      <c r="Q101" s="24">
        <f t="shared" si="30"/>
        <v>0.55000000000000004</v>
      </c>
      <c r="R101" s="716">
        <f t="shared" ca="1" si="31"/>
        <v>6300</v>
      </c>
      <c r="S101" s="361">
        <f t="shared" ca="1" si="22"/>
        <v>126</v>
      </c>
    </row>
    <row r="102" spans="1:19">
      <c r="A102" s="159"/>
      <c r="B102" s="59">
        <f>Sheet1!E80</f>
        <v>301.55</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t="s">
        <v>3130</v>
      </c>
      <c r="Q102" s="24">
        <f t="shared" si="30"/>
        <v>0.55000000000000004</v>
      </c>
      <c r="R102" s="716">
        <f t="shared" ca="1" si="31"/>
        <v>6300</v>
      </c>
      <c r="S102" s="361">
        <f t="shared" ca="1" si="22"/>
        <v>190</v>
      </c>
    </row>
    <row r="103" spans="1:19">
      <c r="A103" s="159"/>
      <c r="B103" s="59">
        <f>Sheet1!E81</f>
        <v>311.14</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t="s">
        <v>3130</v>
      </c>
      <c r="Q103" s="24">
        <f t="shared" si="30"/>
        <v>0.55000000000000004</v>
      </c>
      <c r="R103" s="716">
        <f t="shared" ca="1" si="31"/>
        <v>6300</v>
      </c>
      <c r="S103" s="361">
        <f t="shared" ca="1" si="22"/>
        <v>196</v>
      </c>
    </row>
    <row r="104" spans="1:19">
      <c r="A104" s="159"/>
      <c r="B104" s="59">
        <f>Sheet1!E82</f>
        <v>58.98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t="s">
        <v>3130</v>
      </c>
      <c r="Q104" s="24">
        <f t="shared" si="30"/>
        <v>0.55000000000000004</v>
      </c>
      <c r="R104" s="716">
        <f t="shared" ca="1" si="31"/>
        <v>6300</v>
      </c>
      <c r="S104" s="361">
        <f t="shared" ca="1" si="22"/>
        <v>37</v>
      </c>
    </row>
    <row r="105" spans="1:19">
      <c r="A105" s="159"/>
      <c r="B105" s="59">
        <f>Sheet1!E83</f>
        <v>233.43</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t="s">
        <v>3130</v>
      </c>
      <c r="Q105" s="24">
        <f t="shared" si="30"/>
        <v>0.55000000000000004</v>
      </c>
      <c r="R105" s="716">
        <f t="shared" ca="1" si="31"/>
        <v>6300</v>
      </c>
      <c r="S105" s="361">
        <f t="shared" ca="1" si="22"/>
        <v>147</v>
      </c>
    </row>
    <row r="106" spans="1:19">
      <c r="A106" s="159"/>
      <c r="B106" s="59">
        <f>Sheet1!E84</f>
        <v>2044.39</v>
      </c>
      <c r="C106" s="24">
        <f t="shared" si="23"/>
        <v>0.96</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t="s">
        <v>3130</v>
      </c>
      <c r="Q106" s="24">
        <f t="shared" si="30"/>
        <v>0.55000000000000004</v>
      </c>
      <c r="R106" s="716">
        <f t="shared" ca="1" si="31"/>
        <v>6048</v>
      </c>
      <c r="S106" s="361">
        <f t="shared" ca="1" si="22"/>
        <v>1236</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t="s">
        <v>3131</v>
      </c>
      <c r="Q107" s="24">
        <f t="shared" si="30"/>
        <v>0.55000000000000004</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0"/>
      <c r="B4" s="2998" t="s">
        <v>1630</v>
      </c>
      <c r="C4" s="2998"/>
      <c r="D4" s="2998"/>
      <c r="E4" s="1960"/>
    </row>
    <row r="5" spans="1:5" ht="16.5" thickTop="1">
      <c r="A5" s="1958"/>
      <c r="B5" s="2996" t="s">
        <v>1622</v>
      </c>
      <c r="C5" s="1961" t="s">
        <v>1623</v>
      </c>
      <c r="D5" s="1040">
        <f ca="1">结果表!H101</f>
        <v>188179</v>
      </c>
      <c r="E5" s="1958"/>
    </row>
    <row r="6" spans="1:5" ht="15.75">
      <c r="A6" s="1958"/>
      <c r="B6" s="2996"/>
      <c r="C6" s="1961" t="s">
        <v>1624</v>
      </c>
      <c r="D6" s="1040" t="str">
        <f ca="1">NUMBERSTRING(INT(D5*10000),2)&amp;"元整"</f>
        <v>壹拾捌亿捌仟壹佰柒拾玖万元整</v>
      </c>
      <c r="E6" s="1958"/>
    </row>
    <row r="7" spans="1:5" ht="15.75">
      <c r="A7" s="1958"/>
      <c r="B7" s="3001"/>
      <c r="C7" s="1962" t="s">
        <v>1625</v>
      </c>
      <c r="D7" s="1041">
        <f ca="1">结果表!H102</f>
        <v>11455</v>
      </c>
      <c r="E7" s="1958"/>
    </row>
    <row r="8" spans="1:5" ht="15.75">
      <c r="A8" s="1958"/>
      <c r="B8" s="3002" t="str">
        <f>结果表!E103</f>
        <v>2.估价师知悉的法定优先受偿款</v>
      </c>
      <c r="C8" s="1963" t="s">
        <v>1626</v>
      </c>
      <c r="D8" s="1041">
        <f>结果表!H103</f>
        <v>1600</v>
      </c>
      <c r="E8" s="1958"/>
    </row>
    <row r="9" spans="1:5" ht="15.75">
      <c r="A9" s="1958"/>
      <c r="B9" s="3004"/>
      <c r="C9" s="1961" t="s">
        <v>1624</v>
      </c>
      <c r="D9" s="1040" t="str">
        <f>NUMBERSTRING(INT(D8*10000),2)&amp;"元整"</f>
        <v>壹仟陆佰万元整</v>
      </c>
      <c r="E9" s="1958"/>
    </row>
    <row r="10" spans="1:5" ht="15">
      <c r="A10" s="1958"/>
      <c r="B10" s="1964" t="s">
        <v>1629</v>
      </c>
      <c r="C10" s="1965" t="s">
        <v>1627</v>
      </c>
      <c r="D10" s="1042">
        <f>结果表!H104</f>
        <v>50000</v>
      </c>
      <c r="E10" s="1958"/>
    </row>
    <row r="11" spans="1:5" ht="15">
      <c r="A11" s="1958"/>
      <c r="B11" s="1964" t="s">
        <v>1631</v>
      </c>
      <c r="C11" s="1965" t="s">
        <v>1632</v>
      </c>
      <c r="D11" s="1042">
        <f>结果表!H105</f>
        <v>1600</v>
      </c>
      <c r="E11" s="1958"/>
    </row>
    <row r="12" spans="1:5" ht="15">
      <c r="A12" s="1958"/>
      <c r="B12" s="1964" t="s">
        <v>1633</v>
      </c>
      <c r="C12" s="1965" t="s">
        <v>1632</v>
      </c>
      <c r="D12" s="1042">
        <f>结果表!H106</f>
        <v>0</v>
      </c>
      <c r="E12" s="1958"/>
    </row>
    <row r="13" spans="1:5" ht="15.75">
      <c r="A13" s="1958"/>
      <c r="B13" s="2995" t="str">
        <f>结果表!E107</f>
        <v>3.房地产抵押价值</v>
      </c>
      <c r="C13" s="1966" t="s">
        <v>1623</v>
      </c>
      <c r="D13" s="1043">
        <f ca="1">结果表!H107</f>
        <v>186579</v>
      </c>
      <c r="E13" s="1958"/>
    </row>
    <row r="14" spans="1:5" ht="15.75">
      <c r="A14" s="1958"/>
      <c r="B14" s="2996"/>
      <c r="C14" s="1961" t="s">
        <v>1624</v>
      </c>
      <c r="D14" s="1040" t="str">
        <f ca="1">NUMBERSTRING(INT(D13*10000),2)&amp;"元整"</f>
        <v>壹拾捌亿陆仟伍佰柒拾玖万元整</v>
      </c>
      <c r="E14" s="1958"/>
    </row>
    <row r="15" spans="1:5" ht="15">
      <c r="A15" s="1958"/>
      <c r="B15" s="3001"/>
      <c r="C15" s="1962" t="s">
        <v>1634</v>
      </c>
      <c r="D15" s="1052">
        <f ca="1">结果表!H108</f>
        <v>11358</v>
      </c>
      <c r="E15" s="1958"/>
    </row>
    <row r="16" spans="1:5" ht="15">
      <c r="A16" s="1958"/>
      <c r="B16" s="3002" t="str">
        <f>结果表!E109</f>
        <v>——</v>
      </c>
      <c r="C16" s="1966" t="s">
        <v>1635</v>
      </c>
      <c r="D16" s="1967" t="str">
        <f>结果表!H109</f>
        <v>——</v>
      </c>
      <c r="E16" s="1958"/>
    </row>
    <row r="17" spans="1:5" ht="15.75">
      <c r="A17" s="1958"/>
      <c r="B17" s="3003"/>
      <c r="C17" s="1961" t="s">
        <v>1636</v>
      </c>
      <c r="D17" s="1040" t="e">
        <f>NUMBERSTRING(INT(D16*10000),2)&amp;"元整"</f>
        <v>#VALUE!</v>
      </c>
      <c r="E17" s="1958"/>
    </row>
    <row r="18" spans="1:5" ht="15">
      <c r="A18" s="1958"/>
      <c r="B18" s="3004"/>
      <c r="C18" s="1962" t="s">
        <v>1625</v>
      </c>
      <c r="D18" s="1052" t="str">
        <f>结果表!H110</f>
        <v>——</v>
      </c>
      <c r="E18" s="1958"/>
    </row>
    <row r="19" spans="1:5" ht="15.75">
      <c r="A19" s="1958"/>
      <c r="B19" s="2995" t="str">
        <f>结果表!E111</f>
        <v>4.抵押净值</v>
      </c>
      <c r="C19" s="1966" t="s">
        <v>1623</v>
      </c>
      <c r="D19" s="1041">
        <f ca="1">结果表!H111</f>
        <v>205754</v>
      </c>
      <c r="E19" s="1958"/>
    </row>
    <row r="20" spans="1:5" ht="15.75">
      <c r="A20" s="1958"/>
      <c r="B20" s="2996"/>
      <c r="C20" s="1961" t="s">
        <v>1636</v>
      </c>
      <c r="D20" s="1040" t="str">
        <f ca="1">NUMBERSTRING(INT(D19*10000),2)&amp;"元整"</f>
        <v>贰拾亿伍仟柒佰伍拾肆万元整</v>
      </c>
      <c r="E20" s="1958"/>
    </row>
    <row r="21" spans="1:5" ht="15.75" thickBot="1">
      <c r="A21" s="1958"/>
      <c r="B21" s="2997"/>
      <c r="C21" s="1968" t="s">
        <v>1634</v>
      </c>
      <c r="D21" s="1053">
        <f ca="1">结果表!H112</f>
        <v>12525</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141393</v>
      </c>
      <c r="C2" s="2" t="s">
        <v>133</v>
      </c>
      <c r="D2" s="243"/>
      <c r="E2" s="243"/>
      <c r="F2" s="243"/>
      <c r="G2" s="243"/>
    </row>
    <row r="3" spans="1:7" s="244" customFormat="1" ht="18" customHeight="1" thickBot="1">
      <c r="A3" s="247" t="s">
        <v>85</v>
      </c>
      <c r="B3" s="248">
        <f ca="1">ROUND(B2*10000/'数据-汇总表'!E3,0)</f>
        <v>8607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3614</v>
      </c>
      <c r="D10" s="1032">
        <f>'数据-汇总表'!E6</f>
        <v>164273</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3285</v>
      </c>
      <c r="D19" s="1036">
        <f>'数据-汇总表'!E3</f>
        <v>164273</v>
      </c>
      <c r="E19" s="255">
        <f>'数据-取费表'!B31</f>
        <v>200</v>
      </c>
      <c r="F19" s="275"/>
      <c r="G19" s="1" t="s">
        <v>1074</v>
      </c>
    </row>
    <row r="20" spans="1:7" s="258" customFormat="1" ht="13.5" customHeight="1">
      <c r="A20" s="948" t="s">
        <v>1057</v>
      </c>
      <c r="B20" s="254" t="s">
        <v>104</v>
      </c>
      <c r="C20" s="276">
        <f>ROUND((C5+C19)*F20,0)</f>
        <v>478</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2842</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2428</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387</v>
      </c>
      <c r="D24" s="282"/>
      <c r="E24" s="282"/>
      <c r="F24" s="283"/>
      <c r="G24" s="284" t="s">
        <v>109</v>
      </c>
    </row>
    <row r="25" spans="1:7" s="258" customFormat="1" ht="24">
      <c r="A25" s="951" t="s">
        <v>793</v>
      </c>
      <c r="B25" s="259" t="s">
        <v>1058</v>
      </c>
      <c r="C25" s="1355">
        <f ca="1">ROUND(IF('数据-取费表'!B22&lt;=1,C20*F22*'数据-取费表'!B23/2,C20*(POWER((1+F22),'数据-取费表'!B23/2)-1)),0)</f>
        <v>27</v>
      </c>
      <c r="D25" s="282"/>
      <c r="E25" s="285"/>
      <c r="F25" s="283"/>
      <c r="G25" s="286" t="s">
        <v>110</v>
      </c>
    </row>
    <row r="26" spans="1:7" s="258" customFormat="1">
      <c r="A26" s="951" t="s">
        <v>795</v>
      </c>
      <c r="B26" s="259" t="s">
        <v>1060</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2574</v>
      </c>
      <c r="D27" s="279">
        <f>C29</f>
        <v>3.2000000000000002E-3</v>
      </c>
      <c r="E27" s="280" t="s">
        <v>126</v>
      </c>
      <c r="F27" s="290">
        <f>'数据-取费表'!Q16</f>
        <v>0.11</v>
      </c>
      <c r="G27" s="291" t="s">
        <v>1069</v>
      </c>
    </row>
    <row r="28" spans="1:7" s="258" customFormat="1" ht="13.5" customHeight="1">
      <c r="A28" s="951" t="s">
        <v>794</v>
      </c>
      <c r="B28" s="292" t="s">
        <v>1062</v>
      </c>
      <c r="C28" s="293">
        <f>ROUND((C5+C19+C20)*F27*'数据-取费表'!B21/'数据-取费表'!B20,0)</f>
        <v>2574</v>
      </c>
      <c r="D28" s="279"/>
      <c r="E28" s="280"/>
      <c r="F28" s="290"/>
      <c r="G28" s="291"/>
    </row>
    <row r="29" spans="1:7" s="258" customFormat="1" ht="13.5" customHeight="1">
      <c r="A29" s="951" t="s">
        <v>792</v>
      </c>
      <c r="B29" s="292" t="s">
        <v>1063</v>
      </c>
      <c r="C29" s="282">
        <f>ROUND(C21*F27*'数据-取费表'!B21/'数据-取费表'!B20,4)</f>
        <v>3.2000000000000002E-3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32672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83249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75237</v>
      </c>
      <c r="D34" s="261"/>
      <c r="E34" s="264"/>
      <c r="F34" s="301">
        <f>IF('数据-取费表'!B24=0,1,'数据-取费表'!N16)</f>
        <v>0.95</v>
      </c>
      <c r="G34" s="263" t="s">
        <v>116</v>
      </c>
    </row>
    <row r="35" spans="1:7" ht="13.5" customHeight="1">
      <c r="A35" s="951" t="s">
        <v>796</v>
      </c>
      <c r="B35" s="259" t="s">
        <v>60</v>
      </c>
      <c r="C35" s="264">
        <f>ROUND(C34*F35,0)</f>
        <v>3762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3121</v>
      </c>
      <c r="D37" s="261">
        <f>'数据-汇总表'!E3</f>
        <v>164273</v>
      </c>
      <c r="E37" s="293">
        <f>'数据-取费表'!B35</f>
        <v>200</v>
      </c>
      <c r="F37" s="303"/>
      <c r="G37" s="305" t="s">
        <v>119</v>
      </c>
    </row>
    <row r="38" spans="1:7" ht="13.5" customHeight="1">
      <c r="A38" s="951" t="s">
        <v>799</v>
      </c>
      <c r="B38" s="259" t="s">
        <v>63</v>
      </c>
      <c r="C38" s="264">
        <f>ROUND(C34*F38,0)</f>
        <v>1129</v>
      </c>
      <c r="D38" s="264"/>
      <c r="E38" s="264"/>
      <c r="F38" s="303">
        <f>'数据-取费表'!B36</f>
        <v>1.4999999999999999E-2</v>
      </c>
      <c r="G38" s="263" t="s">
        <v>117</v>
      </c>
    </row>
    <row r="39" spans="1:7" s="258" customFormat="1" ht="13.5" customHeight="1">
      <c r="A39" s="948" t="s">
        <v>783</v>
      </c>
      <c r="B39" s="254" t="s">
        <v>104</v>
      </c>
      <c r="C39" s="276">
        <f>ROUND(C33*F20,0)</f>
        <v>1665</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4862</v>
      </c>
      <c r="D41" s="279">
        <f ca="1">C44</f>
        <v>1.6999999999999999E-3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4767</v>
      </c>
      <c r="D42" s="282"/>
      <c r="E42" s="282"/>
      <c r="F42" s="283"/>
      <c r="G42" s="3180" t="s">
        <v>121</v>
      </c>
    </row>
    <row r="43" spans="1:7" ht="13.5" customHeight="1">
      <c r="A43" s="951" t="s">
        <v>792</v>
      </c>
      <c r="B43" s="259" t="s">
        <v>1064</v>
      </c>
      <c r="C43" s="282">
        <f ca="1">ROUND(IF('数据-取费表'!B22&lt;=1,C39*F22*'数据-取费表'!B21/2,C39*(POWER((1+F22),'数据-取费表'!B21/2)-1)),0)</f>
        <v>95</v>
      </c>
      <c r="D43" s="282"/>
      <c r="E43" s="282"/>
      <c r="F43" s="283"/>
      <c r="G43" s="3181"/>
    </row>
    <row r="44" spans="1:7" ht="13.5" customHeight="1">
      <c r="A44" s="951" t="s">
        <v>793</v>
      </c>
      <c r="B44" s="259" t="s">
        <v>1066</v>
      </c>
      <c r="C44" s="282">
        <f ca="1">ROUND(IF('数据-取费表'!B22&lt;=1,C40*F22*'数据-取费表'!B21/2,C40*(POWER((1+F22),'数据-取费表'!B21/2)-1)),4)</f>
        <v>1.6999999999999999E-3</v>
      </c>
      <c r="D44" s="282"/>
      <c r="E44" s="282"/>
      <c r="F44" s="283"/>
      <c r="G44" s="3182"/>
    </row>
    <row r="45" spans="1:7" s="258" customFormat="1" ht="13.5" customHeight="1">
      <c r="A45" s="948" t="s">
        <v>786</v>
      </c>
      <c r="B45" s="288" t="s">
        <v>112</v>
      </c>
      <c r="C45" s="289">
        <f>C46</f>
        <v>9341</v>
      </c>
      <c r="D45" s="279">
        <f>C47</f>
        <v>3.3E-3</v>
      </c>
      <c r="E45" s="280" t="s">
        <v>129</v>
      </c>
      <c r="F45" s="290"/>
      <c r="G45" s="291" t="s">
        <v>1072</v>
      </c>
    </row>
    <row r="46" spans="1:7" s="258" customFormat="1" ht="13.5" customHeight="1">
      <c r="A46" s="951" t="s">
        <v>794</v>
      </c>
      <c r="B46" s="292" t="s">
        <v>1065</v>
      </c>
      <c r="C46" s="293">
        <f>ROUND((C33+C39)*F27,0)</f>
        <v>9341</v>
      </c>
      <c r="D46" s="307"/>
      <c r="E46" s="280"/>
      <c r="F46" s="290"/>
      <c r="G46" s="291"/>
    </row>
    <row r="47" spans="1:7" s="258" customFormat="1" ht="13.5" customHeight="1">
      <c r="A47" s="951" t="s">
        <v>792</v>
      </c>
      <c r="B47" s="292" t="s">
        <v>1067</v>
      </c>
      <c r="C47" s="282">
        <f>ROUND(C40*F27,4)</f>
        <v>3.3E-3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108721</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108721</v>
      </c>
      <c r="D51" s="276"/>
      <c r="E51" s="276"/>
      <c r="F51" s="308"/>
      <c r="G51" s="278" t="s">
        <v>64</v>
      </c>
    </row>
    <row r="52" spans="1:7" s="252" customFormat="1" ht="16.5" thickBot="1">
      <c r="A52" s="309" t="s">
        <v>65</v>
      </c>
      <c r="B52" s="310"/>
      <c r="C52" s="311">
        <f ca="1">C31+C51</f>
        <v>141393</v>
      </c>
      <c r="D52" s="310"/>
      <c r="E52" s="310"/>
      <c r="F52" s="310"/>
      <c r="G52" s="312"/>
    </row>
    <row r="55" spans="1:7" ht="15">
      <c r="B55" s="314" t="s">
        <v>66</v>
      </c>
      <c r="C55" s="315"/>
    </row>
    <row r="56" spans="1:7">
      <c r="B56" s="317" t="s">
        <v>67</v>
      </c>
      <c r="C56" s="318">
        <f ca="1">ROUND(C51/C52,3)</f>
        <v>0.76900000000000002</v>
      </c>
    </row>
    <row r="57" spans="1:7">
      <c r="B57" s="317" t="s">
        <v>68</v>
      </c>
      <c r="C57" s="319">
        <f ca="1">1-C56</f>
        <v>0.23099999999999998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7" t="s">
        <v>156</v>
      </c>
      <c r="B1" s="3317"/>
      <c r="C1" s="3317"/>
      <c r="D1" s="3317"/>
      <c r="E1" s="3317"/>
      <c r="F1" s="33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8" t="s">
        <v>169</v>
      </c>
      <c r="B2" s="3318"/>
      <c r="C2" s="3318"/>
      <c r="D2" s="3318"/>
      <c r="E2" s="3318"/>
      <c r="F2" s="33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7" t="s">
        <v>871</v>
      </c>
      <c r="B1" s="33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43324</v>
      </c>
      <c r="D1" s="1699" t="s">
        <v>1301</v>
      </c>
      <c r="E1" s="1694">
        <f>'数据-取费表'!B22</f>
        <v>2.5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C33" sqref="C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48</v>
      </c>
      <c r="D1" s="1819" t="s">
        <v>3355</v>
      </c>
      <c r="E1" s="1820" t="s">
        <v>1387</v>
      </c>
      <c r="F1" s="1283">
        <f ca="1">J53</f>
        <v>28.869999999999997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24078</v>
      </c>
      <c r="C2" s="1844" t="s">
        <v>1516</v>
      </c>
      <c r="D2" s="1844"/>
      <c r="E2" s="1845"/>
      <c r="F2" s="1846"/>
      <c r="G2" s="1847"/>
      <c r="H2" s="1839"/>
      <c r="I2" s="1839"/>
      <c r="J2" s="1839"/>
      <c r="K2" s="1840"/>
      <c r="L2" s="1839"/>
      <c r="M2" s="1839"/>
    </row>
    <row r="3" spans="1:37" ht="18" customHeight="1" thickBot="1">
      <c r="A3" s="1848" t="s">
        <v>1517</v>
      </c>
      <c r="B3" s="1849">
        <f ca="1">IF(ISERROR(B2*10000/F43),0,ROUND(B2*10000/F43,0))</f>
        <v>3465</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2283</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2283</v>
      </c>
      <c r="D6" s="164" t="s">
        <v>3029</v>
      </c>
      <c r="E6" s="347" t="s">
        <v>1405</v>
      </c>
      <c r="F6" s="348">
        <f ca="1">INDIRECT("'数据-取费表'!u"&amp;$G$1)</f>
        <v>1</v>
      </c>
      <c r="G6" s="1850"/>
      <c r="H6" s="1291" t="s">
        <v>1035</v>
      </c>
      <c r="I6" s="3230" t="s">
        <v>1403</v>
      </c>
      <c r="J6" s="346">
        <f ca="1">ROUND(M6*M8*M7*(1-M9)/10000,0)</f>
        <v>0</v>
      </c>
      <c r="K6" s="164" t="s">
        <v>3028</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69497</v>
      </c>
      <c r="G7" s="1850"/>
      <c r="H7" s="349"/>
      <c r="I7" s="3231"/>
      <c r="J7" s="351"/>
      <c r="K7" s="352"/>
      <c r="L7" s="347" t="s">
        <v>1406</v>
      </c>
      <c r="M7" s="348">
        <f ca="1">F7</f>
        <v>69497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3037</v>
      </c>
      <c r="E10" s="358" t="s">
        <v>1410</v>
      </c>
      <c r="F10" s="1366" t="s">
        <v>3372</v>
      </c>
      <c r="G10" s="1850"/>
      <c r="H10" s="1291" t="s">
        <v>1039</v>
      </c>
      <c r="I10" s="1822" t="s">
        <v>1409</v>
      </c>
      <c r="J10" s="346">
        <f ca="1">ROUND(IF(M10="押一",J6/12*M11,IF(M10="押二",J6/12*2*M11,IF(M10="押三",J6/12*3*M11,J11*M11))),0)</f>
        <v>0</v>
      </c>
      <c r="K10" s="1823" t="s">
        <v>3037</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34885</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25564</v>
      </c>
      <c r="D14" s="2976" t="s">
        <v>1418</v>
      </c>
      <c r="E14" s="2974"/>
      <c r="F14" s="364"/>
      <c r="G14" s="1850"/>
      <c r="H14" s="1201" t="s">
        <v>1035</v>
      </c>
      <c r="I14" s="347" t="s">
        <v>1419</v>
      </c>
      <c r="J14" s="24">
        <f ca="1">C29</f>
        <v>34885</v>
      </c>
      <c r="K14" s="2981"/>
      <c r="L14" s="979"/>
      <c r="M14" s="980"/>
    </row>
    <row r="15" spans="1:37" s="1857" customFormat="1" ht="18" customHeight="1" thickBot="1">
      <c r="A15" s="1201" t="s">
        <v>1036</v>
      </c>
      <c r="B15" s="347" t="s">
        <v>1420</v>
      </c>
      <c r="C15" s="24">
        <f ca="1">ROUND(C14*F15,0)</f>
        <v>1278</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823</v>
      </c>
      <c r="K16" s="1337" t="s">
        <v>1425</v>
      </c>
      <c r="L16" s="2977"/>
      <c r="M16" s="1294"/>
    </row>
    <row r="17" spans="1:37" s="1857" customFormat="1" ht="18" customHeight="1">
      <c r="A17" s="1201" t="s">
        <v>1390</v>
      </c>
      <c r="B17" s="347" t="s">
        <v>1426</v>
      </c>
      <c r="C17" s="24">
        <f ca="1">ROUND(F17*(F43+INDIRECT("'数据-取费表'!S"&amp;$G$1))/10000,0)</f>
        <v>1461</v>
      </c>
      <c r="D17" s="347" t="s">
        <v>1427</v>
      </c>
      <c r="E17" s="347" t="s">
        <v>1428</v>
      </c>
      <c r="F17" s="26">
        <f>'数据-取费表'!B35</f>
        <v>200</v>
      </c>
      <c r="G17" s="1853"/>
      <c r="H17" s="1201" t="s">
        <v>1035</v>
      </c>
      <c r="I17" s="347" t="s">
        <v>1429</v>
      </c>
      <c r="J17" s="24">
        <f ca="1">ROUND(IF(项目基本情况!B11="自然人",J5*M17,J18+J19+J20),1)</f>
        <v>300</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383</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28686</v>
      </c>
      <c r="D19" s="140" t="s">
        <v>1436</v>
      </c>
      <c r="E19" s="2980"/>
      <c r="F19" s="26"/>
      <c r="G19" s="1850"/>
      <c r="H19" s="1201" t="s">
        <v>1036</v>
      </c>
      <c r="I19" s="347" t="s">
        <v>1437</v>
      </c>
      <c r="J19" s="24">
        <f ca="1">IF(K19="按租金收入计税",ROUND(J5*M19,2),ROUND(C29*M19*0.7,2))</f>
        <v>293.02999999999997</v>
      </c>
      <c r="K19" s="1827" t="s">
        <v>1438</v>
      </c>
      <c r="L19" s="347" t="s">
        <v>1422</v>
      </c>
      <c r="M19" s="367">
        <f>IF(K19="按租金收入计税",'数据-取费表'!B51,'数据-取费表'!B50)</f>
        <v>1.2E-2</v>
      </c>
    </row>
    <row r="20" spans="1:37" s="1857" customFormat="1" ht="18" customHeight="1">
      <c r="A20" s="1201" t="s">
        <v>1039</v>
      </c>
      <c r="B20" s="347" t="s">
        <v>1439</v>
      </c>
      <c r="C20" s="24">
        <f ca="1">ROUND(C19*F20,0)</f>
        <v>574</v>
      </c>
      <c r="D20" s="369" t="s">
        <v>1440</v>
      </c>
      <c r="E20" s="347" t="s">
        <v>1422</v>
      </c>
      <c r="F20" s="367">
        <f>'数据-取费表'!B37</f>
        <v>0.02</v>
      </c>
      <c r="G20" s="1853"/>
      <c r="H20" s="1201" t="s">
        <v>1389</v>
      </c>
      <c r="I20" s="164" t="s">
        <v>1441</v>
      </c>
      <c r="J20" s="25">
        <f ca="1">ROUND(M20*M21/10000,2)</f>
        <v>7.01</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5843.52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523.29999999999995</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1747</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-823</v>
      </c>
      <c r="K25" s="1345" t="s">
        <v>1464</v>
      </c>
      <c r="L25" s="1346"/>
      <c r="M25" s="1347"/>
    </row>
    <row r="26" spans="1:37">
      <c r="A26" s="1201" t="s">
        <v>1034</v>
      </c>
      <c r="B26" s="347" t="s">
        <v>1465</v>
      </c>
      <c r="C26" s="24">
        <f ca="1">ROUND((C19+C20)*F26,0)</f>
        <v>878</v>
      </c>
      <c r="D26" s="369" t="s">
        <v>1466</v>
      </c>
      <c r="E26" s="358" t="s">
        <v>1467</v>
      </c>
      <c r="F26" s="357">
        <f ca="1">INDIRECT("'数据-取费表'!q"&amp;$G$1)</f>
        <v>0.03</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8.9999999999999998E-4</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34885</v>
      </c>
      <c r="D29" s="1342"/>
      <c r="E29" s="1340"/>
      <c r="F29" s="1343"/>
      <c r="G29" s="1853"/>
      <c r="H29" s="380" t="s">
        <v>1033</v>
      </c>
      <c r="I29" s="381" t="s">
        <v>1479</v>
      </c>
      <c r="J29" s="382">
        <f ca="1">ROUND(J26/(1+F40)^F41,0)</f>
        <v>0</v>
      </c>
      <c r="K29" s="383" t="s">
        <v>1480</v>
      </c>
      <c r="L29" s="384"/>
      <c r="M29" s="385">
        <f ca="1">INDIRECT("'数据-取费表'!k"&amp;$G$1)</f>
        <v>69497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1001</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402.7</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121.76</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273.95999999999998</v>
      </c>
      <c r="D33" s="1827" t="s">
        <v>3113</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7.01</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5843.52</v>
      </c>
      <c r="G35" s="1850"/>
      <c r="H35" s="745"/>
      <c r="I35" s="1859"/>
      <c r="J35" s="1860"/>
      <c r="K35" s="1861"/>
      <c r="L35" s="1858"/>
      <c r="M35" s="1858"/>
    </row>
    <row r="36" spans="1:18" ht="18" customHeight="1">
      <c r="A36" s="1352" t="s">
        <v>1039</v>
      </c>
      <c r="B36" s="347" t="s">
        <v>1449</v>
      </c>
      <c r="C36" s="24">
        <f ca="1">ROUND(C29*F36,1)</f>
        <v>523.29999999999995</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52.3</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22.8</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1282</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24078</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3465</v>
      </c>
      <c r="D43" s="383" t="s">
        <v>1488</v>
      </c>
      <c r="E43" s="384" t="s">
        <v>1489</v>
      </c>
      <c r="F43" s="385">
        <f ca="1">INDIRECT("'数据-取费表'!k"&amp;$G$1)</f>
        <v>69497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-71740</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3111</v>
      </c>
      <c r="K47" s="1881" t="s">
        <v>1527</v>
      </c>
      <c r="L47" s="1882">
        <f ca="1">INDIRECT("'数据-取费表'!d"&amp;$G$1)</f>
        <v>40</v>
      </c>
      <c r="M47" s="1837" t="str">
        <f>IF(ISNUMBER(FIND("住宅",C1)),"住宅","非住宅")</f>
        <v>非住宅</v>
      </c>
      <c r="O47" s="1883" t="s">
        <v>1040</v>
      </c>
      <c r="P47" s="1884" t="s">
        <v>1528</v>
      </c>
      <c r="Q47" s="1885">
        <f ca="1">C40+J29</f>
        <v>24078</v>
      </c>
      <c r="R47" s="1885" t="s">
        <v>1529</v>
      </c>
    </row>
    <row r="48" spans="1:18" s="1841" customFormat="1" ht="28.5" thickBot="1">
      <c r="A48" s="1360" t="s">
        <v>1135</v>
      </c>
      <c r="B48" s="345" t="s">
        <v>1401</v>
      </c>
      <c r="C48" s="2979">
        <f ca="1">C49+C53+C55</f>
        <v>0</v>
      </c>
      <c r="D48" s="1362"/>
      <c r="E48" s="1363"/>
      <c r="F48" s="1181"/>
      <c r="G48" s="792"/>
      <c r="H48" s="793"/>
      <c r="I48" s="1886" t="s">
        <v>1530</v>
      </c>
      <c r="J48" s="1887" t="s">
        <v>3112</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3028</v>
      </c>
      <c r="E49" s="1829" t="s">
        <v>1491</v>
      </c>
      <c r="F49" s="1281"/>
      <c r="G49" s="1890"/>
      <c r="H49" s="793"/>
      <c r="I49" s="1886" t="s">
        <v>1534</v>
      </c>
      <c r="J49" s="1891">
        <v>2018</v>
      </c>
      <c r="K49" s="1888" t="s">
        <v>1535</v>
      </c>
      <c r="L49" s="1892"/>
      <c r="O49" s="1893" t="s">
        <v>1042</v>
      </c>
      <c r="P49" s="1884" t="s">
        <v>1536</v>
      </c>
      <c r="Q49" s="1885">
        <f ca="1">C29</f>
        <v>34885</v>
      </c>
      <c r="R49" s="1885" t="s">
        <v>1529</v>
      </c>
    </row>
    <row r="50" spans="1:18" s="1841" customFormat="1" ht="13.5" thickBot="1">
      <c r="A50" s="1195"/>
      <c r="B50" s="1198"/>
      <c r="C50" s="1368"/>
      <c r="D50" s="1172"/>
      <c r="E50" s="1277" t="s">
        <v>1406</v>
      </c>
      <c r="F50" s="1278">
        <f ca="1">F7</f>
        <v>69497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-24115</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3037</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24078</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34885</v>
      </c>
      <c r="D56" s="1913"/>
      <c r="E56" s="1914"/>
      <c r="F56" s="1906"/>
      <c r="I56" s="1915" t="s">
        <v>1554</v>
      </c>
      <c r="J56" s="1916" t="s">
        <v>3069</v>
      </c>
      <c r="K56" s="1886" t="s">
        <v>1555</v>
      </c>
      <c r="L56" s="1889" t="str">
        <f ca="1">IF(L48&lt;J51,"——",L48-J53)</f>
        <v>——</v>
      </c>
      <c r="O56" s="1883" t="s">
        <v>1040</v>
      </c>
      <c r="P56" s="1884" t="s">
        <v>1528</v>
      </c>
      <c r="Q56" s="1885">
        <f ca="1">C40+J29</f>
        <v>24078</v>
      </c>
      <c r="R56" s="1885" t="s">
        <v>1529</v>
      </c>
    </row>
    <row r="57" spans="1:18" s="1841" customFormat="1" ht="24.75" thickBot="1">
      <c r="A57" s="1917"/>
      <c r="B57" s="1169" t="s">
        <v>1478</v>
      </c>
      <c r="C57" s="282">
        <f ca="1">C29</f>
        <v>34885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3513</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2937.4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2930.34</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7.01</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24078</v>
      </c>
      <c r="R62" s="1885" t="s">
        <v>1047</v>
      </c>
    </row>
    <row r="63" spans="1:18" s="1841" customFormat="1" ht="13.5" thickBot="1">
      <c r="A63" s="372"/>
      <c r="B63" s="1175"/>
      <c r="C63" s="29"/>
      <c r="D63" s="1185"/>
      <c r="E63" s="1169" t="s">
        <v>1447</v>
      </c>
      <c r="F63" s="348">
        <f t="shared" ca="1" si="0"/>
        <v>5843.52</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523.29999999999995</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52.3</v>
      </c>
      <c r="D65" s="1183" t="s">
        <v>1454</v>
      </c>
      <c r="E65" s="1169" t="s">
        <v>1422</v>
      </c>
      <c r="F65" s="376">
        <f t="shared" ca="1" si="0"/>
        <v>1.5E-3</v>
      </c>
      <c r="I65" s="1928" t="s">
        <v>1579</v>
      </c>
      <c r="J65" s="1929">
        <v>40</v>
      </c>
      <c r="K65" s="1929">
        <v>30</v>
      </c>
      <c r="L65" s="1929">
        <v>50</v>
      </c>
      <c r="M65" s="1931">
        <v>0.02</v>
      </c>
      <c r="O65" s="1883" t="s">
        <v>1040</v>
      </c>
      <c r="P65" s="1884" t="s">
        <v>1528</v>
      </c>
      <c r="Q65" s="1885">
        <f ca="1">C40+J29</f>
        <v>24078</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-3513</v>
      </c>
      <c r="D67" s="1182" t="s">
        <v>1464</v>
      </c>
      <c r="E67" s="1187"/>
      <c r="F67" s="1188"/>
      <c r="O67" s="1893" t="s">
        <v>1042</v>
      </c>
      <c r="P67" s="1884" t="s">
        <v>1562</v>
      </c>
      <c r="Q67" s="1932">
        <f ca="1">L51</f>
        <v>-24115</v>
      </c>
      <c r="R67" s="1885" t="s">
        <v>1582</v>
      </c>
    </row>
    <row r="68" spans="1:18" s="1841" customFormat="1" ht="16.5" thickBot="1">
      <c r="A68" s="1166" t="s">
        <v>1032</v>
      </c>
      <c r="B68" s="1167" t="s">
        <v>1485</v>
      </c>
      <c r="C68" s="346">
        <f ca="1">ROUND(C67*(1-((1+F70)/(1+F68))^F69)/(F68-F70),0)</f>
        <v>-47662</v>
      </c>
      <c r="D68" s="1184" t="s">
        <v>1469</v>
      </c>
      <c r="E68" s="1169" t="s">
        <v>1470</v>
      </c>
      <c r="F68" s="357">
        <f ca="1">F40</f>
        <v>0.06</v>
      </c>
      <c r="O68" s="1893" t="s">
        <v>1043</v>
      </c>
      <c r="P68" s="1933" t="s">
        <v>1583</v>
      </c>
      <c r="Q68" s="1885">
        <f ca="1">ROUND(Q69-Q70*Q71,0)</f>
        <v>-1683</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1282</v>
      </c>
      <c r="R69" s="1885" t="s">
        <v>1529</v>
      </c>
    </row>
    <row r="70" spans="1:18" s="1841" customFormat="1" ht="13.5" thickBot="1">
      <c r="A70" s="1173"/>
      <c r="B70" s="1174"/>
      <c r="C70" s="355"/>
      <c r="D70" s="1185"/>
      <c r="E70" s="1169" t="s">
        <v>1477</v>
      </c>
      <c r="F70" s="1275"/>
      <c r="O70" s="1893" t="s">
        <v>1049</v>
      </c>
      <c r="P70" s="1933" t="s">
        <v>1585</v>
      </c>
      <c r="Q70" s="1885">
        <f ca="1">C13</f>
        <v>34885</v>
      </c>
      <c r="R70" s="1885" t="s">
        <v>1529</v>
      </c>
    </row>
    <row r="71" spans="1:18" s="1841" customFormat="1" ht="13.5" thickBot="1">
      <c r="A71" s="1190" t="s">
        <v>1033</v>
      </c>
      <c r="B71" s="1191" t="s">
        <v>1487</v>
      </c>
      <c r="C71" s="382">
        <f ca="1">ROUND(C68*10000/F71,0)</f>
        <v>-6858</v>
      </c>
      <c r="D71" s="1192" t="s">
        <v>1488</v>
      </c>
      <c r="E71" s="1193" t="s">
        <v>1489</v>
      </c>
      <c r="F71" s="385">
        <f ca="1">F43</f>
        <v>69497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2965</v>
      </c>
      <c r="D75" s="1841"/>
      <c r="E75" s="1841"/>
      <c r="F75" s="1841"/>
      <c r="K75" s="1867"/>
      <c r="L75" s="1841"/>
      <c r="O75" s="1883" t="s">
        <v>1046</v>
      </c>
      <c r="P75" s="1884" t="s">
        <v>1549</v>
      </c>
      <c r="Q75" s="1885">
        <f ca="1">Q65+Q66</f>
        <v>24078</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-1.3130000000000002</v>
      </c>
    </row>
    <row r="80" spans="1:18">
      <c r="B80" s="386" t="s">
        <v>1511</v>
      </c>
      <c r="C80" s="318">
        <f ca="1">ROUND(C75/C39,3)</f>
        <v>2.3130000000000002</v>
      </c>
    </row>
    <row r="81" spans="2:3">
      <c r="B81" s="314" t="s">
        <v>1512</v>
      </c>
      <c r="C81" s="282"/>
    </row>
    <row r="82" spans="2:3">
      <c r="B82" s="317" t="s">
        <v>1513</v>
      </c>
      <c r="C82" s="319">
        <f ca="1">1-C83</f>
        <v>-0.44900000000000007</v>
      </c>
    </row>
    <row r="83" spans="2:3">
      <c r="B83" s="317" t="s">
        <v>1514</v>
      </c>
      <c r="C83" s="318">
        <f ca="1">ROUND(C13/C40,3)</f>
        <v>1.4490000000000001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E18" sqref="E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3345</v>
      </c>
      <c r="D1" s="1819" t="s">
        <v>3355</v>
      </c>
      <c r="E1" s="1820" t="s">
        <v>1387</v>
      </c>
      <c r="F1" s="1283">
        <f ca="1">J53</f>
        <v>28.869999999999997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47199</v>
      </c>
      <c r="C2" s="1844" t="s">
        <v>1516</v>
      </c>
      <c r="D2" s="1844"/>
      <c r="E2" s="1845"/>
      <c r="F2" s="1846"/>
      <c r="G2" s="1847"/>
      <c r="H2" s="1839"/>
      <c r="I2" s="1839"/>
      <c r="J2" s="1839"/>
      <c r="K2" s="1840"/>
      <c r="L2" s="1839"/>
      <c r="M2" s="1839"/>
    </row>
    <row r="3" spans="1:37" ht="18" customHeight="1" thickBot="1">
      <c r="A3" s="1848" t="s">
        <v>1517</v>
      </c>
      <c r="B3" s="1849">
        <f ca="1">IF(ISERROR(B2*10000/F43),0,ROUND(B2*10000/F43,0))</f>
        <v>19954</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3501</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3497</v>
      </c>
      <c r="D6" s="164" t="s">
        <v>3029</v>
      </c>
      <c r="E6" s="347" t="s">
        <v>1405</v>
      </c>
      <c r="F6" s="348">
        <f ca="1">INDIRECT("'数据-取费表'!u"&amp;$G$1)</f>
        <v>4.5</v>
      </c>
      <c r="G6" s="1850"/>
      <c r="H6" s="1291" t="s">
        <v>1035</v>
      </c>
      <c r="I6" s="3230" t="s">
        <v>1403</v>
      </c>
      <c r="J6" s="346">
        <f ca="1">ROUND(M6*M8*M7*(1-M9)/10000,0)</f>
        <v>0</v>
      </c>
      <c r="K6" s="164" t="s">
        <v>3028</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23654</v>
      </c>
      <c r="G7" s="1850"/>
      <c r="H7" s="349"/>
      <c r="I7" s="3231"/>
      <c r="J7" s="351"/>
      <c r="K7" s="352"/>
      <c r="L7" s="347" t="s">
        <v>1406</v>
      </c>
      <c r="M7" s="348">
        <f ca="1">F7</f>
        <v>23654</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4</v>
      </c>
      <c r="D10" s="1823" t="s">
        <v>3037</v>
      </c>
      <c r="E10" s="358" t="s">
        <v>1410</v>
      </c>
      <c r="F10" s="1366" t="s">
        <v>3117</v>
      </c>
      <c r="G10" s="1850"/>
      <c r="H10" s="1291" t="s">
        <v>1039</v>
      </c>
      <c r="I10" s="1822" t="s">
        <v>1409</v>
      </c>
      <c r="J10" s="346">
        <f ca="1">ROUND(IF(M10="押一",J6/12*M11,IF(M10="押二",J6/12*2*M11,IF(M10="押三",J6/12*3*M11,J11*M11))),0)</f>
        <v>0</v>
      </c>
      <c r="K10" s="1823" t="s">
        <v>3037</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20833</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14614</v>
      </c>
      <c r="D14" s="2976" t="s">
        <v>1418</v>
      </c>
      <c r="E14" s="2974"/>
      <c r="F14" s="364"/>
      <c r="G14" s="1850"/>
      <c r="H14" s="1201" t="s">
        <v>1035</v>
      </c>
      <c r="I14" s="347" t="s">
        <v>1419</v>
      </c>
      <c r="J14" s="24">
        <f ca="1">C29</f>
        <v>20833</v>
      </c>
      <c r="K14" s="2981"/>
      <c r="L14" s="979"/>
      <c r="M14" s="980"/>
    </row>
    <row r="15" spans="1:37" s="1857" customFormat="1" ht="18" customHeight="1" thickBot="1">
      <c r="A15" s="1201" t="s">
        <v>1036</v>
      </c>
      <c r="B15" s="347" t="s">
        <v>1420</v>
      </c>
      <c r="C15" s="24">
        <f ca="1">ROUND(C14*F15,0)</f>
        <v>731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490</v>
      </c>
      <c r="K16" s="1337" t="s">
        <v>1425</v>
      </c>
      <c r="L16" s="2977"/>
      <c r="M16" s="1294"/>
    </row>
    <row r="17" spans="1:37" s="1857" customFormat="1" ht="18" customHeight="1">
      <c r="A17" s="1201" t="s">
        <v>1390</v>
      </c>
      <c r="B17" s="347" t="s">
        <v>1426</v>
      </c>
      <c r="C17" s="24">
        <f ca="1">ROUND(F17*(F43+INDIRECT("'数据-取费表'!S"&amp;$G$1))/10000,0)</f>
        <v>497</v>
      </c>
      <c r="D17" s="347" t="s">
        <v>1427</v>
      </c>
      <c r="E17" s="347" t="s">
        <v>1428</v>
      </c>
      <c r="F17" s="26">
        <f>'数据-取费表'!B35</f>
        <v>200</v>
      </c>
      <c r="G17" s="1853"/>
      <c r="H17" s="1201" t="s">
        <v>1035</v>
      </c>
      <c r="I17" s="347" t="s">
        <v>1429</v>
      </c>
      <c r="J17" s="24">
        <f ca="1">ROUND(IF(项目基本情况!B11="自然人",J5*M17,J18+J19+J20),1)</f>
        <v>177.4</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219</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16061</v>
      </c>
      <c r="D19" s="140" t="s">
        <v>1436</v>
      </c>
      <c r="E19" s="2980"/>
      <c r="F19" s="26"/>
      <c r="G19" s="1850"/>
      <c r="H19" s="1201" t="s">
        <v>1036</v>
      </c>
      <c r="I19" s="347" t="s">
        <v>1437</v>
      </c>
      <c r="J19" s="24">
        <f ca="1">IF(K19="按租金收入计税",ROUND(J5*M19,2),ROUND(C29*M19*0.7,2))</f>
        <v>175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321</v>
      </c>
      <c r="D20" s="369" t="s">
        <v>1440</v>
      </c>
      <c r="E20" s="347" t="s">
        <v>1422</v>
      </c>
      <c r="F20" s="367">
        <f>'数据-取费表'!B37</f>
        <v>0.02</v>
      </c>
      <c r="G20" s="1853"/>
      <c r="H20" s="1201" t="s">
        <v>1389</v>
      </c>
      <c r="I20" s="164" t="s">
        <v>1441</v>
      </c>
      <c r="J20" s="25">
        <f ca="1">ROUND(M20*M21/10000,2)</f>
        <v>2.39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1988.91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312.5</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978</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-490</v>
      </c>
      <c r="K25" s="1345" t="s">
        <v>1464</v>
      </c>
      <c r="L25" s="1346"/>
      <c r="M25" s="1347"/>
    </row>
    <row r="26" spans="1:37">
      <c r="A26" s="1201" t="s">
        <v>1034</v>
      </c>
      <c r="B26" s="347" t="s">
        <v>1465</v>
      </c>
      <c r="C26" s="24">
        <f ca="1">ROUND((C19+C20)*F26,0)</f>
        <v>1638</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20833</v>
      </c>
      <c r="D29" s="1342"/>
      <c r="E29" s="1340"/>
      <c r="F29" s="1343"/>
      <c r="G29" s="1853"/>
      <c r="H29" s="380" t="s">
        <v>1033</v>
      </c>
      <c r="I29" s="381" t="s">
        <v>1479</v>
      </c>
      <c r="J29" s="382">
        <f ca="1">ROUND(J26/(1+F40)^F41,0)</f>
        <v>0</v>
      </c>
      <c r="K29" s="383" t="s">
        <v>1480</v>
      </c>
      <c r="L29" s="384"/>
      <c r="M29" s="385">
        <f ca="1">INDIRECT("'数据-取费表'!k"&amp;$G$1)</f>
        <v>23654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988</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609.20000000000005</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186.72</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420.12</v>
      </c>
      <c r="D33" s="1827" t="s">
        <v>3113</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2.39</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1988.91</v>
      </c>
      <c r="G35" s="1850"/>
      <c r="H35" s="745"/>
      <c r="I35" s="1859"/>
      <c r="J35" s="1860"/>
      <c r="K35" s="1861"/>
      <c r="L35" s="1858"/>
      <c r="M35" s="1858"/>
    </row>
    <row r="36" spans="1:18" ht="18" customHeight="1">
      <c r="A36" s="1352" t="s">
        <v>1039</v>
      </c>
      <c r="B36" s="347" t="s">
        <v>1449</v>
      </c>
      <c r="C36" s="24">
        <f ca="1">ROUND(C29*F36,1)</f>
        <v>312.5</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31.2</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35</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2513</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47199</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19954</v>
      </c>
      <c r="D43" s="383" t="s">
        <v>1488</v>
      </c>
      <c r="E43" s="384" t="s">
        <v>1489</v>
      </c>
      <c r="F43" s="385">
        <f ca="1">INDIRECT("'数据-取费表'!k"&amp;$G$1)</f>
        <v>23654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-75636</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3111</v>
      </c>
      <c r="K47" s="1881" t="s">
        <v>1527</v>
      </c>
      <c r="L47" s="1882">
        <f ca="1">INDIRECT("'数据-取费表'!d"&amp;$G$1)</f>
        <v>40</v>
      </c>
      <c r="M47" s="1837" t="str">
        <f>IF(ISNUMBER(FIND("住宅",C1)),"住宅","非住宅")</f>
        <v>非住宅</v>
      </c>
      <c r="O47" s="1883" t="s">
        <v>1040</v>
      </c>
      <c r="P47" s="1884" t="s">
        <v>1528</v>
      </c>
      <c r="Q47" s="1885">
        <f ca="1">C40+J29</f>
        <v>47199</v>
      </c>
      <c r="R47" s="1885" t="s">
        <v>1529</v>
      </c>
    </row>
    <row r="48" spans="1:18" s="1841" customFormat="1" ht="28.5" thickBot="1">
      <c r="A48" s="1360" t="s">
        <v>1135</v>
      </c>
      <c r="B48" s="345" t="s">
        <v>1401</v>
      </c>
      <c r="C48" s="2979">
        <f ca="1">C49+C53+C55</f>
        <v>0</v>
      </c>
      <c r="D48" s="1362"/>
      <c r="E48" s="1363"/>
      <c r="F48" s="1181"/>
      <c r="G48" s="792"/>
      <c r="H48" s="793"/>
      <c r="I48" s="1886" t="s">
        <v>1530</v>
      </c>
      <c r="J48" s="1887" t="s">
        <v>3112</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3028</v>
      </c>
      <c r="E49" s="1829" t="s">
        <v>1491</v>
      </c>
      <c r="F49" s="1281"/>
      <c r="G49" s="1890"/>
      <c r="H49" s="793"/>
      <c r="I49" s="1886" t="s">
        <v>1534</v>
      </c>
      <c r="J49" s="1891">
        <v>2018</v>
      </c>
      <c r="K49" s="1888" t="s">
        <v>1535</v>
      </c>
      <c r="L49" s="1892"/>
      <c r="O49" s="1893" t="s">
        <v>1042</v>
      </c>
      <c r="P49" s="1884" t="s">
        <v>1536</v>
      </c>
      <c r="Q49" s="1885">
        <f ca="1">C29</f>
        <v>20833</v>
      </c>
      <c r="R49" s="1885" t="s">
        <v>1529</v>
      </c>
    </row>
    <row r="50" spans="1:18" s="1841" customFormat="1" ht="13.5" thickBot="1">
      <c r="A50" s="1195"/>
      <c r="B50" s="1198"/>
      <c r="C50" s="1368"/>
      <c r="D50" s="1172"/>
      <c r="E50" s="1277" t="s">
        <v>1406</v>
      </c>
      <c r="F50" s="1278">
        <f ca="1">F7</f>
        <v>23654</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10633</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3037</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47199</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20833</v>
      </c>
      <c r="D56" s="1913"/>
      <c r="E56" s="1914"/>
      <c r="F56" s="1906"/>
      <c r="I56" s="1915" t="s">
        <v>1554</v>
      </c>
      <c r="J56" s="1916" t="s">
        <v>3069</v>
      </c>
      <c r="K56" s="1886" t="s">
        <v>1555</v>
      </c>
      <c r="L56" s="1889" t="str">
        <f ca="1">IF(L48&lt;J51,"——",L48-J53)</f>
        <v>——</v>
      </c>
      <c r="O56" s="1883" t="s">
        <v>1040</v>
      </c>
      <c r="P56" s="1884" t="s">
        <v>1528</v>
      </c>
      <c r="Q56" s="1885">
        <f ca="1">C40+J29</f>
        <v>47199</v>
      </c>
      <c r="R56" s="1885" t="s">
        <v>1529</v>
      </c>
    </row>
    <row r="57" spans="1:18" s="1841" customFormat="1" ht="24.75" thickBot="1">
      <c r="A57" s="1917"/>
      <c r="B57" s="1169" t="s">
        <v>1478</v>
      </c>
      <c r="C57" s="282">
        <f ca="1">C29</f>
        <v>20833</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2096</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1752.4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1749.97</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2.39</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47199</v>
      </c>
      <c r="R62" s="1885" t="s">
        <v>1047</v>
      </c>
    </row>
    <row r="63" spans="1:18" s="1841" customFormat="1" ht="13.5" thickBot="1">
      <c r="A63" s="372"/>
      <c r="B63" s="1175"/>
      <c r="C63" s="29"/>
      <c r="D63" s="1185"/>
      <c r="E63" s="1169" t="s">
        <v>1447</v>
      </c>
      <c r="F63" s="348">
        <f t="shared" ca="1" si="0"/>
        <v>1988.91</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312.5</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31.2</v>
      </c>
      <c r="D65" s="1183" t="s">
        <v>1454</v>
      </c>
      <c r="E65" s="1169" t="s">
        <v>1422</v>
      </c>
      <c r="F65" s="376">
        <f t="shared" ca="1" si="0"/>
        <v>1.5E-3</v>
      </c>
      <c r="I65" s="1928" t="s">
        <v>1579</v>
      </c>
      <c r="J65" s="1929">
        <v>40</v>
      </c>
      <c r="K65" s="1929">
        <v>30</v>
      </c>
      <c r="L65" s="1929">
        <v>50</v>
      </c>
      <c r="M65" s="1931">
        <v>0.02</v>
      </c>
      <c r="O65" s="1883" t="s">
        <v>1040</v>
      </c>
      <c r="P65" s="1884" t="s">
        <v>1528</v>
      </c>
      <c r="Q65" s="1885">
        <f ca="1">C40+J29</f>
        <v>47199</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-2096</v>
      </c>
      <c r="D67" s="1182" t="s">
        <v>1464</v>
      </c>
      <c r="E67" s="1187"/>
      <c r="F67" s="1188"/>
      <c r="O67" s="1893" t="s">
        <v>1042</v>
      </c>
      <c r="P67" s="1884" t="s">
        <v>1562</v>
      </c>
      <c r="Q67" s="1932">
        <f ca="1">L51</f>
        <v>10633</v>
      </c>
      <c r="R67" s="1885" t="s">
        <v>1582</v>
      </c>
    </row>
    <row r="68" spans="1:18" s="1841" customFormat="1" ht="16.5" thickBot="1">
      <c r="A68" s="1166" t="s">
        <v>1032</v>
      </c>
      <c r="B68" s="1167" t="s">
        <v>1485</v>
      </c>
      <c r="C68" s="346">
        <f ca="1">ROUND(C67*(1-((1+F70)/(1+F68))^F69)/(F68-F70),0)</f>
        <v>-28437</v>
      </c>
      <c r="D68" s="1184" t="s">
        <v>1469</v>
      </c>
      <c r="E68" s="1169" t="s">
        <v>1470</v>
      </c>
      <c r="F68" s="357">
        <f ca="1">F40</f>
        <v>0.06</v>
      </c>
      <c r="O68" s="1893" t="s">
        <v>1043</v>
      </c>
      <c r="P68" s="1933" t="s">
        <v>1583</v>
      </c>
      <c r="Q68" s="1885">
        <f ca="1">ROUND(Q69-Q70*Q71,0)</f>
        <v>742</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2513</v>
      </c>
      <c r="R69" s="1885" t="s">
        <v>1529</v>
      </c>
    </row>
    <row r="70" spans="1:18" s="1841" customFormat="1" ht="13.5" thickBot="1">
      <c r="A70" s="1173"/>
      <c r="B70" s="1174"/>
      <c r="C70" s="355"/>
      <c r="D70" s="1185"/>
      <c r="E70" s="1169" t="s">
        <v>1477</v>
      </c>
      <c r="F70" s="1275"/>
      <c r="O70" s="1893" t="s">
        <v>1049</v>
      </c>
      <c r="P70" s="1933" t="s">
        <v>1585</v>
      </c>
      <c r="Q70" s="1885">
        <f ca="1">C13</f>
        <v>20833</v>
      </c>
      <c r="R70" s="1885" t="s">
        <v>1529</v>
      </c>
    </row>
    <row r="71" spans="1:18" s="1841" customFormat="1" ht="13.5" thickBot="1">
      <c r="A71" s="1190" t="s">
        <v>1033</v>
      </c>
      <c r="B71" s="1191" t="s">
        <v>1487</v>
      </c>
      <c r="C71" s="382">
        <f ca="1">ROUND(C68*10000/F71,0)</f>
        <v>-12022</v>
      </c>
      <c r="D71" s="1192" t="s">
        <v>1488</v>
      </c>
      <c r="E71" s="1193" t="s">
        <v>1489</v>
      </c>
      <c r="F71" s="385">
        <f ca="1">F43</f>
        <v>23654</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1771</v>
      </c>
      <c r="D75" s="1841"/>
      <c r="E75" s="1841"/>
      <c r="F75" s="1841"/>
      <c r="K75" s="1867"/>
      <c r="L75" s="1841"/>
      <c r="O75" s="1883" t="s">
        <v>1046</v>
      </c>
      <c r="P75" s="1884" t="s">
        <v>1549</v>
      </c>
      <c r="Q75" s="1885">
        <f ca="1">Q65+Q66</f>
        <v>47199</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0.29500000000000004</v>
      </c>
    </row>
    <row r="80" spans="1:18">
      <c r="B80" s="386" t="s">
        <v>1511</v>
      </c>
      <c r="C80" s="318">
        <f ca="1">ROUND(C75/C39,3)</f>
        <v>0.70499999999999996</v>
      </c>
    </row>
    <row r="81" spans="2:3">
      <c r="B81" s="314" t="s">
        <v>1512</v>
      </c>
      <c r="C81" s="282"/>
    </row>
    <row r="82" spans="2:3">
      <c r="B82" s="317" t="s">
        <v>1513</v>
      </c>
      <c r="C82" s="319">
        <f ca="1">1-C83</f>
        <v>0.55899999999999994</v>
      </c>
    </row>
    <row r="83" spans="2:3">
      <c r="B83" s="317" t="s">
        <v>1514</v>
      </c>
      <c r="C83" s="318">
        <f ca="1">ROUND(C13/C40,3)</f>
        <v>0.441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topLeftCell="C8" workbookViewId="0">
      <selection activeCell="H34" sqref="H34"/>
    </sheetView>
  </sheetViews>
  <sheetFormatPr defaultRowHeight="13.5"/>
  <cols>
    <col min="1" max="4" width="9" style="2941"/>
    <col min="5" max="5" width="10.5" style="2941" bestFit="1" customWidth="1"/>
    <col min="7" max="7" width="16.375" customWidth="1"/>
    <col min="8" max="8" width="11.125" customWidth="1"/>
    <col min="9" max="9" width="16" customWidth="1"/>
    <col min="10" max="10" width="19.75" customWidth="1"/>
  </cols>
  <sheetData>
    <row r="1" spans="1:11">
      <c r="A1" s="2942" t="s">
        <v>3044</v>
      </c>
      <c r="B1" s="2942" t="s">
        <v>3045</v>
      </c>
      <c r="C1" s="2942" t="s">
        <v>3046</v>
      </c>
      <c r="D1" s="2942" t="s">
        <v>3047</v>
      </c>
      <c r="E1" s="2942" t="s">
        <v>3048</v>
      </c>
    </row>
    <row r="2" spans="1:11">
      <c r="A2" s="2943">
        <v>1</v>
      </c>
      <c r="B2" s="2947">
        <v>3</v>
      </c>
      <c r="C2" s="2948" t="s">
        <v>3049</v>
      </c>
      <c r="D2" s="2949">
        <v>102</v>
      </c>
      <c r="E2" s="2950">
        <v>158.21</v>
      </c>
      <c r="G2" s="2940" t="s">
        <v>3056</v>
      </c>
    </row>
    <row r="3" spans="1:11">
      <c r="A3" s="2943">
        <v>2</v>
      </c>
      <c r="B3" s="2947">
        <v>3</v>
      </c>
      <c r="C3" s="2948" t="s">
        <v>3049</v>
      </c>
      <c r="D3" s="2949">
        <v>107</v>
      </c>
      <c r="E3" s="2950">
        <v>77.400000000000006</v>
      </c>
      <c r="G3" s="2940" t="s">
        <v>3079</v>
      </c>
      <c r="H3">
        <f>36787.64</f>
        <v>36787.64</v>
      </c>
    </row>
    <row r="4" spans="1:11">
      <c r="A4" s="2943">
        <v>3</v>
      </c>
      <c r="B4" s="2947">
        <v>3</v>
      </c>
      <c r="C4" s="2948" t="s">
        <v>3049</v>
      </c>
      <c r="D4" s="2949">
        <v>108</v>
      </c>
      <c r="E4" s="2950">
        <v>75.02</v>
      </c>
      <c r="G4" s="2940" t="s">
        <v>3080</v>
      </c>
      <c r="H4">
        <f>107061.04+174935.79+177827.93</f>
        <v>459824.76</v>
      </c>
      <c r="I4" s="2993">
        <f>ROUND(H4/H3,2)</f>
        <v>12.5</v>
      </c>
    </row>
    <row r="5" spans="1:11">
      <c r="A5" s="2943">
        <v>4</v>
      </c>
      <c r="B5" s="2947">
        <v>3</v>
      </c>
      <c r="C5" s="2948" t="s">
        <v>3049</v>
      </c>
      <c r="D5" s="2949">
        <v>109</v>
      </c>
      <c r="E5" s="2950">
        <v>117.6</v>
      </c>
      <c r="G5" s="2940" t="s">
        <v>3081</v>
      </c>
      <c r="H5" s="2993">
        <f>I25</f>
        <v>190214</v>
      </c>
      <c r="K5" s="2940" t="s">
        <v>3364</v>
      </c>
    </row>
    <row r="6" spans="1:11">
      <c r="A6" s="2943">
        <v>5</v>
      </c>
      <c r="B6" s="2947">
        <v>3</v>
      </c>
      <c r="C6" s="2948" t="s">
        <v>3049</v>
      </c>
      <c r="D6" s="2949">
        <v>110</v>
      </c>
      <c r="E6" s="2950">
        <v>52.35</v>
      </c>
      <c r="G6" s="2940" t="s">
        <v>3082</v>
      </c>
      <c r="H6">
        <f>ROUND(H5/H4*H3,2)</f>
        <v>15217.81</v>
      </c>
      <c r="I6" s="2940" t="s">
        <v>3362</v>
      </c>
      <c r="J6">
        <f>I12+I13+I14+I15+I16+I17</f>
        <v>25940.999999999996</v>
      </c>
      <c r="K6">
        <f>ROUND(J6/H5*H6,2)</f>
        <v>2075.37</v>
      </c>
    </row>
    <row r="7" spans="1:11">
      <c r="A7" s="2943">
        <v>6</v>
      </c>
      <c r="B7" s="2947">
        <v>3</v>
      </c>
      <c r="C7" s="2948" t="s">
        <v>3049</v>
      </c>
      <c r="D7" s="2949">
        <v>111</v>
      </c>
      <c r="E7" s="2950">
        <v>157.30000000000001</v>
      </c>
      <c r="I7" s="2940" t="s">
        <v>3363</v>
      </c>
      <c r="J7" s="2993">
        <f>I18+I19+I22+I23+I24</f>
        <v>164273</v>
      </c>
      <c r="K7">
        <f>H6-K6</f>
        <v>13142.439999999999</v>
      </c>
    </row>
    <row r="8" spans="1:11">
      <c r="A8" s="2943">
        <v>7</v>
      </c>
      <c r="B8" s="2947">
        <v>3</v>
      </c>
      <c r="C8" s="2948" t="s">
        <v>3049</v>
      </c>
      <c r="D8" s="2949">
        <v>113</v>
      </c>
      <c r="E8" s="2950">
        <v>72.5</v>
      </c>
    </row>
    <row r="9" spans="1:11">
      <c r="A9" s="2944">
        <v>8</v>
      </c>
      <c r="B9" s="2951">
        <v>4</v>
      </c>
      <c r="C9" s="2952" t="s">
        <v>3049</v>
      </c>
      <c r="D9" s="2953">
        <v>104</v>
      </c>
      <c r="E9" s="2954">
        <v>137.57</v>
      </c>
    </row>
    <row r="10" spans="1:11">
      <c r="A10" s="2944">
        <v>9</v>
      </c>
      <c r="B10" s="2951">
        <v>4</v>
      </c>
      <c r="C10" s="2952" t="s">
        <v>3049</v>
      </c>
      <c r="D10" s="2953">
        <v>106</v>
      </c>
      <c r="E10" s="2954">
        <v>64.61</v>
      </c>
    </row>
    <row r="11" spans="1:11">
      <c r="A11" s="2944">
        <v>10</v>
      </c>
      <c r="B11" s="2951">
        <v>4</v>
      </c>
      <c r="C11" s="2952" t="s">
        <v>3049</v>
      </c>
      <c r="D11" s="2953">
        <v>107</v>
      </c>
      <c r="E11" s="2954">
        <v>94.62</v>
      </c>
      <c r="G11" s="2959" t="s">
        <v>3083</v>
      </c>
      <c r="H11" s="2959" t="s">
        <v>3084</v>
      </c>
      <c r="I11" s="2959" t="s">
        <v>3085</v>
      </c>
      <c r="J11" s="2960" t="s">
        <v>3086</v>
      </c>
    </row>
    <row r="12" spans="1:11">
      <c r="A12" s="2944">
        <v>11</v>
      </c>
      <c r="B12" s="2951">
        <v>4</v>
      </c>
      <c r="C12" s="2952" t="s">
        <v>3049</v>
      </c>
      <c r="D12" s="2953">
        <v>111</v>
      </c>
      <c r="E12" s="2954">
        <v>280.05</v>
      </c>
      <c r="G12" s="2961" t="s">
        <v>3087</v>
      </c>
      <c r="H12" s="3321" t="s">
        <v>3088</v>
      </c>
      <c r="I12" s="2961">
        <v>6893.7</v>
      </c>
      <c r="J12" s="2960" t="s">
        <v>3089</v>
      </c>
    </row>
    <row r="13" spans="1:11">
      <c r="A13" s="2944">
        <v>12</v>
      </c>
      <c r="B13" s="2951">
        <v>4</v>
      </c>
      <c r="C13" s="2952" t="s">
        <v>3049</v>
      </c>
      <c r="D13" s="2953">
        <v>117</v>
      </c>
      <c r="E13" s="2954">
        <v>105.85</v>
      </c>
      <c r="G13" s="2961" t="s">
        <v>3090</v>
      </c>
      <c r="H13" s="3321"/>
      <c r="I13" s="2961">
        <v>1326.9</v>
      </c>
      <c r="J13" s="2960"/>
    </row>
    <row r="14" spans="1:11">
      <c r="A14" s="2944">
        <v>13</v>
      </c>
      <c r="B14" s="2955">
        <v>5</v>
      </c>
      <c r="C14" s="2945">
        <v>1</v>
      </c>
      <c r="D14" s="2945">
        <v>101</v>
      </c>
      <c r="E14" s="2946">
        <v>211.82</v>
      </c>
      <c r="G14" s="2961" t="s">
        <v>3087</v>
      </c>
      <c r="H14" s="3321" t="s">
        <v>3091</v>
      </c>
      <c r="I14" s="2961">
        <v>5305.81</v>
      </c>
      <c r="J14" s="2960" t="s">
        <v>3089</v>
      </c>
    </row>
    <row r="15" spans="1:11">
      <c r="A15" s="2944">
        <v>14</v>
      </c>
      <c r="B15" s="2955">
        <v>5</v>
      </c>
      <c r="C15" s="2945">
        <v>1</v>
      </c>
      <c r="D15" s="2945">
        <v>103</v>
      </c>
      <c r="E15" s="2946">
        <v>611.04999999999995</v>
      </c>
      <c r="G15" s="2961" t="s">
        <v>3090</v>
      </c>
      <c r="H15" s="3321"/>
      <c r="I15" s="2961">
        <v>3233.19</v>
      </c>
      <c r="J15" s="2960"/>
    </row>
    <row r="16" spans="1:11">
      <c r="A16" s="2944">
        <v>15</v>
      </c>
      <c r="B16" s="2955">
        <v>5</v>
      </c>
      <c r="C16" s="2945">
        <v>1</v>
      </c>
      <c r="D16" s="2945">
        <v>108</v>
      </c>
      <c r="E16" s="2946">
        <v>350.4</v>
      </c>
      <c r="G16" s="2961" t="s">
        <v>3087</v>
      </c>
      <c r="H16" s="3321" t="s">
        <v>3092</v>
      </c>
      <c r="I16" s="2961">
        <v>6649.94</v>
      </c>
      <c r="J16" s="2960" t="s">
        <v>3093</v>
      </c>
    </row>
    <row r="17" spans="1:10">
      <c r="A17" s="2943">
        <v>16</v>
      </c>
      <c r="B17" s="2947">
        <v>3</v>
      </c>
      <c r="C17" s="2948" t="s">
        <v>3050</v>
      </c>
      <c r="D17" s="2949">
        <v>201</v>
      </c>
      <c r="E17" s="2950">
        <v>323.68</v>
      </c>
      <c r="G17" s="2961" t="s">
        <v>3090</v>
      </c>
      <c r="H17" s="3321"/>
      <c r="I17" s="2961">
        <v>2531.46</v>
      </c>
      <c r="J17" s="2960"/>
    </row>
    <row r="18" spans="1:10">
      <c r="A18" s="2943">
        <v>17</v>
      </c>
      <c r="B18" s="2947">
        <v>3</v>
      </c>
      <c r="C18" s="2948" t="s">
        <v>3050</v>
      </c>
      <c r="D18" s="2949">
        <v>202</v>
      </c>
      <c r="E18" s="2950">
        <v>389.15</v>
      </c>
      <c r="G18" s="2961" t="s">
        <v>3087</v>
      </c>
      <c r="H18" s="3321" t="s">
        <v>3094</v>
      </c>
      <c r="I18" s="2962">
        <v>63151.97</v>
      </c>
      <c r="J18" s="2960" t="s">
        <v>3095</v>
      </c>
    </row>
    <row r="19" spans="1:10">
      <c r="A19" s="2943">
        <v>18</v>
      </c>
      <c r="B19" s="2947">
        <v>3</v>
      </c>
      <c r="C19" s="2948" t="s">
        <v>3050</v>
      </c>
      <c r="D19" s="2949">
        <v>203</v>
      </c>
      <c r="E19" s="2950">
        <v>142.53</v>
      </c>
      <c r="G19" s="2961" t="s">
        <v>3090</v>
      </c>
      <c r="H19" s="3321"/>
      <c r="I19" s="2961">
        <v>169.55</v>
      </c>
      <c r="J19" s="2960"/>
    </row>
    <row r="20" spans="1:10">
      <c r="A20" s="2943">
        <v>19</v>
      </c>
      <c r="B20" s="2947">
        <v>3</v>
      </c>
      <c r="C20" s="2948" t="s">
        <v>3050</v>
      </c>
      <c r="D20" s="2949">
        <v>206</v>
      </c>
      <c r="E20" s="2950">
        <v>37.119999999999997</v>
      </c>
      <c r="G20" s="2963" t="s">
        <v>3096</v>
      </c>
      <c r="H20" s="2963" t="s">
        <v>3097</v>
      </c>
      <c r="I20" s="2964">
        <f>I12+I14+I16+I18</f>
        <v>82001.42</v>
      </c>
      <c r="J20" s="2965">
        <f>I12+I14+I16+I18</f>
        <v>82001.42</v>
      </c>
    </row>
    <row r="21" spans="1:10">
      <c r="A21" s="2943">
        <v>20</v>
      </c>
      <c r="B21" s="2947">
        <v>3</v>
      </c>
      <c r="C21" s="2948" t="s">
        <v>3050</v>
      </c>
      <c r="D21" s="2949">
        <v>207</v>
      </c>
      <c r="E21" s="2950">
        <v>43.2</v>
      </c>
      <c r="G21" s="2963" t="s">
        <v>3098</v>
      </c>
      <c r="H21" s="2963" t="s">
        <v>3097</v>
      </c>
      <c r="I21" s="2963">
        <f>I13+I15+I17+I19</f>
        <v>7261.1</v>
      </c>
      <c r="J21" s="2966"/>
    </row>
    <row r="22" spans="1:10">
      <c r="A22" s="2943">
        <v>21</v>
      </c>
      <c r="B22" s="2947">
        <v>3</v>
      </c>
      <c r="C22" s="2948" t="s">
        <v>3050</v>
      </c>
      <c r="D22" s="2949">
        <v>210</v>
      </c>
      <c r="E22" s="2950">
        <v>206.57</v>
      </c>
      <c r="G22" s="2967" t="s">
        <v>3099</v>
      </c>
      <c r="H22" s="2967"/>
      <c r="I22" s="2967">
        <v>69497</v>
      </c>
      <c r="J22" s="2966" t="s">
        <v>3100</v>
      </c>
    </row>
    <row r="23" spans="1:10">
      <c r="A23" s="2943">
        <v>22</v>
      </c>
      <c r="B23" s="2947">
        <v>3</v>
      </c>
      <c r="C23" s="2948" t="s">
        <v>3050</v>
      </c>
      <c r="D23" s="2949">
        <v>211</v>
      </c>
      <c r="E23" s="2950">
        <v>61.62</v>
      </c>
      <c r="G23" s="2967" t="s">
        <v>3101</v>
      </c>
      <c r="H23" s="2967"/>
      <c r="I23" s="2968">
        <f>190214-I20-I21-I24-I22</f>
        <v>7800.4799999999959</v>
      </c>
      <c r="J23" s="2966"/>
    </row>
    <row r="24" spans="1:10">
      <c r="A24" s="2944">
        <v>23</v>
      </c>
      <c r="B24" s="2951">
        <v>4</v>
      </c>
      <c r="C24" s="2952" t="s">
        <v>3050</v>
      </c>
      <c r="D24" s="2953">
        <v>206</v>
      </c>
      <c r="E24" s="2954">
        <v>259.49</v>
      </c>
      <c r="G24" s="2967" t="s">
        <v>3102</v>
      </c>
      <c r="H24" s="2967"/>
      <c r="I24" s="2968">
        <v>23654</v>
      </c>
      <c r="J24" s="2966" t="s">
        <v>3100</v>
      </c>
    </row>
    <row r="25" spans="1:10">
      <c r="A25" s="2944">
        <v>24</v>
      </c>
      <c r="B25" s="2951">
        <v>4</v>
      </c>
      <c r="C25" s="2952" t="s">
        <v>3050</v>
      </c>
      <c r="D25" s="2953">
        <v>208</v>
      </c>
      <c r="E25" s="2954">
        <v>81.400000000000006</v>
      </c>
      <c r="G25" s="2963" t="s">
        <v>3103</v>
      </c>
      <c r="H25" s="2963"/>
      <c r="I25" s="2964">
        <v>190214</v>
      </c>
      <c r="J25" s="2969"/>
    </row>
    <row r="26" spans="1:10">
      <c r="A26" s="2944">
        <v>25</v>
      </c>
      <c r="B26" s="2951">
        <v>4</v>
      </c>
      <c r="C26" s="2952" t="s">
        <v>3050</v>
      </c>
      <c r="D26" s="2953">
        <v>209</v>
      </c>
      <c r="E26" s="2954">
        <v>123.69</v>
      </c>
    </row>
    <row r="27" spans="1:10">
      <c r="A27" s="2944">
        <v>26</v>
      </c>
      <c r="B27" s="2951">
        <v>4</v>
      </c>
      <c r="C27" s="2952" t="s">
        <v>3050</v>
      </c>
      <c r="D27" s="2953">
        <v>210</v>
      </c>
      <c r="E27" s="2954">
        <v>167.08</v>
      </c>
    </row>
    <row r="28" spans="1:10">
      <c r="A28" s="2944">
        <v>27</v>
      </c>
      <c r="B28" s="2951">
        <v>4</v>
      </c>
      <c r="C28" s="2952" t="s">
        <v>3050</v>
      </c>
      <c r="D28" s="2953">
        <v>212</v>
      </c>
      <c r="E28" s="2954">
        <v>224.14</v>
      </c>
    </row>
    <row r="29" spans="1:10">
      <c r="A29" s="2944">
        <v>28</v>
      </c>
      <c r="B29" s="2955">
        <v>5</v>
      </c>
      <c r="C29" s="2945">
        <v>2</v>
      </c>
      <c r="D29" s="2945">
        <v>201</v>
      </c>
      <c r="E29" s="2946">
        <v>665.05</v>
      </c>
      <c r="G29" s="2940" t="s">
        <v>3365</v>
      </c>
    </row>
    <row r="30" spans="1:10">
      <c r="A30" s="2944">
        <v>29</v>
      </c>
      <c r="B30" s="2955">
        <v>5</v>
      </c>
      <c r="C30" s="2945">
        <v>2</v>
      </c>
      <c r="D30" s="2945">
        <v>205</v>
      </c>
      <c r="E30" s="2946">
        <v>164.28</v>
      </c>
      <c r="G30" s="2940" t="s">
        <v>3366</v>
      </c>
      <c r="H30">
        <f>[2]结果表!$G$19</f>
        <v>52068</v>
      </c>
    </row>
    <row r="31" spans="1:10">
      <c r="A31" s="2944">
        <v>30</v>
      </c>
      <c r="B31" s="2955">
        <v>5</v>
      </c>
      <c r="C31" s="2945">
        <v>2</v>
      </c>
      <c r="D31" s="2945">
        <v>207</v>
      </c>
      <c r="E31" s="2946">
        <v>314.56</v>
      </c>
      <c r="G31" s="2940" t="s">
        <v>3367</v>
      </c>
      <c r="H31">
        <f>[3]结果表!$G$19</f>
        <v>47865</v>
      </c>
    </row>
    <row r="32" spans="1:10">
      <c r="A32" s="2944">
        <v>31</v>
      </c>
      <c r="B32" s="2947">
        <v>3</v>
      </c>
      <c r="C32" s="2948" t="s">
        <v>3051</v>
      </c>
      <c r="D32" s="2949">
        <v>305</v>
      </c>
      <c r="E32" s="2950">
        <v>276.85000000000002</v>
      </c>
      <c r="G32" s="2940" t="s">
        <v>3368</v>
      </c>
      <c r="H32">
        <f ca="1">[1]典型户型修正!$S$22</f>
        <v>47843</v>
      </c>
    </row>
    <row r="33" spans="1:8">
      <c r="A33" s="2944">
        <v>32</v>
      </c>
      <c r="B33" s="2947">
        <v>3</v>
      </c>
      <c r="C33" s="2948" t="s">
        <v>3051</v>
      </c>
      <c r="D33" s="2949">
        <v>308</v>
      </c>
      <c r="E33" s="2950">
        <v>116.48</v>
      </c>
      <c r="G33" s="2940" t="s">
        <v>3369</v>
      </c>
      <c r="H33">
        <f ca="1">结果表!G19</f>
        <v>188179</v>
      </c>
    </row>
    <row r="34" spans="1:8">
      <c r="A34" s="2944">
        <v>33</v>
      </c>
      <c r="B34" s="2947">
        <v>3</v>
      </c>
      <c r="C34" s="2948" t="s">
        <v>3051</v>
      </c>
      <c r="D34" s="2949">
        <v>309</v>
      </c>
      <c r="E34" s="2950">
        <v>361.45</v>
      </c>
      <c r="H34">
        <f ca="1">SUM(H30:H33)</f>
        <v>335955</v>
      </c>
    </row>
    <row r="35" spans="1:8">
      <c r="A35" s="2944">
        <v>34</v>
      </c>
      <c r="B35" s="2951">
        <v>4</v>
      </c>
      <c r="C35" s="2952" t="s">
        <v>3051</v>
      </c>
      <c r="D35" s="2953">
        <v>306</v>
      </c>
      <c r="E35" s="2954">
        <v>263.87</v>
      </c>
      <c r="G35" s="2940" t="s">
        <v>3370</v>
      </c>
    </row>
    <row r="36" spans="1:8">
      <c r="A36" s="2944">
        <v>35</v>
      </c>
      <c r="B36" s="2951">
        <v>4</v>
      </c>
      <c r="C36" s="2952" t="s">
        <v>3051</v>
      </c>
      <c r="D36" s="2953">
        <v>308</v>
      </c>
      <c r="E36" s="2954">
        <v>90.78</v>
      </c>
      <c r="G36" s="2940" t="s">
        <v>3366</v>
      </c>
      <c r="H36">
        <f>[2]结果表!$G$19</f>
        <v>52068</v>
      </c>
    </row>
    <row r="37" spans="1:8">
      <c r="A37" s="2944">
        <v>36</v>
      </c>
      <c r="B37" s="2951">
        <v>4</v>
      </c>
      <c r="C37" s="2952" t="s">
        <v>3051</v>
      </c>
      <c r="D37" s="2953">
        <v>309</v>
      </c>
      <c r="E37" s="2954">
        <v>118.86</v>
      </c>
      <c r="G37" s="2940" t="s">
        <v>3367</v>
      </c>
      <c r="H37">
        <f>[3]结果表!$G$19</f>
        <v>47865</v>
      </c>
    </row>
    <row r="38" spans="1:8">
      <c r="A38" s="2944">
        <v>37</v>
      </c>
      <c r="B38" s="2951">
        <v>4</v>
      </c>
      <c r="C38" s="2952" t="s">
        <v>3051</v>
      </c>
      <c r="D38" s="2953">
        <v>310</v>
      </c>
      <c r="E38" s="2954">
        <v>169.4</v>
      </c>
      <c r="G38" s="2940" t="s">
        <v>3368</v>
      </c>
      <c r="H38">
        <f ca="1">[1]典型户型修正!$B$20</f>
        <v>47843</v>
      </c>
    </row>
    <row r="39" spans="1:8">
      <c r="A39" s="2944">
        <v>38</v>
      </c>
      <c r="B39" s="2951">
        <v>4</v>
      </c>
      <c r="C39" s="2952" t="s">
        <v>3051</v>
      </c>
      <c r="D39" s="2953">
        <v>312</v>
      </c>
      <c r="E39" s="2954">
        <v>227.91</v>
      </c>
      <c r="G39" s="2940" t="s">
        <v>3371</v>
      </c>
      <c r="H39">
        <f>[4]结果表!$G$19</f>
        <v>214135</v>
      </c>
    </row>
    <row r="40" spans="1:8">
      <c r="A40" s="2944">
        <v>39</v>
      </c>
      <c r="B40" s="2955">
        <v>5</v>
      </c>
      <c r="C40" s="2945">
        <v>3</v>
      </c>
      <c r="D40" s="2945">
        <v>301</v>
      </c>
      <c r="E40" s="2946">
        <v>143.56</v>
      </c>
      <c r="H40">
        <f ca="1">SUM(H36:H39)</f>
        <v>361911</v>
      </c>
    </row>
    <row r="41" spans="1:8">
      <c r="A41" s="2944">
        <v>40</v>
      </c>
      <c r="B41" s="2955">
        <v>5</v>
      </c>
      <c r="C41" s="2945">
        <v>3</v>
      </c>
      <c r="D41" s="2945">
        <v>302</v>
      </c>
      <c r="E41" s="2946">
        <v>529.16999999999996</v>
      </c>
    </row>
    <row r="42" spans="1:8">
      <c r="A42" s="2944">
        <v>41</v>
      </c>
      <c r="B42" s="2955">
        <v>5</v>
      </c>
      <c r="C42" s="2945">
        <v>3</v>
      </c>
      <c r="D42" s="2945">
        <v>305</v>
      </c>
      <c r="E42" s="2946">
        <v>168.47</v>
      </c>
    </row>
    <row r="43" spans="1:8">
      <c r="A43" s="2944">
        <v>42</v>
      </c>
      <c r="B43" s="2955">
        <v>5</v>
      </c>
      <c r="C43" s="2945">
        <v>3</v>
      </c>
      <c r="D43" s="2945">
        <v>307</v>
      </c>
      <c r="E43" s="2946">
        <v>316.37</v>
      </c>
    </row>
    <row r="44" spans="1:8">
      <c r="A44" s="2944">
        <v>43</v>
      </c>
      <c r="B44" s="2947">
        <v>3</v>
      </c>
      <c r="C44" s="2948" t="s">
        <v>3052</v>
      </c>
      <c r="D44" s="2949">
        <v>405</v>
      </c>
      <c r="E44" s="2950">
        <v>282.05</v>
      </c>
    </row>
    <row r="45" spans="1:8">
      <c r="A45" s="2944">
        <v>44</v>
      </c>
      <c r="B45" s="2947">
        <v>3</v>
      </c>
      <c r="C45" s="2948" t="s">
        <v>3052</v>
      </c>
      <c r="D45" s="2949">
        <v>408</v>
      </c>
      <c r="E45" s="2950">
        <v>131.13999999999999</v>
      </c>
    </row>
    <row r="46" spans="1:8">
      <c r="A46" s="2944">
        <v>45</v>
      </c>
      <c r="B46" s="2947">
        <v>3</v>
      </c>
      <c r="C46" s="2948" t="s">
        <v>3052</v>
      </c>
      <c r="D46" s="2949">
        <v>409</v>
      </c>
      <c r="E46" s="2950">
        <v>435.56</v>
      </c>
    </row>
    <row r="47" spans="1:8">
      <c r="A47" s="2944">
        <v>46</v>
      </c>
      <c r="B47" s="2951">
        <v>4</v>
      </c>
      <c r="C47" s="2952" t="s">
        <v>3052</v>
      </c>
      <c r="D47" s="2953">
        <v>406</v>
      </c>
      <c r="E47" s="2954">
        <v>261.70999999999998</v>
      </c>
    </row>
    <row r="48" spans="1:8">
      <c r="A48" s="2944">
        <v>47</v>
      </c>
      <c r="B48" s="2951">
        <v>4</v>
      </c>
      <c r="C48" s="2952" t="s">
        <v>3052</v>
      </c>
      <c r="D48" s="2953">
        <v>408</v>
      </c>
      <c r="E48" s="2954">
        <v>90.79</v>
      </c>
    </row>
    <row r="49" spans="1:5">
      <c r="A49" s="2944">
        <v>48</v>
      </c>
      <c r="B49" s="2951">
        <v>4</v>
      </c>
      <c r="C49" s="2952" t="s">
        <v>3052</v>
      </c>
      <c r="D49" s="2953">
        <v>409</v>
      </c>
      <c r="E49" s="2954">
        <v>118.96</v>
      </c>
    </row>
    <row r="50" spans="1:5">
      <c r="A50" s="2944">
        <v>49</v>
      </c>
      <c r="B50" s="2951">
        <v>4</v>
      </c>
      <c r="C50" s="2952" t="s">
        <v>3052</v>
      </c>
      <c r="D50" s="2953">
        <v>410</v>
      </c>
      <c r="E50" s="2954">
        <v>224.37</v>
      </c>
    </row>
    <row r="51" spans="1:5">
      <c r="A51" s="2944">
        <v>50</v>
      </c>
      <c r="B51" s="2951">
        <v>4</v>
      </c>
      <c r="C51" s="2952" t="s">
        <v>3052</v>
      </c>
      <c r="D51" s="2953">
        <v>412</v>
      </c>
      <c r="E51" s="2954">
        <v>164.88</v>
      </c>
    </row>
    <row r="52" spans="1:5">
      <c r="A52" s="2944">
        <v>51</v>
      </c>
      <c r="B52" s="2955">
        <v>5</v>
      </c>
      <c r="C52" s="2945">
        <v>4</v>
      </c>
      <c r="D52" s="2945">
        <v>401</v>
      </c>
      <c r="E52" s="2946">
        <v>142.76</v>
      </c>
    </row>
    <row r="53" spans="1:5">
      <c r="A53" s="2944">
        <v>52</v>
      </c>
      <c r="B53" s="2955">
        <v>5</v>
      </c>
      <c r="C53" s="2945">
        <v>4</v>
      </c>
      <c r="D53" s="2945">
        <v>402</v>
      </c>
      <c r="E53" s="2946">
        <v>528.04</v>
      </c>
    </row>
    <row r="54" spans="1:5">
      <c r="A54" s="2944">
        <v>53</v>
      </c>
      <c r="B54" s="2955">
        <v>5</v>
      </c>
      <c r="C54" s="2945">
        <v>4</v>
      </c>
      <c r="D54" s="2945">
        <v>405</v>
      </c>
      <c r="E54" s="2946">
        <v>163.56</v>
      </c>
    </row>
    <row r="55" spans="1:5">
      <c r="A55" s="2944">
        <v>54</v>
      </c>
      <c r="B55" s="2955">
        <v>5</v>
      </c>
      <c r="C55" s="2945">
        <v>4</v>
      </c>
      <c r="D55" s="2945">
        <v>407</v>
      </c>
      <c r="E55" s="2946">
        <v>317.36</v>
      </c>
    </row>
    <row r="56" spans="1:5">
      <c r="A56" s="2944">
        <v>55</v>
      </c>
      <c r="B56" s="2947">
        <v>3</v>
      </c>
      <c r="C56" s="2948" t="s">
        <v>3053</v>
      </c>
      <c r="D56" s="2949">
        <v>505</v>
      </c>
      <c r="E56" s="2950">
        <v>365.78</v>
      </c>
    </row>
    <row r="57" spans="1:5">
      <c r="A57" s="2944">
        <v>56</v>
      </c>
      <c r="B57" s="2947">
        <v>3</v>
      </c>
      <c r="C57" s="2948" t="s">
        <v>3053</v>
      </c>
      <c r="D57" s="2949">
        <v>510</v>
      </c>
      <c r="E57" s="2950">
        <v>557.26</v>
      </c>
    </row>
    <row r="58" spans="1:5">
      <c r="A58" s="2944">
        <v>57</v>
      </c>
      <c r="B58" s="2951">
        <v>4</v>
      </c>
      <c r="C58" s="2952" t="s">
        <v>3053</v>
      </c>
      <c r="D58" s="2953">
        <v>502</v>
      </c>
      <c r="E58" s="2954">
        <v>56.6</v>
      </c>
    </row>
    <row r="59" spans="1:5">
      <c r="A59" s="2944">
        <v>58</v>
      </c>
      <c r="B59" s="2951">
        <v>4</v>
      </c>
      <c r="C59" s="2952" t="s">
        <v>3053</v>
      </c>
      <c r="D59" s="2953">
        <v>506</v>
      </c>
      <c r="E59" s="2954">
        <v>290.10000000000002</v>
      </c>
    </row>
    <row r="60" spans="1:5">
      <c r="A60" s="2944">
        <v>59</v>
      </c>
      <c r="B60" s="2951">
        <v>4</v>
      </c>
      <c r="C60" s="2952" t="s">
        <v>3053</v>
      </c>
      <c r="D60" s="2953">
        <v>508</v>
      </c>
      <c r="E60" s="2954">
        <v>329.75</v>
      </c>
    </row>
    <row r="61" spans="1:5">
      <c r="A61" s="2944">
        <v>60</v>
      </c>
      <c r="B61" s="2951">
        <v>4</v>
      </c>
      <c r="C61" s="2952" t="s">
        <v>3053</v>
      </c>
      <c r="D61" s="2953">
        <v>511</v>
      </c>
      <c r="E61" s="2954">
        <v>125.01</v>
      </c>
    </row>
    <row r="62" spans="1:5">
      <c r="A62" s="2944">
        <v>61</v>
      </c>
      <c r="B62" s="2951">
        <v>4</v>
      </c>
      <c r="C62" s="2952" t="s">
        <v>3053</v>
      </c>
      <c r="D62" s="2953">
        <v>516</v>
      </c>
      <c r="E62" s="2954">
        <v>77.400000000000006</v>
      </c>
    </row>
    <row r="63" spans="1:5">
      <c r="A63" s="2944">
        <v>62</v>
      </c>
      <c r="B63" s="2955">
        <v>5</v>
      </c>
      <c r="C63" s="2945">
        <v>5</v>
      </c>
      <c r="D63" s="2945">
        <v>501</v>
      </c>
      <c r="E63" s="2946">
        <v>382.32</v>
      </c>
    </row>
    <row r="64" spans="1:5">
      <c r="A64" s="2944">
        <v>63</v>
      </c>
      <c r="B64" s="2955">
        <v>5</v>
      </c>
      <c r="C64" s="2945">
        <v>5</v>
      </c>
      <c r="D64" s="2945">
        <v>502</v>
      </c>
      <c r="E64" s="2946">
        <v>143.5</v>
      </c>
    </row>
    <row r="65" spans="1:5">
      <c r="A65" s="2944">
        <v>64</v>
      </c>
      <c r="B65" s="2955">
        <v>5</v>
      </c>
      <c r="C65" s="2945">
        <v>5</v>
      </c>
      <c r="D65" s="2945">
        <v>503</v>
      </c>
      <c r="E65" s="2946">
        <v>147.47</v>
      </c>
    </row>
    <row r="66" spans="1:5">
      <c r="A66" s="2944">
        <v>65</v>
      </c>
      <c r="B66" s="2955">
        <v>5</v>
      </c>
      <c r="C66" s="2945">
        <v>5</v>
      </c>
      <c r="D66" s="2945">
        <v>504</v>
      </c>
      <c r="E66" s="2946">
        <v>130.05000000000001</v>
      </c>
    </row>
    <row r="67" spans="1:5">
      <c r="A67" s="2944">
        <v>66</v>
      </c>
      <c r="B67" s="2955">
        <v>5</v>
      </c>
      <c r="C67" s="2945">
        <v>5</v>
      </c>
      <c r="D67" s="2945">
        <v>505</v>
      </c>
      <c r="E67" s="2946">
        <v>315.05</v>
      </c>
    </row>
    <row r="68" spans="1:5">
      <c r="A68" s="2944">
        <v>67</v>
      </c>
      <c r="B68" s="2947">
        <v>3</v>
      </c>
      <c r="C68" s="2948" t="s">
        <v>3054</v>
      </c>
      <c r="D68" s="2949">
        <v>605</v>
      </c>
      <c r="E68" s="2950">
        <v>308.42</v>
      </c>
    </row>
    <row r="69" spans="1:5">
      <c r="A69" s="2944">
        <v>68</v>
      </c>
      <c r="B69" s="2947">
        <v>3</v>
      </c>
      <c r="C69" s="2948" t="s">
        <v>3054</v>
      </c>
      <c r="D69" s="2949">
        <v>608</v>
      </c>
      <c r="E69" s="2950">
        <v>30.82</v>
      </c>
    </row>
    <row r="70" spans="1:5">
      <c r="A70" s="2944">
        <v>69</v>
      </c>
      <c r="B70" s="2947">
        <v>3</v>
      </c>
      <c r="C70" s="2948" t="s">
        <v>3054</v>
      </c>
      <c r="D70" s="2949">
        <v>610</v>
      </c>
      <c r="E70" s="2950">
        <v>69.25</v>
      </c>
    </row>
    <row r="71" spans="1:5">
      <c r="A71" s="2944">
        <v>70</v>
      </c>
      <c r="B71" s="2951">
        <v>4</v>
      </c>
      <c r="C71" s="2952" t="s">
        <v>3054</v>
      </c>
      <c r="D71" s="2953">
        <v>602</v>
      </c>
      <c r="E71" s="2954">
        <v>69.36</v>
      </c>
    </row>
    <row r="72" spans="1:5">
      <c r="A72" s="2944">
        <v>71</v>
      </c>
      <c r="B72" s="2951">
        <v>4</v>
      </c>
      <c r="C72" s="2952" t="s">
        <v>3054</v>
      </c>
      <c r="D72" s="2953">
        <v>606</v>
      </c>
      <c r="E72" s="2954">
        <v>287.89999999999998</v>
      </c>
    </row>
    <row r="73" spans="1:5">
      <c r="A73" s="2944">
        <v>72</v>
      </c>
      <c r="B73" s="2951">
        <v>4</v>
      </c>
      <c r="C73" s="2952" t="s">
        <v>3054</v>
      </c>
      <c r="D73" s="2953">
        <v>608</v>
      </c>
      <c r="E73" s="2954">
        <v>212.41</v>
      </c>
    </row>
    <row r="74" spans="1:5">
      <c r="A74" s="2944">
        <v>73</v>
      </c>
      <c r="B74" s="2951">
        <v>4</v>
      </c>
      <c r="C74" s="2952" t="s">
        <v>3054</v>
      </c>
      <c r="D74" s="2953">
        <v>610</v>
      </c>
      <c r="E74" s="2954">
        <v>117.06</v>
      </c>
    </row>
    <row r="75" spans="1:5">
      <c r="A75" s="2944">
        <v>74</v>
      </c>
      <c r="B75" s="2951">
        <v>4</v>
      </c>
      <c r="C75" s="2952" t="s">
        <v>3054</v>
      </c>
      <c r="D75" s="2953">
        <v>611</v>
      </c>
      <c r="E75" s="2954">
        <v>116.5</v>
      </c>
    </row>
    <row r="76" spans="1:5">
      <c r="A76" s="2944">
        <v>75</v>
      </c>
      <c r="B76" s="2951">
        <v>4</v>
      </c>
      <c r="C76" s="2952" t="s">
        <v>3054</v>
      </c>
      <c r="D76" s="2953">
        <v>613</v>
      </c>
      <c r="E76" s="2954">
        <v>30.11</v>
      </c>
    </row>
    <row r="77" spans="1:5">
      <c r="A77" s="2944">
        <v>76</v>
      </c>
      <c r="B77" s="2951">
        <v>4</v>
      </c>
      <c r="C77" s="2952" t="s">
        <v>3054</v>
      </c>
      <c r="D77" s="2953">
        <v>615</v>
      </c>
      <c r="E77" s="2954">
        <v>55.15</v>
      </c>
    </row>
    <row r="78" spans="1:5">
      <c r="A78" s="2944">
        <v>77</v>
      </c>
      <c r="B78" s="2951">
        <v>4</v>
      </c>
      <c r="C78" s="2952" t="s">
        <v>3054</v>
      </c>
      <c r="D78" s="2953">
        <v>616</v>
      </c>
      <c r="E78" s="2954">
        <v>67.94</v>
      </c>
    </row>
    <row r="79" spans="1:5">
      <c r="A79" s="2944">
        <v>78</v>
      </c>
      <c r="B79" s="2951">
        <v>4</v>
      </c>
      <c r="C79" s="2952" t="s">
        <v>3054</v>
      </c>
      <c r="D79" s="2953">
        <v>617</v>
      </c>
      <c r="E79" s="2954">
        <v>200.49</v>
      </c>
    </row>
    <row r="80" spans="1:5">
      <c r="A80" s="2944">
        <v>79</v>
      </c>
      <c r="B80" s="2955">
        <v>5</v>
      </c>
      <c r="C80" s="2945">
        <v>6</v>
      </c>
      <c r="D80" s="2945">
        <v>601</v>
      </c>
      <c r="E80" s="2946">
        <v>301.55</v>
      </c>
    </row>
    <row r="81" spans="1:5">
      <c r="A81" s="2944">
        <v>80</v>
      </c>
      <c r="B81" s="2955">
        <v>5</v>
      </c>
      <c r="C81" s="2945">
        <v>6</v>
      </c>
      <c r="D81" s="2945">
        <v>602</v>
      </c>
      <c r="E81" s="2946">
        <v>311.14</v>
      </c>
    </row>
    <row r="82" spans="1:5">
      <c r="A82" s="2944">
        <v>81</v>
      </c>
      <c r="B82" s="2955">
        <v>5</v>
      </c>
      <c r="C82" s="2945">
        <v>6</v>
      </c>
      <c r="D82" s="2945">
        <v>603</v>
      </c>
      <c r="E82" s="2946">
        <v>58.98</v>
      </c>
    </row>
    <row r="83" spans="1:5">
      <c r="A83" s="2944">
        <v>82</v>
      </c>
      <c r="B83" s="2955">
        <v>5</v>
      </c>
      <c r="C83" s="2945">
        <v>6</v>
      </c>
      <c r="D83" s="2945">
        <v>604</v>
      </c>
      <c r="E83" s="2946">
        <v>233.43</v>
      </c>
    </row>
    <row r="84" spans="1:5">
      <c r="A84" s="2944">
        <v>83</v>
      </c>
      <c r="B84" s="2947">
        <v>3</v>
      </c>
      <c r="C84" s="2948" t="s">
        <v>3055</v>
      </c>
      <c r="D84" s="2949">
        <v>701</v>
      </c>
      <c r="E84" s="2950">
        <v>2044.39</v>
      </c>
    </row>
    <row r="85" spans="1:5">
      <c r="E85" s="2956">
        <f>SUM(E2:E84)</f>
        <v>18849.449999999993</v>
      </c>
    </row>
  </sheetData>
  <mergeCells count="4">
    <mergeCell ref="H12:H13"/>
    <mergeCell ref="H14:H15"/>
    <mergeCell ref="H16:H17"/>
    <mergeCell ref="H18:H19"/>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49" workbookViewId="0">
      <selection activeCell="N171" sqref="N171"/>
    </sheetView>
  </sheetViews>
  <sheetFormatPr defaultRowHeight="13.5"/>
  <sheetData>
    <row r="1" spans="1:13" s="2983" customFormat="1" ht="12">
      <c r="A1" s="2983" t="s">
        <v>3132</v>
      </c>
      <c r="B1" s="2983" t="s">
        <v>3133</v>
      </c>
      <c r="C1" s="2983" t="s">
        <v>3134</v>
      </c>
      <c r="D1" s="2983" t="s">
        <v>3135</v>
      </c>
      <c r="E1" s="2983" t="s">
        <v>3136</v>
      </c>
      <c r="F1" s="2983" t="s">
        <v>3137</v>
      </c>
      <c r="G1" s="2983" t="s">
        <v>3138</v>
      </c>
      <c r="H1" s="2983" t="s">
        <v>3139</v>
      </c>
      <c r="I1" s="2983" t="s">
        <v>3140</v>
      </c>
      <c r="J1" s="2983" t="s">
        <v>3141</v>
      </c>
      <c r="K1" s="2983" t="s">
        <v>3142</v>
      </c>
      <c r="L1" s="2983" t="s">
        <v>3143</v>
      </c>
      <c r="M1" s="2983" t="s">
        <v>3144</v>
      </c>
    </row>
    <row r="2" spans="1:13" s="2983" customFormat="1" ht="12">
      <c r="A2" s="2983" t="s">
        <v>3145</v>
      </c>
      <c r="B2" s="2983" t="s">
        <v>3146</v>
      </c>
      <c r="C2" s="2983" t="s">
        <v>3147</v>
      </c>
      <c r="D2" s="2983">
        <v>44356.9</v>
      </c>
      <c r="E2" s="2983">
        <v>133070.70000000001</v>
      </c>
      <c r="F2" s="2983" t="s">
        <v>3148</v>
      </c>
      <c r="G2" s="2983" t="s">
        <v>3149</v>
      </c>
      <c r="H2" s="2983" t="s">
        <v>3150</v>
      </c>
      <c r="I2" s="2983">
        <v>37512.620000000003</v>
      </c>
      <c r="J2" s="2983">
        <v>37512.620000000003</v>
      </c>
      <c r="K2" s="2983">
        <v>2819</v>
      </c>
      <c r="L2" s="2983">
        <v>0</v>
      </c>
      <c r="M2" s="2983" t="s">
        <v>3151</v>
      </c>
    </row>
    <row r="3" spans="1:13" s="2983" customFormat="1" ht="12">
      <c r="A3" s="2983" t="s">
        <v>3152</v>
      </c>
      <c r="B3" s="2983" t="s">
        <v>3146</v>
      </c>
      <c r="C3" s="2983" t="s">
        <v>3147</v>
      </c>
      <c r="D3" s="2983">
        <v>30243.9</v>
      </c>
      <c r="E3" s="2983">
        <v>90731</v>
      </c>
      <c r="F3" s="2983" t="s">
        <v>3153</v>
      </c>
      <c r="G3" s="2983" t="s">
        <v>3149</v>
      </c>
      <c r="H3" s="2983" t="s">
        <v>3150</v>
      </c>
      <c r="I3" s="2983">
        <v>25858.33</v>
      </c>
      <c r="J3" s="2983">
        <v>25858.33</v>
      </c>
      <c r="K3" s="2983">
        <v>2850</v>
      </c>
      <c r="L3" s="2983">
        <v>0</v>
      </c>
      <c r="M3" s="2983" t="s">
        <v>3154</v>
      </c>
    </row>
    <row r="4" spans="1:13" s="2984" customFormat="1" ht="12">
      <c r="A4" s="2984" t="s">
        <v>3155</v>
      </c>
      <c r="B4" s="2984" t="s">
        <v>3146</v>
      </c>
      <c r="C4" s="2984" t="s">
        <v>3147</v>
      </c>
      <c r="D4" s="2984">
        <v>4053.02</v>
      </c>
      <c r="E4" s="2984">
        <v>8106</v>
      </c>
      <c r="F4" s="2984" t="s">
        <v>3156</v>
      </c>
      <c r="G4" s="2984" t="s">
        <v>3149</v>
      </c>
      <c r="H4" s="2984" t="s">
        <v>3157</v>
      </c>
      <c r="I4" s="2984">
        <v>2804.67</v>
      </c>
      <c r="J4" s="2984">
        <v>5682.31</v>
      </c>
      <c r="K4" s="2984">
        <v>7010</v>
      </c>
      <c r="L4" s="2984">
        <v>102.6</v>
      </c>
      <c r="M4" s="2984" t="s">
        <v>3158</v>
      </c>
    </row>
    <row r="5" spans="1:13" s="2983" customFormat="1" ht="12">
      <c r="A5" s="2983" t="s">
        <v>3159</v>
      </c>
      <c r="B5" s="2983" t="s">
        <v>3146</v>
      </c>
      <c r="C5" s="2983" t="s">
        <v>3147</v>
      </c>
      <c r="D5" s="2983">
        <v>32637.29</v>
      </c>
      <c r="E5" s="2983">
        <v>120499.4</v>
      </c>
      <c r="F5" s="2983" t="s">
        <v>3160</v>
      </c>
      <c r="G5" s="2983" t="s">
        <v>3149</v>
      </c>
      <c r="H5" s="2983" t="s">
        <v>3161</v>
      </c>
      <c r="I5" s="2983">
        <v>32534.83</v>
      </c>
      <c r="J5" s="2983">
        <v>56634.720000000001</v>
      </c>
      <c r="K5" s="2983">
        <v>4700</v>
      </c>
      <c r="L5" s="2983">
        <v>74.069999999999993</v>
      </c>
      <c r="M5" s="2983" t="s">
        <v>3162</v>
      </c>
    </row>
    <row r="6" spans="1:13" s="2983" customFormat="1" ht="12">
      <c r="A6" s="2983" t="s">
        <v>3163</v>
      </c>
      <c r="B6" s="2983" t="s">
        <v>3146</v>
      </c>
      <c r="C6" s="2983" t="s">
        <v>3147</v>
      </c>
      <c r="D6" s="2983">
        <v>19482.37</v>
      </c>
      <c r="E6" s="2983">
        <v>136376.6</v>
      </c>
      <c r="F6" s="2983" t="s">
        <v>3164</v>
      </c>
      <c r="G6" s="2983" t="s">
        <v>3149</v>
      </c>
      <c r="H6" s="2983" t="s">
        <v>3165</v>
      </c>
      <c r="I6" s="2983">
        <v>26593.43</v>
      </c>
      <c r="J6" s="2983">
        <v>26593.43</v>
      </c>
      <c r="K6" s="2983">
        <v>1950</v>
      </c>
      <c r="L6" s="2983">
        <v>0</v>
      </c>
      <c r="M6" s="2983" t="s">
        <v>3166</v>
      </c>
    </row>
    <row r="7" spans="1:13" s="2984" customFormat="1" ht="12">
      <c r="A7" s="2984" t="s">
        <v>3167</v>
      </c>
      <c r="B7" s="2984" t="s">
        <v>3146</v>
      </c>
      <c r="C7" s="2984" t="s">
        <v>3147</v>
      </c>
      <c r="D7" s="2984">
        <v>9787.69</v>
      </c>
      <c r="E7" s="2984">
        <v>29363</v>
      </c>
      <c r="F7" s="2984" t="s">
        <v>3168</v>
      </c>
      <c r="G7" s="2984" t="s">
        <v>3149</v>
      </c>
      <c r="H7" s="2984" t="s">
        <v>3169</v>
      </c>
      <c r="I7" s="2984">
        <v>8368.4500000000007</v>
      </c>
      <c r="J7" s="2984">
        <v>20260.47</v>
      </c>
      <c r="K7" s="2984">
        <v>6900</v>
      </c>
      <c r="L7" s="2984">
        <v>142.11000000000001</v>
      </c>
      <c r="M7" s="2984" t="s">
        <v>3170</v>
      </c>
    </row>
    <row r="8" spans="1:13" s="2983" customFormat="1" ht="12">
      <c r="A8" s="2983" t="s">
        <v>3171</v>
      </c>
      <c r="B8" s="2983" t="s">
        <v>3146</v>
      </c>
      <c r="C8" s="2983" t="s">
        <v>3147</v>
      </c>
      <c r="D8" s="2983">
        <v>7249.52</v>
      </c>
      <c r="E8" s="2983">
        <v>21748</v>
      </c>
      <c r="F8" s="2983" t="s">
        <v>3168</v>
      </c>
      <c r="G8" s="2983" t="s">
        <v>3149</v>
      </c>
      <c r="H8" s="2983" t="s">
        <v>3169</v>
      </c>
      <c r="I8" s="2983">
        <v>6111.18</v>
      </c>
      <c r="J8" s="2983">
        <v>12613.84</v>
      </c>
      <c r="K8" s="2983">
        <v>5800</v>
      </c>
      <c r="L8" s="2983">
        <v>106.41</v>
      </c>
      <c r="M8" s="2983" t="s">
        <v>3170</v>
      </c>
    </row>
    <row r="9" spans="1:13" s="2983" customFormat="1" ht="12">
      <c r="A9" s="2983" t="s">
        <v>3172</v>
      </c>
      <c r="B9" s="2983" t="s">
        <v>3146</v>
      </c>
      <c r="C9" s="2983" t="s">
        <v>3147</v>
      </c>
      <c r="D9" s="2983">
        <v>30428.29</v>
      </c>
      <c r="E9" s="2983">
        <v>91284</v>
      </c>
      <c r="F9" s="2983" t="s">
        <v>3168</v>
      </c>
      <c r="G9" s="2983" t="s">
        <v>3149</v>
      </c>
      <c r="H9" s="2983" t="s">
        <v>3173</v>
      </c>
      <c r="I9" s="2983">
        <v>26472.36</v>
      </c>
      <c r="J9" s="2983">
        <v>26563.63</v>
      </c>
      <c r="K9" s="2983">
        <v>2910</v>
      </c>
      <c r="L9" s="2983">
        <v>0.34</v>
      </c>
      <c r="M9" s="2983" t="s">
        <v>3174</v>
      </c>
    </row>
    <row r="10" spans="1:13" s="2983" customFormat="1" ht="12">
      <c r="A10" s="2983" t="s">
        <v>3175</v>
      </c>
      <c r="B10" s="2983" t="s">
        <v>3146</v>
      </c>
      <c r="C10" s="2983" t="s">
        <v>3147</v>
      </c>
      <c r="D10" s="2983">
        <v>11677.71</v>
      </c>
      <c r="E10" s="2983">
        <v>77072.89</v>
      </c>
      <c r="F10" s="2983" t="s">
        <v>3176</v>
      </c>
      <c r="G10" s="2983" t="s">
        <v>3149</v>
      </c>
      <c r="H10" s="2983" t="s">
        <v>3177</v>
      </c>
      <c r="I10" s="2983">
        <v>41264.83</v>
      </c>
      <c r="J10" s="2983">
        <v>41264.83</v>
      </c>
      <c r="K10" s="2983">
        <v>5354</v>
      </c>
      <c r="L10" s="2983">
        <v>0</v>
      </c>
      <c r="M10" s="2983" t="s">
        <v>3178</v>
      </c>
    </row>
    <row r="11" spans="1:13" s="2983" customFormat="1" ht="12">
      <c r="A11" s="2983" t="s">
        <v>3175</v>
      </c>
      <c r="B11" s="2983" t="s">
        <v>3146</v>
      </c>
      <c r="C11" s="2983" t="s">
        <v>3147</v>
      </c>
      <c r="D11" s="2983">
        <v>19312.560000000001</v>
      </c>
      <c r="E11" s="2983">
        <v>77250.240000000005</v>
      </c>
      <c r="F11" s="2983" t="s">
        <v>3179</v>
      </c>
      <c r="G11" s="2983" t="s">
        <v>3149</v>
      </c>
      <c r="H11" s="2983" t="s">
        <v>3177</v>
      </c>
      <c r="I11" s="2983">
        <v>45199.12</v>
      </c>
      <c r="J11" s="2983">
        <v>45199.12</v>
      </c>
      <c r="K11" s="2983">
        <v>5851</v>
      </c>
      <c r="L11" s="2983">
        <v>0</v>
      </c>
      <c r="M11" s="2983" t="s">
        <v>3178</v>
      </c>
    </row>
    <row r="12" spans="1:13" s="2983" customFormat="1" ht="12">
      <c r="A12" s="2983" t="s">
        <v>3180</v>
      </c>
      <c r="B12" s="2983" t="s">
        <v>3146</v>
      </c>
      <c r="C12" s="2983" t="s">
        <v>3147</v>
      </c>
      <c r="D12" s="2983">
        <v>29579.26</v>
      </c>
      <c r="E12" s="2983">
        <v>88737.78</v>
      </c>
      <c r="F12" s="2983" t="s">
        <v>3153</v>
      </c>
      <c r="G12" s="2983" t="s">
        <v>3149</v>
      </c>
      <c r="H12" s="2983" t="s">
        <v>3181</v>
      </c>
      <c r="I12" s="2983">
        <v>26621.33</v>
      </c>
      <c r="J12" s="2983">
        <v>40375.69</v>
      </c>
      <c r="K12" s="2983">
        <v>4550</v>
      </c>
      <c r="L12" s="2983">
        <v>51.67</v>
      </c>
      <c r="M12" s="2983" t="s">
        <v>3182</v>
      </c>
    </row>
    <row r="13" spans="1:13" s="2983" customFormat="1" ht="12">
      <c r="A13" s="2983" t="s">
        <v>3183</v>
      </c>
      <c r="B13" s="2983" t="s">
        <v>3146</v>
      </c>
      <c r="C13" s="2983" t="s">
        <v>3147</v>
      </c>
      <c r="D13" s="2983">
        <v>12584.31</v>
      </c>
      <c r="E13" s="2983">
        <v>17618.03</v>
      </c>
      <c r="F13" s="2983" t="s">
        <v>3184</v>
      </c>
      <c r="G13" s="2983" t="s">
        <v>3149</v>
      </c>
      <c r="H13" s="2983" t="s">
        <v>3185</v>
      </c>
      <c r="I13" s="2983">
        <v>3865.4</v>
      </c>
      <c r="J13" s="2983">
        <v>3865.4</v>
      </c>
      <c r="K13" s="2983">
        <v>2194</v>
      </c>
      <c r="L13" s="2983">
        <v>0</v>
      </c>
      <c r="M13" s="2983" t="s">
        <v>3186</v>
      </c>
    </row>
    <row r="14" spans="1:13" s="2983" customFormat="1" ht="12">
      <c r="A14" s="2983" t="s">
        <v>3187</v>
      </c>
      <c r="B14" s="2983" t="s">
        <v>3146</v>
      </c>
      <c r="C14" s="2983" t="s">
        <v>3147</v>
      </c>
      <c r="D14" s="2983">
        <v>18102.36</v>
      </c>
      <c r="E14" s="2983">
        <v>108614</v>
      </c>
      <c r="F14" s="2983" t="s">
        <v>3188</v>
      </c>
      <c r="G14" s="2983" t="s">
        <v>3189</v>
      </c>
      <c r="H14" s="2983" t="s">
        <v>3190</v>
      </c>
      <c r="I14" s="2983">
        <v>136875.39000000001</v>
      </c>
      <c r="J14" s="2983">
        <v>136875.39000000001</v>
      </c>
      <c r="K14" s="2983">
        <v>12602</v>
      </c>
      <c r="L14" s="2983">
        <v>0</v>
      </c>
      <c r="M14" s="2983" t="s">
        <v>3191</v>
      </c>
    </row>
    <row r="15" spans="1:13" s="2984" customFormat="1" ht="12">
      <c r="A15" s="2984" t="s">
        <v>3192</v>
      </c>
      <c r="B15" s="2984" t="s">
        <v>3146</v>
      </c>
      <c r="C15" s="2984" t="s">
        <v>3147</v>
      </c>
      <c r="D15" s="2984">
        <v>16666.689999999999</v>
      </c>
      <c r="E15" s="2984">
        <v>100000.1</v>
      </c>
      <c r="F15" s="2984" t="s">
        <v>3193</v>
      </c>
      <c r="G15" s="2984" t="s">
        <v>3149</v>
      </c>
      <c r="H15" s="2984" t="s">
        <v>3194</v>
      </c>
      <c r="I15" s="2984">
        <v>30000.04</v>
      </c>
      <c r="J15" s="2984">
        <v>71200.070000000007</v>
      </c>
      <c r="K15" s="2984">
        <v>7120</v>
      </c>
      <c r="L15" s="2984">
        <v>137.33000000000001</v>
      </c>
      <c r="M15" s="2984" t="s">
        <v>3195</v>
      </c>
    </row>
    <row r="16" spans="1:13" s="2983" customFormat="1" ht="12">
      <c r="A16" s="2983" t="s">
        <v>3196</v>
      </c>
      <c r="B16" s="2983" t="s">
        <v>3146</v>
      </c>
      <c r="C16" s="2983" t="s">
        <v>3147</v>
      </c>
      <c r="D16" s="2983">
        <v>24090.47</v>
      </c>
      <c r="E16" s="2983">
        <v>33726.660000000003</v>
      </c>
      <c r="F16" s="2983" t="s">
        <v>3184</v>
      </c>
      <c r="G16" s="2983" t="s">
        <v>3149</v>
      </c>
      <c r="H16" s="2983" t="s">
        <v>3197</v>
      </c>
      <c r="I16" s="2983">
        <v>6354.1</v>
      </c>
      <c r="J16" s="2983">
        <v>6354.1</v>
      </c>
      <c r="K16" s="2983">
        <v>1884</v>
      </c>
      <c r="L16" s="2983">
        <v>0</v>
      </c>
      <c r="M16" s="2983" t="s">
        <v>3198</v>
      </c>
    </row>
    <row r="17" spans="1:13" s="2983" customFormat="1" ht="12">
      <c r="A17" s="2983" t="s">
        <v>3199</v>
      </c>
      <c r="B17" s="2983" t="s">
        <v>3146</v>
      </c>
      <c r="C17" s="2983" t="s">
        <v>3147</v>
      </c>
      <c r="D17" s="2983">
        <v>3836</v>
      </c>
      <c r="E17" s="2983">
        <v>3836</v>
      </c>
      <c r="F17" s="2983" t="s">
        <v>1331</v>
      </c>
      <c r="G17" s="2983" t="s">
        <v>3149</v>
      </c>
      <c r="H17" s="2983" t="s">
        <v>3197</v>
      </c>
      <c r="I17" s="2983">
        <v>749.57</v>
      </c>
      <c r="J17" s="2983">
        <v>794.57</v>
      </c>
      <c r="K17" s="2983">
        <v>2071.34</v>
      </c>
      <c r="L17" s="2983">
        <v>6</v>
      </c>
      <c r="M17" s="2983" t="s">
        <v>3200</v>
      </c>
    </row>
    <row r="18" spans="1:13" s="2983" customFormat="1" ht="12">
      <c r="A18" s="2983" t="s">
        <v>3201</v>
      </c>
      <c r="B18" s="2983" t="s">
        <v>3146</v>
      </c>
      <c r="C18" s="2983" t="s">
        <v>3147</v>
      </c>
      <c r="D18" s="2983">
        <v>10730.54</v>
      </c>
      <c r="E18" s="2983">
        <v>15022.76</v>
      </c>
      <c r="F18" s="2983" t="s">
        <v>3184</v>
      </c>
      <c r="G18" s="2983" t="s">
        <v>3149</v>
      </c>
      <c r="H18" s="2983" t="s">
        <v>3197</v>
      </c>
      <c r="I18" s="2983">
        <v>2830.28</v>
      </c>
      <c r="J18" s="2983">
        <v>2830.28</v>
      </c>
      <c r="K18" s="2983">
        <v>1884</v>
      </c>
      <c r="L18" s="2983">
        <v>0</v>
      </c>
      <c r="M18" s="2983" t="s">
        <v>3201</v>
      </c>
    </row>
    <row r="19" spans="1:13" s="2983" customFormat="1" ht="12">
      <c r="A19" s="2983" t="s">
        <v>3202</v>
      </c>
      <c r="B19" s="2983" t="s">
        <v>3146</v>
      </c>
      <c r="C19" s="2983" t="s">
        <v>3147</v>
      </c>
      <c r="D19" s="2983">
        <v>26325.119999999999</v>
      </c>
      <c r="E19" s="2983">
        <v>119224</v>
      </c>
      <c r="F19" s="2983" t="s">
        <v>3203</v>
      </c>
      <c r="G19" s="2983" t="s">
        <v>3189</v>
      </c>
      <c r="H19" s="2983" t="s">
        <v>3204</v>
      </c>
      <c r="I19" s="2983">
        <v>47546.52</v>
      </c>
      <c r="J19" s="2983">
        <v>47570.37</v>
      </c>
      <c r="K19" s="2983">
        <v>3990</v>
      </c>
      <c r="L19" s="2983">
        <v>0.05</v>
      </c>
      <c r="M19" s="2983" t="s">
        <v>3205</v>
      </c>
    </row>
    <row r="20" spans="1:13" s="2983" customFormat="1" ht="12">
      <c r="A20" s="2983" t="s">
        <v>3206</v>
      </c>
      <c r="B20" s="2983" t="s">
        <v>3146</v>
      </c>
      <c r="C20" s="2983" t="s">
        <v>3147</v>
      </c>
      <c r="D20" s="2983">
        <v>11168.7</v>
      </c>
      <c r="E20" s="2983">
        <v>48025</v>
      </c>
      <c r="F20" s="2983" t="s">
        <v>3207</v>
      </c>
      <c r="G20" s="2983" t="s">
        <v>3149</v>
      </c>
      <c r="H20" s="2983" t="s">
        <v>3208</v>
      </c>
      <c r="I20" s="2983">
        <v>10123.67</v>
      </c>
      <c r="J20" s="2983">
        <v>13206.87</v>
      </c>
      <c r="K20" s="2983">
        <v>2750</v>
      </c>
      <c r="L20" s="2983">
        <v>30.46</v>
      </c>
      <c r="M20" s="2983" t="s">
        <v>3209</v>
      </c>
    </row>
    <row r="21" spans="1:13" s="2983" customFormat="1" ht="12">
      <c r="A21" s="2983" t="s">
        <v>3210</v>
      </c>
      <c r="B21" s="2983" t="s">
        <v>3146</v>
      </c>
      <c r="C21" s="2983" t="s">
        <v>3147</v>
      </c>
      <c r="D21" s="2983">
        <v>13959.49</v>
      </c>
      <c r="E21" s="2983">
        <v>62817</v>
      </c>
      <c r="F21" s="2983" t="s">
        <v>3211</v>
      </c>
      <c r="G21" s="2983" t="s">
        <v>3149</v>
      </c>
      <c r="H21" s="2983" t="s">
        <v>3208</v>
      </c>
      <c r="I21" s="2983">
        <v>12676.46</v>
      </c>
      <c r="J21" s="2983">
        <v>17777.2</v>
      </c>
      <c r="K21" s="2983">
        <v>2830</v>
      </c>
      <c r="L21" s="2983">
        <v>40.24</v>
      </c>
      <c r="M21" s="2983" t="s">
        <v>3212</v>
      </c>
    </row>
    <row r="22" spans="1:13" s="2983" customFormat="1" ht="12">
      <c r="A22" s="2983" t="s">
        <v>3213</v>
      </c>
      <c r="B22" s="2983" t="s">
        <v>3146</v>
      </c>
      <c r="C22" s="2983" t="s">
        <v>3147</v>
      </c>
      <c r="D22" s="2983">
        <v>2249.9899999999998</v>
      </c>
      <c r="E22" s="2983">
        <v>5624</v>
      </c>
      <c r="F22" s="2983" t="s">
        <v>3214</v>
      </c>
      <c r="G22" s="2983" t="s">
        <v>3149</v>
      </c>
      <c r="H22" s="2983" t="s">
        <v>3215</v>
      </c>
      <c r="I22" s="2983">
        <v>3051</v>
      </c>
      <c r="J22" s="2983">
        <v>3051</v>
      </c>
      <c r="K22" s="2983">
        <v>5424.96</v>
      </c>
      <c r="L22" s="2983">
        <v>0</v>
      </c>
      <c r="M22" s="2983" t="s">
        <v>3216</v>
      </c>
    </row>
    <row r="23" spans="1:13" s="2983" customFormat="1" ht="12">
      <c r="A23" s="2983" t="s">
        <v>3217</v>
      </c>
      <c r="B23" s="2983" t="s">
        <v>3146</v>
      </c>
      <c r="C23" s="2983" t="s">
        <v>3147</v>
      </c>
      <c r="D23" s="2983">
        <v>4955.3599999999997</v>
      </c>
      <c r="E23" s="2983">
        <v>14866</v>
      </c>
      <c r="F23" s="2983" t="s">
        <v>3218</v>
      </c>
      <c r="G23" s="2983" t="s">
        <v>3149</v>
      </c>
      <c r="H23" s="2983" t="s">
        <v>3219</v>
      </c>
      <c r="I23" s="2983">
        <v>1114.95</v>
      </c>
      <c r="J23" s="2983">
        <v>2750.21</v>
      </c>
      <c r="K23" s="2983">
        <v>1850</v>
      </c>
      <c r="L23" s="2983">
        <v>146.66999999999999</v>
      </c>
      <c r="M23" s="2983" t="s">
        <v>3220</v>
      </c>
    </row>
    <row r="24" spans="1:13" s="2983" customFormat="1" ht="12">
      <c r="A24" s="2983" t="s">
        <v>3221</v>
      </c>
      <c r="B24" s="2983" t="s">
        <v>3146</v>
      </c>
      <c r="C24" s="2983" t="s">
        <v>3147</v>
      </c>
      <c r="D24" s="2983">
        <v>3286.27</v>
      </c>
      <c r="E24" s="2983">
        <v>26290.16</v>
      </c>
      <c r="F24" s="2983" t="s">
        <v>3222</v>
      </c>
      <c r="G24" s="2983" t="s">
        <v>3149</v>
      </c>
      <c r="H24" s="2983" t="s">
        <v>3219</v>
      </c>
      <c r="I24" s="2983">
        <v>13933.78</v>
      </c>
      <c r="J24" s="2983">
        <v>13933.78</v>
      </c>
      <c r="K24" s="2983">
        <v>5300</v>
      </c>
      <c r="L24" s="2983">
        <v>0</v>
      </c>
      <c r="M24" s="2983" t="s">
        <v>3223</v>
      </c>
    </row>
    <row r="25" spans="1:13" s="2983" customFormat="1" ht="12">
      <c r="A25" s="2983" t="s">
        <v>3224</v>
      </c>
      <c r="B25" s="2983" t="s">
        <v>3146</v>
      </c>
      <c r="C25" s="2983" t="s">
        <v>3147</v>
      </c>
      <c r="D25" s="2983">
        <v>28391.53</v>
      </c>
      <c r="E25" s="2983">
        <v>42587.29</v>
      </c>
      <c r="F25" s="2983" t="s">
        <v>3225</v>
      </c>
      <c r="G25" s="2983" t="s">
        <v>3149</v>
      </c>
      <c r="H25" s="2983" t="s">
        <v>3226</v>
      </c>
      <c r="I25" s="2983">
        <v>21293.65</v>
      </c>
      <c r="J25" s="2983">
        <v>21293.65</v>
      </c>
      <c r="K25" s="2983">
        <v>5000</v>
      </c>
      <c r="L25" s="2983">
        <v>0</v>
      </c>
      <c r="M25" s="2983" t="s">
        <v>3227</v>
      </c>
    </row>
    <row r="26" spans="1:13" s="2983" customFormat="1" ht="12">
      <c r="A26" s="2983" t="s">
        <v>3228</v>
      </c>
      <c r="B26" s="2983" t="s">
        <v>3146</v>
      </c>
      <c r="C26" s="2983" t="s">
        <v>3147</v>
      </c>
      <c r="D26" s="2983">
        <v>2690.48</v>
      </c>
      <c r="E26" s="2983">
        <v>4304</v>
      </c>
      <c r="F26" s="2983" t="s">
        <v>3229</v>
      </c>
      <c r="G26" s="2983" t="s">
        <v>3149</v>
      </c>
      <c r="H26" s="2983" t="s">
        <v>3230</v>
      </c>
      <c r="I26" s="2983">
        <v>1196.5</v>
      </c>
      <c r="J26" s="2983">
        <v>1721.59</v>
      </c>
      <c r="K26" s="2983">
        <v>4000</v>
      </c>
      <c r="L26" s="2983">
        <v>43.89</v>
      </c>
      <c r="M26" s="2983" t="s">
        <v>3231</v>
      </c>
    </row>
    <row r="27" spans="1:13" s="2983" customFormat="1" ht="12">
      <c r="A27" s="2983" t="s">
        <v>3232</v>
      </c>
      <c r="B27" s="2983" t="s">
        <v>3146</v>
      </c>
      <c r="C27" s="2983" t="s">
        <v>3147</v>
      </c>
      <c r="D27" s="2983">
        <v>4640.0200000000004</v>
      </c>
      <c r="E27" s="2983">
        <v>7424</v>
      </c>
      <c r="F27" s="2983" t="s">
        <v>3229</v>
      </c>
      <c r="G27" s="2983" t="s">
        <v>3149</v>
      </c>
      <c r="H27" s="2983" t="s">
        <v>3230</v>
      </c>
      <c r="I27" s="2983">
        <v>2394.23</v>
      </c>
      <c r="J27" s="2983">
        <v>3296.26</v>
      </c>
      <c r="K27" s="2983">
        <v>4440.01</v>
      </c>
      <c r="L27" s="2983">
        <v>37.67</v>
      </c>
      <c r="M27" s="2983" t="s">
        <v>3233</v>
      </c>
    </row>
    <row r="28" spans="1:13" s="2983" customFormat="1" ht="12">
      <c r="A28" s="2983" t="s">
        <v>3234</v>
      </c>
      <c r="B28" s="2983" t="s">
        <v>3146</v>
      </c>
      <c r="C28" s="2983" t="s">
        <v>3147</v>
      </c>
      <c r="D28" s="2983">
        <v>3308.01</v>
      </c>
      <c r="E28" s="2983">
        <v>7939</v>
      </c>
      <c r="F28" s="2983" t="s">
        <v>3235</v>
      </c>
      <c r="G28" s="2983" t="s">
        <v>3149</v>
      </c>
      <c r="H28" s="2983" t="s">
        <v>3230</v>
      </c>
      <c r="I28" s="2983">
        <v>1516.34</v>
      </c>
      <c r="J28" s="2983">
        <v>2024.45</v>
      </c>
      <c r="K28" s="2983">
        <v>2550.0100000000002</v>
      </c>
      <c r="L28" s="2983">
        <v>33.51</v>
      </c>
      <c r="M28" s="2983" t="s">
        <v>3231</v>
      </c>
    </row>
    <row r="29" spans="1:13" s="2983" customFormat="1" ht="12">
      <c r="A29" s="2983" t="s">
        <v>3236</v>
      </c>
      <c r="B29" s="2983" t="s">
        <v>3146</v>
      </c>
      <c r="C29" s="2983" t="s">
        <v>3147</v>
      </c>
      <c r="D29" s="2983">
        <v>16928.150000000001</v>
      </c>
      <c r="E29" s="2983">
        <v>33856.300000000003</v>
      </c>
      <c r="F29" s="2983" t="s">
        <v>3237</v>
      </c>
      <c r="G29" s="2983" t="s">
        <v>3149</v>
      </c>
      <c r="H29" s="2983" t="s">
        <v>3238</v>
      </c>
      <c r="I29" s="2983">
        <v>4465.6400000000003</v>
      </c>
      <c r="J29" s="2983">
        <v>4465.6400000000003</v>
      </c>
      <c r="K29" s="2983">
        <v>1319</v>
      </c>
      <c r="L29" s="2983">
        <v>0</v>
      </c>
      <c r="M29" s="2983" t="s">
        <v>3239</v>
      </c>
    </row>
    <row r="30" spans="1:13" s="2983" customFormat="1" ht="12">
      <c r="A30" s="2983" t="s">
        <v>3199</v>
      </c>
      <c r="B30" s="2983" t="s">
        <v>3146</v>
      </c>
      <c r="C30" s="2983" t="s">
        <v>3147</v>
      </c>
      <c r="D30" s="2983">
        <v>5100</v>
      </c>
      <c r="E30" s="2983" t="s">
        <v>1331</v>
      </c>
      <c r="F30" s="2983" t="s">
        <v>3240</v>
      </c>
      <c r="G30" s="2983" t="s">
        <v>3149</v>
      </c>
      <c r="H30" s="2983" t="s">
        <v>3241</v>
      </c>
      <c r="I30" s="2983">
        <v>1208.7</v>
      </c>
      <c r="J30" s="2983">
        <v>1208.7</v>
      </c>
      <c r="K30" s="2983" t="s">
        <v>1331</v>
      </c>
      <c r="L30" s="2983">
        <v>0</v>
      </c>
      <c r="M30" s="2983" t="s">
        <v>3242</v>
      </c>
    </row>
    <row r="31" spans="1:13" s="2983" customFormat="1" ht="12">
      <c r="A31" s="2983" t="s">
        <v>3243</v>
      </c>
      <c r="B31" s="2983" t="s">
        <v>3146</v>
      </c>
      <c r="C31" s="2983" t="s">
        <v>3147</v>
      </c>
      <c r="D31" s="2983">
        <v>5400.01</v>
      </c>
      <c r="E31" s="2983">
        <v>16200.03</v>
      </c>
      <c r="F31" s="2983" t="s">
        <v>3244</v>
      </c>
      <c r="G31" s="2983" t="s">
        <v>3149</v>
      </c>
      <c r="H31" s="2983" t="s">
        <v>3245</v>
      </c>
      <c r="I31" s="2983">
        <v>1709.09</v>
      </c>
      <c r="J31" s="2983">
        <v>1709.09</v>
      </c>
      <c r="K31" s="2983">
        <v>1055</v>
      </c>
      <c r="L31" s="2983">
        <v>0</v>
      </c>
      <c r="M31" s="2983" t="s">
        <v>3246</v>
      </c>
    </row>
    <row r="32" spans="1:13" s="2983" customFormat="1" ht="12">
      <c r="A32" s="2983" t="s">
        <v>3247</v>
      </c>
      <c r="B32" s="2983" t="s">
        <v>3146</v>
      </c>
      <c r="C32" s="2983" t="s">
        <v>3147</v>
      </c>
      <c r="D32" s="2983">
        <v>21350.33</v>
      </c>
      <c r="E32" s="2983">
        <v>42700.66</v>
      </c>
      <c r="F32" s="2983" t="s">
        <v>3237</v>
      </c>
      <c r="G32" s="2983" t="s">
        <v>3149</v>
      </c>
      <c r="H32" s="2983" t="s">
        <v>3245</v>
      </c>
      <c r="I32" s="2983">
        <v>5495.56</v>
      </c>
      <c r="J32" s="2983">
        <v>5495.56</v>
      </c>
      <c r="K32" s="2983">
        <v>1287</v>
      </c>
      <c r="L32" s="2983">
        <v>0</v>
      </c>
      <c r="M32" s="2983" t="s">
        <v>3248</v>
      </c>
    </row>
    <row r="33" spans="1:13" s="2983" customFormat="1" ht="12">
      <c r="A33" s="2983" t="s">
        <v>3249</v>
      </c>
      <c r="B33" s="2983" t="s">
        <v>3146</v>
      </c>
      <c r="C33" s="2983" t="s">
        <v>3147</v>
      </c>
      <c r="D33" s="2983">
        <v>9235.6200000000008</v>
      </c>
      <c r="E33" s="2983">
        <v>27706.86</v>
      </c>
      <c r="F33" s="2983" t="s">
        <v>3250</v>
      </c>
      <c r="G33" s="2983" t="s">
        <v>3149</v>
      </c>
      <c r="H33" s="2983" t="s">
        <v>3251</v>
      </c>
      <c r="I33" s="2983">
        <v>3047.75</v>
      </c>
      <c r="J33" s="2983">
        <v>10944.2</v>
      </c>
      <c r="K33" s="2983">
        <v>3950</v>
      </c>
      <c r="L33" s="2983">
        <v>259.08999999999997</v>
      </c>
      <c r="M33" s="2983" t="s">
        <v>3252</v>
      </c>
    </row>
    <row r="34" spans="1:13" s="2983" customFormat="1" ht="12">
      <c r="A34" s="2983" t="s">
        <v>3253</v>
      </c>
      <c r="B34" s="2983" t="s">
        <v>3146</v>
      </c>
      <c r="C34" s="2983" t="s">
        <v>3147</v>
      </c>
      <c r="D34" s="2983">
        <v>23191.18</v>
      </c>
      <c r="E34" s="2983">
        <v>104360.3</v>
      </c>
      <c r="F34" s="2983" t="s">
        <v>3254</v>
      </c>
      <c r="G34" s="2983" t="s">
        <v>3149</v>
      </c>
      <c r="H34" s="2983" t="s">
        <v>3255</v>
      </c>
      <c r="I34" s="2983">
        <v>7900.07</v>
      </c>
      <c r="J34" s="2983">
        <v>7900.07</v>
      </c>
      <c r="K34" s="2983">
        <v>757</v>
      </c>
      <c r="L34" s="2983">
        <v>0</v>
      </c>
      <c r="M34" s="2983" t="s">
        <v>3256</v>
      </c>
    </row>
    <row r="35" spans="1:13" s="2983" customFormat="1" ht="12">
      <c r="A35" s="2983" t="s">
        <v>3257</v>
      </c>
      <c r="B35" s="2983" t="s">
        <v>3146</v>
      </c>
      <c r="C35" s="2983" t="s">
        <v>3147</v>
      </c>
      <c r="D35" s="2983">
        <v>8231.2099999999991</v>
      </c>
      <c r="E35" s="2983">
        <v>65849.679999999993</v>
      </c>
      <c r="F35" s="2983" t="s">
        <v>3222</v>
      </c>
      <c r="G35" s="2983" t="s">
        <v>3149</v>
      </c>
      <c r="H35" s="2983" t="s">
        <v>3258</v>
      </c>
      <c r="I35" s="2983">
        <v>52172.69</v>
      </c>
      <c r="J35" s="2983">
        <v>52172.69</v>
      </c>
      <c r="K35" s="2983">
        <v>7923</v>
      </c>
      <c r="L35" s="2983">
        <v>0</v>
      </c>
      <c r="M35" s="2983" t="s">
        <v>3259</v>
      </c>
    </row>
    <row r="36" spans="1:13" s="2983" customFormat="1" ht="12">
      <c r="A36" s="2983" t="s">
        <v>3260</v>
      </c>
      <c r="B36" s="2983" t="s">
        <v>3146</v>
      </c>
      <c r="C36" s="2983" t="s">
        <v>3147</v>
      </c>
      <c r="D36" s="2983">
        <v>35293.03</v>
      </c>
      <c r="E36" s="2983">
        <v>176465.2</v>
      </c>
      <c r="F36" s="2983" t="s">
        <v>3261</v>
      </c>
      <c r="G36" s="2983" t="s">
        <v>3149</v>
      </c>
      <c r="H36" s="2983" t="s">
        <v>3258</v>
      </c>
      <c r="I36" s="2983">
        <v>46410.33</v>
      </c>
      <c r="J36" s="2983">
        <v>46410.33</v>
      </c>
      <c r="K36" s="2983">
        <v>2630</v>
      </c>
      <c r="L36" s="2983">
        <v>0</v>
      </c>
      <c r="M36" s="2983" t="s">
        <v>3262</v>
      </c>
    </row>
    <row r="37" spans="1:13" s="2983" customFormat="1" ht="12">
      <c r="A37" s="2983" t="s">
        <v>3263</v>
      </c>
      <c r="B37" s="2983" t="s">
        <v>3146</v>
      </c>
      <c r="C37" s="2983" t="s">
        <v>3147</v>
      </c>
      <c r="D37" s="2983">
        <v>17318.53</v>
      </c>
      <c r="E37" s="2983">
        <v>34637.06</v>
      </c>
      <c r="F37" s="2983" t="s">
        <v>3237</v>
      </c>
      <c r="G37" s="2983" t="s">
        <v>3149</v>
      </c>
      <c r="H37" s="2983" t="s">
        <v>3264</v>
      </c>
      <c r="I37" s="2983">
        <v>4568.63</v>
      </c>
      <c r="J37" s="2983">
        <v>4568.63</v>
      </c>
      <c r="K37" s="2983">
        <v>1319</v>
      </c>
      <c r="L37" s="2983">
        <v>0</v>
      </c>
      <c r="M37" s="2983" t="s">
        <v>3265</v>
      </c>
    </row>
    <row r="38" spans="1:13" s="2983" customFormat="1" ht="12">
      <c r="A38" s="2983" t="s">
        <v>3266</v>
      </c>
      <c r="B38" s="2983" t="s">
        <v>3146</v>
      </c>
      <c r="C38" s="2983" t="s">
        <v>3147</v>
      </c>
      <c r="D38" s="2983">
        <v>14923.14</v>
      </c>
      <c r="E38" s="2983">
        <v>59692.56</v>
      </c>
      <c r="F38" s="2983" t="s">
        <v>3267</v>
      </c>
      <c r="G38" s="2983" t="s">
        <v>3149</v>
      </c>
      <c r="H38" s="2983" t="s">
        <v>3264</v>
      </c>
      <c r="I38" s="2983">
        <v>3939.71</v>
      </c>
      <c r="J38" s="2983">
        <v>3939.71</v>
      </c>
      <c r="K38" s="2983">
        <v>660</v>
      </c>
      <c r="L38" s="2983">
        <v>0</v>
      </c>
      <c r="M38" s="2983" t="s">
        <v>3268</v>
      </c>
    </row>
    <row r="39" spans="1:13" s="2983" customFormat="1" ht="12">
      <c r="A39" s="2983" t="s">
        <v>3266</v>
      </c>
      <c r="B39" s="2983" t="s">
        <v>3146</v>
      </c>
      <c r="C39" s="2983" t="s">
        <v>3147</v>
      </c>
      <c r="D39" s="2983">
        <v>8564.4599999999991</v>
      </c>
      <c r="E39" s="2983">
        <v>11990.24</v>
      </c>
      <c r="F39" s="2983" t="s">
        <v>3269</v>
      </c>
      <c r="G39" s="2983" t="s">
        <v>3149</v>
      </c>
      <c r="H39" s="2983" t="s">
        <v>3264</v>
      </c>
      <c r="I39" s="2983">
        <v>2205.0100000000002</v>
      </c>
      <c r="J39" s="2983">
        <v>2205.0100000000002</v>
      </c>
      <c r="K39" s="2983">
        <v>1839</v>
      </c>
      <c r="L39" s="2983">
        <v>0</v>
      </c>
      <c r="M39" s="2983" t="s">
        <v>3270</v>
      </c>
    </row>
    <row r="40" spans="1:13" s="2983" customFormat="1" ht="12">
      <c r="A40" s="2983" t="s">
        <v>3271</v>
      </c>
      <c r="B40" s="2983" t="s">
        <v>3146</v>
      </c>
      <c r="C40" s="2983" t="s">
        <v>3147</v>
      </c>
      <c r="D40" s="2983">
        <v>44283.17</v>
      </c>
      <c r="E40" s="2983">
        <v>177132.7</v>
      </c>
      <c r="F40" s="2983" t="s">
        <v>3267</v>
      </c>
      <c r="G40" s="2983" t="s">
        <v>3149</v>
      </c>
      <c r="H40" s="2983" t="s">
        <v>3264</v>
      </c>
      <c r="I40" s="2983">
        <v>19927.43</v>
      </c>
      <c r="J40" s="2983">
        <v>19927.43</v>
      </c>
      <c r="K40" s="2983">
        <v>1125</v>
      </c>
      <c r="L40" s="2983">
        <v>0</v>
      </c>
      <c r="M40" s="2983" t="s">
        <v>3272</v>
      </c>
    </row>
    <row r="41" spans="1:13" s="2983" customFormat="1" ht="12">
      <c r="A41" s="2983" t="s">
        <v>3273</v>
      </c>
      <c r="B41" s="2983" t="s">
        <v>3146</v>
      </c>
      <c r="C41" s="2983" t="s">
        <v>3147</v>
      </c>
      <c r="D41" s="2983">
        <v>18739.14</v>
      </c>
      <c r="E41" s="2983">
        <v>74956.56</v>
      </c>
      <c r="F41" s="2983" t="s">
        <v>3267</v>
      </c>
      <c r="G41" s="2983" t="s">
        <v>3149</v>
      </c>
      <c r="H41" s="2983" t="s">
        <v>3274</v>
      </c>
      <c r="I41" s="2983">
        <v>6041.5</v>
      </c>
      <c r="J41" s="2983">
        <v>6041.5</v>
      </c>
      <c r="K41" s="2983">
        <v>806</v>
      </c>
      <c r="L41" s="2983">
        <v>0</v>
      </c>
      <c r="M41" s="2983" t="s">
        <v>3275</v>
      </c>
    </row>
    <row r="42" spans="1:13" s="2983" customFormat="1" ht="12">
      <c r="A42" s="2983" t="s">
        <v>3276</v>
      </c>
      <c r="B42" s="2983" t="s">
        <v>3146</v>
      </c>
      <c r="C42" s="2983" t="s">
        <v>3147</v>
      </c>
      <c r="D42" s="2983">
        <v>15602.61</v>
      </c>
      <c r="E42" s="2983">
        <v>21843.65</v>
      </c>
      <c r="F42" s="2983" t="s">
        <v>3277</v>
      </c>
      <c r="G42" s="2983" t="s">
        <v>3149</v>
      </c>
      <c r="H42" s="2983" t="s">
        <v>3278</v>
      </c>
      <c r="I42" s="2983">
        <v>3484.05</v>
      </c>
      <c r="J42" s="2983">
        <v>3484.05</v>
      </c>
      <c r="K42" s="2983">
        <v>1595</v>
      </c>
      <c r="L42" s="2983">
        <v>0</v>
      </c>
      <c r="M42" s="2983" t="s">
        <v>3279</v>
      </c>
    </row>
    <row r="43" spans="1:13" s="2983" customFormat="1" ht="12">
      <c r="A43" s="2983" t="s">
        <v>3280</v>
      </c>
      <c r="B43" s="2983" t="s">
        <v>3146</v>
      </c>
      <c r="C43" s="2983" t="s">
        <v>3147</v>
      </c>
      <c r="D43" s="2983">
        <v>30063.9</v>
      </c>
      <c r="E43" s="2983">
        <v>60127.8</v>
      </c>
      <c r="F43" s="2983" t="s">
        <v>3281</v>
      </c>
      <c r="G43" s="2983" t="s">
        <v>3149</v>
      </c>
      <c r="H43" s="2983" t="s">
        <v>3282</v>
      </c>
      <c r="I43" s="2983">
        <v>6493.8</v>
      </c>
      <c r="J43" s="2983">
        <v>6493.8</v>
      </c>
      <c r="K43" s="2983">
        <v>1080</v>
      </c>
      <c r="L43" s="2983">
        <v>0</v>
      </c>
      <c r="M43" s="2983" t="s">
        <v>3283</v>
      </c>
    </row>
    <row r="44" spans="1:13" s="2983" customFormat="1" ht="12">
      <c r="A44" s="2983" t="s">
        <v>3284</v>
      </c>
      <c r="B44" s="2983" t="s">
        <v>3146</v>
      </c>
      <c r="C44" s="2983" t="s">
        <v>3147</v>
      </c>
      <c r="D44" s="2983">
        <v>28268.9</v>
      </c>
      <c r="E44" s="2983">
        <v>39576.46</v>
      </c>
      <c r="F44" s="2983" t="s">
        <v>3277</v>
      </c>
      <c r="G44" s="2983" t="s">
        <v>3149</v>
      </c>
      <c r="H44" s="2983" t="s">
        <v>3285</v>
      </c>
      <c r="I44" s="2983">
        <v>6106.64</v>
      </c>
      <c r="J44" s="2983">
        <v>6106.64</v>
      </c>
      <c r="K44" s="2983">
        <v>1543</v>
      </c>
      <c r="L44" s="2983">
        <v>0</v>
      </c>
      <c r="M44" s="2983" t="s">
        <v>3286</v>
      </c>
    </row>
    <row r="45" spans="1:13" s="2983" customFormat="1" ht="12">
      <c r="A45" s="2983" t="s">
        <v>3287</v>
      </c>
      <c r="B45" s="2983" t="s">
        <v>3146</v>
      </c>
      <c r="C45" s="2983" t="s">
        <v>3147</v>
      </c>
      <c r="D45" s="2983">
        <v>5748.17</v>
      </c>
      <c r="E45" s="2983">
        <v>34489.019999999997</v>
      </c>
      <c r="F45" s="2983" t="s">
        <v>3288</v>
      </c>
      <c r="G45" s="2983" t="s">
        <v>3189</v>
      </c>
      <c r="H45" s="2983" t="s">
        <v>3289</v>
      </c>
      <c r="I45" s="2983">
        <v>7760.02</v>
      </c>
      <c r="J45" s="2983">
        <v>13968.04</v>
      </c>
      <c r="K45" s="2983">
        <v>4050</v>
      </c>
      <c r="L45" s="2983">
        <v>80</v>
      </c>
      <c r="M45" s="2983" t="s">
        <v>3290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1641</v>
      </c>
      <c r="B2" s="3015" t="s">
        <v>1642</v>
      </c>
      <c r="C2" s="3015" t="s">
        <v>1643</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44" t="s">
        <v>1638</v>
      </c>
      <c r="E3" s="1044" t="s">
        <v>1644</v>
      </c>
      <c r="F3" s="1044" t="s">
        <v>1638</v>
      </c>
      <c r="G3" s="1044" t="s">
        <v>1639</v>
      </c>
      <c r="H3" s="1044" t="s">
        <v>1638</v>
      </c>
      <c r="I3" s="1044" t="s">
        <v>1639</v>
      </c>
    </row>
    <row r="4" spans="1:9" ht="45">
      <c r="A4" s="1972" t="str">
        <f>项目基本情况!S2</f>
        <v>四川省成都市高新区交子大道300号出让国有建设用地使用权及在建建筑物房地产</v>
      </c>
      <c r="B4" s="1044">
        <f>项目基本情况!C17</f>
        <v>164273</v>
      </c>
      <c r="C4" s="1044">
        <f>项目基本情况!C18</f>
        <v>13142.44</v>
      </c>
      <c r="D4" s="1044" t="e">
        <f ca="1">结果表!D118</f>
        <v>#REF!</v>
      </c>
      <c r="E4" s="1044" t="e">
        <f ca="1">结果表!E118</f>
        <v>#REF!</v>
      </c>
      <c r="F4" s="1044" t="e">
        <f ca="1">结果表!F118</f>
        <v>#REF!</v>
      </c>
      <c r="G4" s="1044" t="e">
        <f ca="1">结果表!G118</f>
        <v>#REF!</v>
      </c>
      <c r="H4" s="1044">
        <f ca="1">结果表!H118</f>
        <v>188179</v>
      </c>
      <c r="I4" s="1044">
        <f ca="1">结果表!I118</f>
        <v>11455</v>
      </c>
    </row>
    <row r="5" spans="1:9" ht="30" customHeight="1">
      <c r="A5" s="3009" t="s">
        <v>1640</v>
      </c>
      <c r="B5" s="3009"/>
      <c r="C5" s="3009"/>
      <c r="D5" s="3010" t="e">
        <f ca="1">结果表!D119</f>
        <v>#REF!</v>
      </c>
      <c r="E5" s="3010"/>
      <c r="F5" s="3010" t="e">
        <f ca="1">结果表!F119</f>
        <v>#REF!</v>
      </c>
      <c r="G5" s="3010"/>
      <c r="H5" s="3010" t="str">
        <f ca="1">结果表!H119</f>
        <v>壹拾捌亿捌仟壹佰柒拾玖万元整</v>
      </c>
      <c r="I5" s="3010"/>
    </row>
    <row r="6" spans="1:9" ht="15.75">
      <c r="A6" s="3008" t="str">
        <f>结果表!A120</f>
        <v>估价师知悉的法定优先受偿款</v>
      </c>
      <c r="B6" s="3008"/>
      <c r="C6" s="3008"/>
      <c r="D6" s="3008">
        <f>结果表!D120</f>
        <v>1600</v>
      </c>
      <c r="E6" s="3008"/>
      <c r="F6" s="3008"/>
      <c r="G6" s="3008"/>
      <c r="H6" s="3008"/>
      <c r="I6" s="3008"/>
    </row>
    <row r="7" spans="1:9" ht="15">
      <c r="A7" s="3009" t="s">
        <v>1640</v>
      </c>
      <c r="B7" s="3009"/>
      <c r="C7" s="3009"/>
      <c r="D7" s="3011" t="str">
        <f>结果表!D121</f>
        <v>壹仟陆佰万元整</v>
      </c>
      <c r="E7" s="3012"/>
      <c r="F7" s="3012"/>
      <c r="G7" s="3012"/>
      <c r="H7" s="3012"/>
      <c r="I7" s="3013"/>
    </row>
    <row r="8" spans="1:9" ht="15.75">
      <c r="A8" s="3008" t="str">
        <f>结果表!A122</f>
        <v>房地产抵押价值</v>
      </c>
      <c r="B8" s="3008"/>
      <c r="C8" s="3008"/>
      <c r="D8" s="3008">
        <f ca="1">结果表!D122</f>
        <v>186579</v>
      </c>
      <c r="E8" s="3008"/>
      <c r="F8" s="3008"/>
      <c r="G8" s="3008"/>
      <c r="H8" s="3008"/>
      <c r="I8" s="3008"/>
    </row>
    <row r="9" spans="1:9" ht="15">
      <c r="A9" s="3009" t="s">
        <v>1640</v>
      </c>
      <c r="B9" s="3009"/>
      <c r="C9" s="3009"/>
      <c r="D9" s="3010" t="str">
        <f ca="1">结果表!D123</f>
        <v>壹拾捌亿陆仟伍佰柒拾玖万元整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1640</v>
      </c>
      <c r="B11" s="3009"/>
      <c r="C11" s="3009"/>
      <c r="D11" s="3010" t="e">
        <f>结果表!D125</f>
        <v>#VALUE!</v>
      </c>
      <c r="E11" s="3010"/>
      <c r="F11" s="3010"/>
      <c r="G11" s="3010"/>
      <c r="H11" s="3010"/>
      <c r="I11" s="3010"/>
    </row>
    <row r="12" spans="1:9" ht="15.75">
      <c r="A12" s="3008" t="str">
        <f>结果表!A126</f>
        <v>抵押净值</v>
      </c>
      <c r="B12" s="3008"/>
      <c r="C12" s="3008"/>
      <c r="D12" s="3008">
        <f ca="1">结果表!D126</f>
        <v>205754</v>
      </c>
      <c r="E12" s="3008"/>
      <c r="F12" s="3008"/>
      <c r="G12" s="3008"/>
      <c r="H12" s="3008"/>
      <c r="I12" s="3008"/>
    </row>
    <row r="13" spans="1:9" ht="15.75" thickBot="1">
      <c r="A13" s="3005" t="s">
        <v>1640</v>
      </c>
      <c r="B13" s="3005"/>
      <c r="C13" s="3005"/>
      <c r="D13" s="3006" t="str">
        <f ca="1">结果表!D127</f>
        <v>贰拾亿伍仟柒佰伍拾肆万元整</v>
      </c>
      <c r="E13" s="3006"/>
      <c r="F13" s="3006"/>
      <c r="G13" s="3006"/>
      <c r="H13" s="3006"/>
      <c r="I13" s="3006"/>
    </row>
    <row r="14" spans="1:9" ht="15" thickTop="1">
      <c r="A14" s="3007" t="s">
        <v>1645</v>
      </c>
      <c r="B14" s="3007"/>
      <c r="C14" s="3007"/>
      <c r="D14" s="3007"/>
      <c r="E14" s="3007"/>
      <c r="F14" s="3007"/>
      <c r="G14" s="3007"/>
      <c r="H14" s="3007"/>
      <c r="I14" s="3007"/>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2" t="s">
        <v>1662</v>
      </c>
      <c r="B1" s="3022"/>
      <c r="C1" s="3022"/>
      <c r="D1" s="3022"/>
    </row>
    <row r="2" spans="1:4" ht="18">
      <c r="A2" s="3023" t="s">
        <v>1646</v>
      </c>
      <c r="B2" s="3023"/>
      <c r="C2" s="3023"/>
      <c r="D2" s="3023"/>
    </row>
    <row r="3" spans="1:4" ht="18.75">
      <c r="A3" s="1976" t="s">
        <v>1647</v>
      </c>
      <c r="B3" s="1976" t="s">
        <v>1648</v>
      </c>
      <c r="C3" s="1976" t="s">
        <v>1649</v>
      </c>
      <c r="D3" s="1976" t="s">
        <v>1650</v>
      </c>
    </row>
    <row r="4" spans="1:4" ht="56.25" customHeight="1">
      <c r="A4" s="1977" t="str">
        <f>项目基本情况!B4</f>
        <v>郑燚</v>
      </c>
      <c r="B4" s="1978">
        <f ca="1">项目基本情况!C4</f>
        <v>1120070131</v>
      </c>
      <c r="C4" s="1979"/>
      <c r="D4" s="1980" t="s">
        <v>1651</v>
      </c>
    </row>
    <row r="5" spans="1:4" ht="56.25" customHeight="1">
      <c r="A5" s="1977" t="str">
        <f>项目基本情况!D4</f>
        <v>王鹏</v>
      </c>
      <c r="B5" s="1978">
        <f ca="1">项目基本情况!E4</f>
        <v>1120050019</v>
      </c>
      <c r="C5" s="1981"/>
      <c r="D5" s="1980" t="s">
        <v>1651</v>
      </c>
    </row>
    <row r="6" spans="1:4" ht="18">
      <c r="A6" s="3023" t="s">
        <v>1652</v>
      </c>
      <c r="B6" s="3023"/>
      <c r="C6" s="3023"/>
      <c r="D6" s="3023"/>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4" t="s">
        <v>1655</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6"/>
      <c r="C15" s="3016"/>
      <c r="D15" s="3016"/>
    </row>
    <row r="16" spans="1:4" ht="30" customHeight="1">
      <c r="A16" s="3018" t="s">
        <v>1656</v>
      </c>
      <c r="B16" s="3018"/>
      <c r="C16" s="3018"/>
      <c r="D16" s="3018"/>
    </row>
    <row r="17" spans="1:4" ht="144" customHeight="1">
      <c r="A17" s="3018" t="s">
        <v>1657</v>
      </c>
      <c r="B17" s="3018"/>
      <c r="C17" s="3018"/>
      <c r="D17" s="3018"/>
    </row>
    <row r="18" spans="1:4" ht="15.75" customHeight="1">
      <c r="A18" s="3016" t="str">
        <f>IF(项目基本情况!B8="抵押",结果表!K120,"——")</f>
        <v>故，本次评估估价师知悉的法定优先受偿款为人民币1600万元整。</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1658</v>
      </c>
      <c r="B22" s="3020"/>
      <c r="C22" s="3020"/>
      <c r="D22" s="302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0" t="s">
        <v>1669</v>
      </c>
      <c r="B15" s="3025" t="s">
        <v>136</v>
      </c>
      <c r="C15" s="3026"/>
    </row>
    <row r="16" spans="1:7" ht="13.5">
      <c r="A16" s="3031"/>
      <c r="B16" s="3025" t="s">
        <v>69</v>
      </c>
      <c r="C16" s="3026"/>
    </row>
    <row r="17" spans="1:3" ht="13.5">
      <c r="A17" s="3031"/>
      <c r="B17" s="3028" t="s">
        <v>1670</v>
      </c>
      <c r="C17" s="1999" t="s">
        <v>1669</v>
      </c>
    </row>
    <row r="18" spans="1:3" ht="13.5">
      <c r="A18" s="3031"/>
      <c r="B18" s="3028"/>
      <c r="C18" s="1999" t="s">
        <v>1671</v>
      </c>
    </row>
    <row r="19" spans="1:3" ht="13.5">
      <c r="A19" s="3031"/>
      <c r="B19" s="3028"/>
      <c r="C19" s="1999" t="s">
        <v>1672</v>
      </c>
    </row>
    <row r="20" spans="1:3" ht="13.5">
      <c r="A20" s="3032"/>
      <c r="B20" s="3027" t="s">
        <v>1673</v>
      </c>
      <c r="C20" s="3026"/>
    </row>
    <row r="21" spans="1:3" ht="13.5">
      <c r="A21" s="2000" t="s">
        <v>1674</v>
      </c>
      <c r="B21" s="2001"/>
      <c r="C21" s="2002"/>
    </row>
    <row r="22" spans="1:3" ht="13.5">
      <c r="A22" s="3029" t="s">
        <v>1675</v>
      </c>
      <c r="B22" s="3027" t="s">
        <v>1676</v>
      </c>
      <c r="C22" s="3026"/>
    </row>
    <row r="23" spans="1:3" ht="13.5">
      <c r="A23" s="3029"/>
      <c r="B23" s="3027" t="s">
        <v>1677</v>
      </c>
      <c r="C23" s="3026"/>
    </row>
    <row r="24" spans="1:3" ht="13.5">
      <c r="A24" s="3029"/>
      <c r="B24" s="3027" t="s">
        <v>1678</v>
      </c>
      <c r="C24" s="3026"/>
    </row>
    <row r="25" spans="1:3" ht="13.5">
      <c r="A25" s="3029"/>
      <c r="B25" s="3028" t="s">
        <v>1679</v>
      </c>
      <c r="C25" s="1999" t="s">
        <v>1680</v>
      </c>
    </row>
    <row r="26" spans="1:3" ht="13.5">
      <c r="A26" s="3029"/>
      <c r="B26" s="3028"/>
      <c r="C26" s="1999" t="s">
        <v>1681</v>
      </c>
    </row>
    <row r="27" spans="1:3" ht="13.5">
      <c r="A27" s="3029"/>
      <c r="B27" s="3028"/>
      <c r="C27" s="1999" t="s">
        <v>1682</v>
      </c>
    </row>
    <row r="28" spans="1:3" ht="13.5">
      <c r="A28" s="3029"/>
      <c r="B28" s="3028"/>
      <c r="C28" s="1999" t="s">
        <v>1683</v>
      </c>
    </row>
    <row r="29" spans="1:3" ht="13.5">
      <c r="A29" s="3029"/>
      <c r="B29" s="3028"/>
      <c r="C29" s="1999" t="s">
        <v>1684</v>
      </c>
    </row>
    <row r="30" spans="1:3" ht="13.5">
      <c r="A30" s="3029"/>
      <c r="B30" s="3028"/>
      <c r="C30" s="1999" t="s">
        <v>1685</v>
      </c>
    </row>
    <row r="31" spans="1:3" ht="13.5">
      <c r="A31" s="3029"/>
      <c r="B31" s="3028"/>
      <c r="C31" s="1999" t="s">
        <v>1686</v>
      </c>
    </row>
    <row r="32" spans="1:3" ht="13.5">
      <c r="A32" s="3029"/>
      <c r="B32" s="3028"/>
      <c r="C32" s="1999" t="s">
        <v>1687</v>
      </c>
    </row>
    <row r="33" spans="1:3" ht="13.5">
      <c r="A33" s="3029"/>
      <c r="B33" s="3028"/>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43356</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f ca="1">IF(C10&lt;B2,"已过期",1120060040)</f>
        <v>1120060040</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t="s">
        <v>3041</v>
      </c>
      <c r="B12" s="1022">
        <v>1120110054</v>
      </c>
      <c r="C12" s="2938">
        <v>43937</v>
      </c>
      <c r="D12" s="1701" t="s">
        <v>3041</v>
      </c>
      <c r="E12" s="1022">
        <v>2008110060</v>
      </c>
      <c r="F12" s="1030">
        <v>47177</v>
      </c>
    </row>
    <row r="13" spans="1:6" ht="24" customHeight="1">
      <c r="A13" s="1701" t="s">
        <v>840</v>
      </c>
      <c r="B13" s="1022">
        <f ca="1">IF(C13&lt;B2,"已过期",1120070131)</f>
        <v>1120070131</v>
      </c>
      <c r="C13" s="2344">
        <v>43814</v>
      </c>
      <c r="D13" s="2347" t="s">
        <v>840</v>
      </c>
      <c r="E13" s="1022">
        <v>2014110011</v>
      </c>
      <c r="F13" s="1030">
        <v>49302</v>
      </c>
    </row>
    <row r="14" spans="1:6" ht="24" customHeight="1">
      <c r="A14" s="1701" t="s">
        <v>841</v>
      </c>
      <c r="B14" s="1022">
        <f ca="1">IF(C14&lt;B2,"已过期",1120130020)</f>
        <v>1120130020</v>
      </c>
      <c r="C14" s="2344">
        <v>43622</v>
      </c>
      <c r="D14" s="2347"/>
      <c r="E14" s="1022"/>
      <c r="F14" s="1022"/>
    </row>
    <row r="15" spans="1:6" ht="24" customHeight="1">
      <c r="A15" s="1702" t="s">
        <v>1149</v>
      </c>
      <c r="B15" s="1022">
        <v>1120070085</v>
      </c>
      <c r="C15" s="2344">
        <v>43814</v>
      </c>
      <c r="D15" s="2348" t="s">
        <v>1149</v>
      </c>
      <c r="E15" s="1022">
        <v>2004110128</v>
      </c>
      <c r="F15" s="1023">
        <v>47118</v>
      </c>
    </row>
    <row r="16" spans="1:6" ht="24" customHeight="1">
      <c r="A16" s="1701" t="s">
        <v>842</v>
      </c>
      <c r="B16" s="1022">
        <f ca="1">IF(C16&lt;B2,"已过期",1120140022)</f>
        <v>1120140022</v>
      </c>
      <c r="C16" s="2344">
        <v>44029</v>
      </c>
      <c r="D16" s="2347" t="s">
        <v>842</v>
      </c>
      <c r="E16" s="1022">
        <f ca="1">IF(F16&lt;B2,"已过期",2008110059)</f>
        <v>2008110059</v>
      </c>
      <c r="F16" s="1030">
        <v>47177</v>
      </c>
    </row>
    <row r="17" spans="1:7" ht="24" customHeight="1">
      <c r="A17" s="1701"/>
      <c r="B17" s="1022"/>
      <c r="C17" s="2344"/>
      <c r="D17" s="2347"/>
      <c r="E17" s="1022"/>
      <c r="F17" s="1030"/>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843</v>
      </c>
      <c r="E21" s="1022">
        <f ca="1">IF(F21&lt;B2,"已过期",2011110090)</f>
        <v>2011110090</v>
      </c>
      <c r="F21" s="1030">
        <v>48302</v>
      </c>
    </row>
    <row r="22" spans="1:7" ht="24" customHeight="1">
      <c r="A22" s="1701" t="s">
        <v>844</v>
      </c>
      <c r="B22" s="1022">
        <f ca="1">IF(C22&lt;B2,"已过期",1120020033)</f>
        <v>1120020033</v>
      </c>
      <c r="C22" s="2938">
        <v>44339</v>
      </c>
      <c r="D22" s="2347" t="s">
        <v>844</v>
      </c>
      <c r="E22" s="1022">
        <f ca="1">IF(F22&lt;B2,"已过期",2000110137)</f>
        <v>2000110137</v>
      </c>
      <c r="F22" s="1030">
        <v>46387</v>
      </c>
    </row>
    <row r="23" spans="1:7" ht="24" customHeight="1">
      <c r="A23" s="1701" t="s">
        <v>845</v>
      </c>
      <c r="B23" s="1022">
        <f ca="1">IF(C23&lt;B2,"已过期",1120130048)</f>
        <v>1120130048</v>
      </c>
      <c r="C23" s="2344">
        <v>43686</v>
      </c>
      <c r="D23" s="2347"/>
      <c r="E23" s="1022"/>
      <c r="F23" s="1022"/>
    </row>
    <row r="24" spans="1:7" s="1024" customFormat="1" ht="24" customHeight="1">
      <c r="A24" s="1702" t="s">
        <v>1333</v>
      </c>
      <c r="B24" s="1702" t="s">
        <v>1333</v>
      </c>
      <c r="C24" s="2345" t="s">
        <v>1333</v>
      </c>
      <c r="D24" s="2348" t="s">
        <v>1333</v>
      </c>
      <c r="E24" s="1702" t="s">
        <v>1333</v>
      </c>
      <c r="F24" s="1702" t="s">
        <v>1333</v>
      </c>
    </row>
    <row r="25" spans="1:7" ht="24" customHeight="1">
      <c r="A25" s="3033" t="s">
        <v>846</v>
      </c>
      <c r="B25" s="3033"/>
      <c r="C25" s="3033"/>
      <c r="D25" s="3033"/>
      <c r="E25" s="3033"/>
      <c r="F25" s="3033"/>
      <c r="G25" s="3033"/>
    </row>
    <row r="26" spans="1:7" s="1025" customFormat="1" ht="24" customHeight="1">
      <c r="A26" s="3034" t="s">
        <v>847</v>
      </c>
      <c r="B26" s="3034"/>
      <c r="C26" s="3035"/>
      <c r="D26" s="3036" t="s">
        <v>848</v>
      </c>
      <c r="E26" s="3034"/>
      <c r="F26" s="3034"/>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(车库)</vt:lpstr>
      <vt:lpstr>收益法 (地下商业)</vt:lpstr>
      <vt:lpstr>Sheet1</vt:lpstr>
      <vt:lpstr>土地案例</vt:lpstr>
      <vt:lpstr>估价师及机构信息!Print_Area</vt:lpstr>
      <vt:lpstr>收益法!Print_Area</vt:lpstr>
      <vt:lpstr>'收益法 (车库)'!Print_Area</vt:lpstr>
      <vt:lpstr>'收益法 (地下商业)'!Print_Area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2018-09-13T08:04:17Z</dcterms:modified>
</cp:coreProperties>
</file>