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01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表"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47" i="80" l="1"/>
  <c r="C14" i="74" l="1"/>
  <c r="B14" i="74"/>
  <c r="AY3" i="3"/>
  <c r="D40" i="43" l="1"/>
  <c r="D33" i="43"/>
  <c r="G44" i="43"/>
  <c r="G94" i="43"/>
  <c r="G95" i="43"/>
  <c r="G96" i="43"/>
  <c r="G97" i="43"/>
  <c r="G98" i="43"/>
  <c r="G99" i="43"/>
  <c r="G100" i="43"/>
  <c r="G101" i="43"/>
  <c r="G93" i="43"/>
  <c r="N14" i="1"/>
  <c r="L6" i="1"/>
  <c r="D31" i="80"/>
  <c r="F51" i="80"/>
  <c r="I46" i="80"/>
  <c r="J46" i="80" s="1"/>
  <c r="E46" i="80"/>
  <c r="G46" i="80" s="1"/>
  <c r="D46" i="80"/>
  <c r="C46" i="80"/>
  <c r="J45" i="80"/>
  <c r="G45" i="80"/>
  <c r="L44" i="80"/>
  <c r="D44" i="80"/>
  <c r="C44" i="80"/>
  <c r="E44" i="80" s="1"/>
  <c r="G43" i="80"/>
  <c r="E43" i="80"/>
  <c r="Q43" i="80" s="1"/>
  <c r="F37" i="80"/>
  <c r="F38" i="80" s="1"/>
  <c r="I27" i="80" s="1"/>
  <c r="J27" i="80" s="1"/>
  <c r="A32" i="80"/>
  <c r="F31" i="80"/>
  <c r="E31" i="80"/>
  <c r="I30" i="80"/>
  <c r="F30" i="80"/>
  <c r="G30" i="80" s="1"/>
  <c r="E30" i="80"/>
  <c r="J30" i="80" s="1"/>
  <c r="I29" i="80"/>
  <c r="F29" i="80"/>
  <c r="D29" i="80"/>
  <c r="C29" i="80"/>
  <c r="E29" i="80" s="1"/>
  <c r="D28" i="80"/>
  <c r="C28" i="80"/>
  <c r="E28" i="80" s="1"/>
  <c r="E27" i="80"/>
  <c r="D27" i="80"/>
  <c r="C27" i="80"/>
  <c r="B22" i="80"/>
  <c r="E21" i="80"/>
  <c r="E22" i="80" s="1"/>
  <c r="D21" i="80"/>
  <c r="D22" i="80" s="1"/>
  <c r="C21" i="80"/>
  <c r="C22" i="80" s="1"/>
  <c r="F20" i="80"/>
  <c r="F19" i="80"/>
  <c r="F18" i="80"/>
  <c r="F17" i="80"/>
  <c r="F16" i="80"/>
  <c r="F15" i="80"/>
  <c r="F14" i="80"/>
  <c r="F13" i="80"/>
  <c r="F12" i="80"/>
  <c r="M11" i="80"/>
  <c r="F11" i="80"/>
  <c r="F10" i="80"/>
  <c r="F9" i="80"/>
  <c r="F8" i="80"/>
  <c r="F7" i="80"/>
  <c r="M7" i="80" s="1"/>
  <c r="F6" i="80"/>
  <c r="F5" i="80"/>
  <c r="F22" i="80" s="1"/>
  <c r="F4" i="80"/>
  <c r="F3" i="80"/>
  <c r="B59" i="1"/>
  <c r="G19" i="6"/>
  <c r="F19" i="6"/>
  <c r="G47" i="80" l="1"/>
  <c r="E32" i="80"/>
  <c r="Q44" i="80"/>
  <c r="Q47" i="80" s="1"/>
  <c r="P47" i="80" s="1"/>
  <c r="G44" i="80"/>
  <c r="E47" i="80"/>
  <c r="J47" i="80" s="1"/>
  <c r="G28" i="80"/>
  <c r="J28" i="80"/>
  <c r="G29" i="80"/>
  <c r="F52" i="80"/>
  <c r="I43" i="80" s="1"/>
  <c r="J29" i="80"/>
  <c r="G31" i="80"/>
  <c r="J31" i="80"/>
  <c r="Q46" i="80"/>
  <c r="G27" i="80"/>
  <c r="J32" i="80" l="1"/>
  <c r="K32" i="80" s="1"/>
  <c r="J43" i="80"/>
  <c r="I44" i="80"/>
  <c r="J44" i="80" s="1"/>
  <c r="G32" i="80"/>
  <c r="F32" i="80" s="1"/>
  <c r="J48" i="80" l="1"/>
  <c r="K48" i="80" s="1"/>
  <c r="U6" i="1" s="1"/>
  <c r="F13" i="4"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101" i="43" l="1"/>
  <c r="E93" i="43" s="1"/>
  <c r="B91" i="43"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C15" i="78"/>
  <c r="G23" i="78"/>
  <c r="G24" i="78"/>
  <c r="G25" i="78"/>
  <c r="B15" i="78"/>
  <c r="B18" i="78"/>
  <c r="G19" i="73"/>
  <c r="F19" i="73"/>
  <c r="E19" i="73"/>
  <c r="H93" i="43" l="1"/>
  <c r="H97" i="43"/>
  <c r="H95" i="43"/>
  <c r="H100" i="43"/>
  <c r="H101" i="43"/>
  <c r="H96" i="43"/>
  <c r="H98" i="43"/>
  <c r="H99"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L47" i="67"/>
  <c r="E12" i="76"/>
  <c r="F40" i="67"/>
  <c r="D6" i="73"/>
  <c r="L47" i="15"/>
  <c r="F38" i="67"/>
  <c r="F7" i="67"/>
  <c r="F6" i="73"/>
  <c r="M24" i="15"/>
  <c r="M26" i="15"/>
  <c r="F3" i="73"/>
  <c r="F16" i="67"/>
  <c r="M23" i="67"/>
  <c r="M6" i="15"/>
  <c r="F8" i="67"/>
  <c r="F7" i="73"/>
  <c r="F13" i="67"/>
  <c r="B10" i="76"/>
  <c r="E10" i="76"/>
  <c r="C76" i="67"/>
  <c r="F37" i="67"/>
  <c r="M28" i="15"/>
  <c r="E2" i="68"/>
  <c r="M24" i="67"/>
  <c r="M8" i="67"/>
  <c r="F42" i="67"/>
  <c r="F6" i="15"/>
  <c r="L48" i="15"/>
  <c r="F4" i="73"/>
  <c r="E9" i="76"/>
  <c r="M22" i="15"/>
  <c r="L48" i="67"/>
  <c r="F43" i="15"/>
  <c r="M29" i="15"/>
  <c r="F9" i="15"/>
  <c r="F36" i="67"/>
  <c r="M26" i="67"/>
  <c r="F20" i="31"/>
  <c r="AO13" i="1"/>
  <c r="F26" i="67"/>
  <c r="J15" i="67"/>
  <c r="B12" i="76"/>
  <c r="F7" i="15"/>
  <c r="M23" i="15"/>
  <c r="F8" i="15"/>
  <c r="B8" i="76"/>
  <c r="E7" i="76"/>
  <c r="M9" i="15"/>
  <c r="M29" i="67"/>
  <c r="F36" i="15"/>
  <c r="C76" i="15"/>
  <c r="F6" i="67"/>
  <c r="M28" i="67"/>
  <c r="F13" i="15"/>
  <c r="M8" i="15"/>
  <c r="B7" i="76"/>
  <c r="F42" i="15"/>
  <c r="B9" i="76"/>
  <c r="F16" i="15"/>
  <c r="F26" i="15"/>
  <c r="F40" i="15"/>
  <c r="F37" i="15"/>
  <c r="F9" i="67"/>
  <c r="F38" i="15"/>
  <c r="E8" i="76"/>
  <c r="M6" i="67"/>
  <c r="F43" i="67"/>
  <c r="F5" i="73"/>
  <c r="M22" i="67"/>
  <c r="M9" i="67"/>
  <c r="E11" i="76"/>
  <c r="E2" i="69"/>
  <c r="E13" i="76"/>
  <c r="B11" i="76"/>
  <c r="B13" i="76"/>
  <c r="C21" i="68" l="1"/>
  <c r="AZ14" i="3"/>
  <c r="BL20" i="3"/>
  <c r="BL28" i="3"/>
  <c r="G19" i="3"/>
  <c r="BL24" i="3"/>
  <c r="G31" i="3"/>
  <c r="BA25" i="3"/>
  <c r="BA26" i="3"/>
  <c r="BA29" i="3"/>
  <c r="G23" i="3"/>
  <c r="BA22" i="3"/>
  <c r="BL15" i="3"/>
  <c r="AZ15" i="3" s="1"/>
  <c r="AZ25" i="3"/>
  <c r="F29" i="6"/>
  <c r="BL16" i="3"/>
  <c r="AZ16" i="3" s="1"/>
  <c r="BL18" i="3"/>
  <c r="BL19" i="3"/>
  <c r="BA20" i="3"/>
  <c r="BL25" i="3"/>
  <c r="BL27" i="3"/>
  <c r="BA28" i="3"/>
  <c r="AZ28" i="3" s="1"/>
  <c r="BA31" i="3"/>
  <c r="BA19" i="3"/>
  <c r="BA27" i="3"/>
  <c r="BL30" i="3"/>
  <c r="BL31" i="3"/>
  <c r="BA18" i="3"/>
  <c r="BL21" i="3"/>
  <c r="AZ21" i="3" s="1"/>
  <c r="BL29" i="3"/>
  <c r="AZ29"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D7" i="73"/>
  <c r="D3" i="73"/>
  <c r="C16" i="15"/>
  <c r="D5" i="73"/>
  <c r="D4" i="73"/>
  <c r="C16" i="67"/>
  <c r="P6" i="1" l="1"/>
  <c r="C13" i="12" s="1"/>
  <c r="K16" i="1"/>
  <c r="AZ19" i="3"/>
  <c r="AZ20" i="3"/>
  <c r="N94" i="46"/>
  <c r="N370" i="46"/>
  <c r="J26" i="43"/>
  <c r="F26" i="43"/>
  <c r="AZ18" i="3"/>
  <c r="AZ27" i="3"/>
  <c r="AZ31" i="3"/>
  <c r="G26" i="43"/>
  <c r="E26" i="43"/>
  <c r="D17" i="53"/>
  <c r="B36" i="72"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F41" i="67"/>
  <c r="AE6" i="1"/>
  <c r="G1" i="73"/>
  <c r="D26" i="43" l="1"/>
  <c r="C25" i="43" s="1"/>
  <c r="C33"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5" i="12" l="1"/>
  <c r="D116" i="43"/>
  <c r="F22" i="68"/>
  <c r="F22" i="1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B2" i="74" l="1"/>
  <c r="C28" i="11"/>
  <c r="C27" i="11" s="1"/>
  <c r="B23" i="1"/>
  <c r="C26" i="68" s="1"/>
  <c r="D22" i="68" s="1"/>
  <c r="B24" i="1"/>
  <c r="C26" i="12" s="1"/>
  <c r="D25" i="12" s="1"/>
  <c r="C29" i="68"/>
  <c r="D27" i="68" s="1"/>
  <c r="C29" i="11"/>
  <c r="D27" i="11" s="1"/>
  <c r="C24" i="11"/>
  <c r="C23" i="11"/>
  <c r="C44" i="11"/>
  <c r="D41" i="11" s="1"/>
  <c r="C26" i="69"/>
  <c r="D22" i="69" s="1"/>
  <c r="F41" i="68"/>
  <c r="C44" i="68"/>
  <c r="D41" i="68" s="1"/>
  <c r="C44" i="69"/>
  <c r="D41" i="69" s="1"/>
  <c r="C16" i="71"/>
  <c r="D17" i="71"/>
  <c r="C18" i="67"/>
  <c r="C15" i="67"/>
  <c r="H23" i="6"/>
  <c r="C30" i="43"/>
  <c r="B2"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B3" i="43" l="1"/>
  <c r="C6" i="68"/>
  <c r="C7" i="68" s="1"/>
  <c r="C5" i="68"/>
  <c r="C23" i="68" s="1"/>
  <c r="C18" i="12"/>
  <c r="C25" i="11"/>
  <c r="C22" i="11" s="1"/>
  <c r="C26" i="11"/>
  <c r="D22" i="11" s="1"/>
  <c r="F34" i="68"/>
  <c r="M59" i="67"/>
  <c r="M59" i="15"/>
  <c r="L59" i="15" s="1"/>
  <c r="C29" i="12"/>
  <c r="D28" i="12" s="1"/>
  <c r="F50" i="69"/>
  <c r="F11" i="12"/>
  <c r="C14" i="12" s="1"/>
  <c r="C16" i="12" s="1"/>
  <c r="C21" i="12" s="1"/>
  <c r="C15" i="71"/>
  <c r="T16" i="71"/>
  <c r="D16" i="71"/>
  <c r="U16" i="71" s="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2" i="12" l="1"/>
  <c r="Q61" i="15"/>
  <c r="Q74" i="15"/>
  <c r="C31" i="11"/>
  <c r="C37" i="68"/>
  <c r="C36" i="68"/>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8" i="68" l="1"/>
  <c r="C35" i="68"/>
  <c r="D14" i="71"/>
  <c r="C13"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15"/>
  <c r="M21" i="67"/>
  <c r="F35" i="67"/>
  <c r="M21" i="15"/>
  <c r="C33" i="68" l="1"/>
  <c r="C39" i="68" s="1"/>
  <c r="C43"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2" i="68" l="1"/>
  <c r="C41" i="68" s="1"/>
  <c r="C46" i="68"/>
  <c r="C45"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68" l="1"/>
  <c r="C51" i="68" s="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57" i="68" l="1"/>
  <c r="C56" i="68" s="1"/>
  <c r="C102" i="9"/>
  <c r="C21" i="9"/>
  <c r="B3"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35" i="9"/>
  <c r="D2" i="37"/>
  <c r="D34" i="9"/>
  <c r="D2" i="35"/>
  <c r="C20" i="9"/>
  <c r="D2" i="34"/>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8" i="1"/>
  <c r="AO9" i="1"/>
  <c r="AO10" i="1"/>
  <c r="C7" i="71" l="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C27" i="12" s="1"/>
  <c r="C25" i="12" s="1"/>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D6" i="71"/>
  <c r="C5" i="71"/>
  <c r="D5" i="71" s="1"/>
  <c r="M24" i="43" s="1"/>
  <c r="C42" i="40"/>
  <c r="C43" i="40"/>
  <c r="E47" i="40"/>
  <c r="F47" i="40" s="1"/>
  <c r="E46" i="40"/>
  <c r="F46" i="40" s="1"/>
  <c r="I47" i="40"/>
  <c r="J47" i="40" s="1"/>
  <c r="C32" i="12" l="1"/>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G19" i="9" l="1"/>
  <c r="D28" i="9" s="1"/>
  <c r="D22" i="9"/>
  <c r="D102" i="9"/>
  <c r="D21" i="9"/>
  <c r="D103" i="9"/>
  <c r="G20" i="9"/>
  <c r="G21" i="9" l="1"/>
  <c r="C32" i="9"/>
  <c r="C35" i="9" s="1"/>
  <c r="C34" i="9" s="1"/>
  <c r="D118" i="9" l="1"/>
  <c r="F118" i="9"/>
  <c r="H118" i="9"/>
  <c r="D4" i="52" l="1"/>
  <c r="B47" i="72" s="1"/>
  <c r="F119" i="9"/>
  <c r="F5" i="52" s="1"/>
  <c r="B53" i="72" s="1"/>
  <c r="H4" i="52"/>
  <c r="D14" i="74"/>
  <c r="G118" i="9"/>
  <c r="G4" i="52" s="1"/>
  <c r="B52" i="72" s="1"/>
  <c r="I118" i="9"/>
  <c r="H101" i="9"/>
  <c r="D119" i="9"/>
  <c r="D5" i="52" s="1"/>
  <c r="B49" i="72" s="1"/>
  <c r="C104" i="9"/>
  <c r="H119" i="9"/>
  <c r="H5" i="52" s="1"/>
  <c r="F4" i="52"/>
  <c r="B51" i="72" s="1"/>
  <c r="F14" i="74" l="1"/>
  <c r="B5" i="74"/>
  <c r="D5" i="74" s="1"/>
  <c r="E14" i="74"/>
  <c r="M48" i="9"/>
  <c r="D45" i="9"/>
  <c r="D5" i="53"/>
  <c r="H107" i="9"/>
  <c r="I4" i="52"/>
  <c r="H102" i="9"/>
  <c r="C105" i="9"/>
  <c r="E118" i="9"/>
  <c r="E4" i="52" s="1"/>
  <c r="B48" i="72" s="1"/>
  <c r="H108" i="9" l="1"/>
  <c r="M49" i="9"/>
  <c r="D122" i="9"/>
  <c r="G14" i="74" s="1"/>
  <c r="D13" i="53"/>
  <c r="B20" i="72"/>
  <c r="D6" i="53"/>
  <c r="B22" i="72" s="1"/>
  <c r="C5" i="74"/>
  <c r="D7" i="53"/>
  <c r="B21" i="72" s="1"/>
  <c r="C93" i="9"/>
  <c r="C86" i="9" s="1"/>
  <c r="C72" i="9"/>
  <c r="D53" i="9"/>
  <c r="C78" i="9"/>
  <c r="C73" i="9" s="1"/>
  <c r="C64" i="9"/>
  <c r="C63" i="9" s="1"/>
  <c r="C67" i="9" s="1"/>
  <c r="D52" i="9"/>
  <c r="D55" i="9"/>
  <c r="M53" i="9" s="1"/>
  <c r="C85" i="9"/>
  <c r="B6" i="74" l="1"/>
  <c r="D6" i="74" s="1"/>
  <c r="C79" i="9"/>
  <c r="C80" i="9" s="1"/>
  <c r="E80" i="9" s="1"/>
  <c r="E81" i="9" s="1"/>
  <c r="C95" i="9"/>
  <c r="C96" i="9" s="1"/>
  <c r="E96" i="9" s="1"/>
  <c r="E97" i="9" s="1"/>
  <c r="B30" i="72"/>
  <c r="D14" i="53"/>
  <c r="B32" i="72" s="1"/>
  <c r="D123" i="9"/>
  <c r="D9" i="52" s="1"/>
  <c r="D8" i="52"/>
  <c r="L64" i="9"/>
  <c r="M64" i="9" s="1"/>
  <c r="L66" i="9"/>
  <c r="M66" i="9" s="1"/>
  <c r="L68" i="9"/>
  <c r="M68" i="9" s="1"/>
  <c r="L65" i="9"/>
  <c r="M65" i="9" s="1"/>
  <c r="L67" i="9"/>
  <c r="M67" i="9" s="1"/>
  <c r="L63" i="9"/>
  <c r="M63" i="9" s="1"/>
  <c r="C68" i="9"/>
  <c r="D54" i="9" s="1"/>
  <c r="D59" i="9"/>
  <c r="M55" i="9" s="1"/>
  <c r="D15" i="53"/>
  <c r="B31" i="72" s="1"/>
  <c r="C6" i="74" l="1"/>
  <c r="C97" i="9"/>
  <c r="D58" i="9" s="1"/>
  <c r="D56" i="9" s="1"/>
  <c r="M54" i="9" s="1"/>
  <c r="N57" i="9" s="1"/>
  <c r="N59" i="9" s="1"/>
  <c r="M69" i="9"/>
  <c r="N6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<sst xmlns="http://schemas.openxmlformats.org/spreadsheetml/2006/main" count="7995" uniqueCount="3518">
  <si>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</si>
  <si>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</si>
  <si>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</si>
  <si>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</si>
  <si>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</si>
  <si>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</si>
  <si>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</si>
  <si>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</si>
  <si>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</si>
  <si>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</si>
  <si>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</si>
  <si>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</si>
  <si>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</si>
  <si>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</si>
  <si>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</si>
  <si>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</si>
  <si>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</si>
  <si>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</si>
  <si>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</si>
  <si>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</si>
  <si>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</si>
  <si>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</si>
  <si>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</si>
  <si>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</si>
  <si>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</si>
  <si>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</si>
  <si>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</si>
  <si>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</si>
  <si>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</si>
  <si>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</si>
  <si>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</si>
  <si>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</si>
  <si>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</si>
  <si>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</si>
  <si>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</si>
  <si>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</si>
  <si>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</si>
  <si>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</si>
  <si>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</si>
  <si>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</si>
  <si>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</si>
  <si>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</si>
  <si>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</si>
  <si>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</si>
  <si>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</si>
  <si>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</si>
  <si>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</si>
  <si>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</si>
  <si>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</si>
  <si>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</si>
  <si>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</si>
  <si>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</si>
  <si>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</si>
  <si>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</si>
  <si>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</si>
  <si>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</si>
  <si>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</si>
  <si>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</si>
  <si>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</si>
  <si>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</si>
  <si>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</si>
  <si>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</si>
  <si>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</si>
  <si>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</si>
  <si>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</si>
  <si>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</si>
  <si>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</si>
  <si>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</si>
  <si>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</si>
  <si>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</si>
  <si>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</si>
  <si>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</si>
  <si>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</si>
  <si>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</si>
  <si>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</si>
  <si>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</si>
  <si>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</si>
  <si>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</si>
  <si>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</si>
  <si>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</si>
  <si>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</si>
  <si>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</si>
  <si>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</si>
  <si>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</si>
  <si>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</si>
  <si>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</si>
  <si>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</si>
  <si>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</si>
  <si>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</si>
  <si>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</si>
  <si>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</si>
  <si>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</si>
  <si>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</si>
  <si>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</si>
  <si>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</si>
  <si>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</si>
  <si>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</si>
  <si>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</si>
  <si>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</si>
  <si>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</si>
  <si>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</si>
  <si>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</si>
  <si>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</si>
  <si>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</si>
  <si>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</si>
  <si>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</si>
  <si>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</si>
  <si>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</si>
  <si>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</si>
  <si>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</si>
  <si>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</si>
  <si>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</si>
  <si>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</si>
  <si>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</si>
  <si>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</si>
  <si>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</si>
  <si>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</si>
  <si>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</si>
  <si>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</si>
  <si>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</si>
  <si>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</si>
  <si>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</si>
  <si>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</si>
  <si>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</si>
  <si>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</si>
  <si>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</si>
  <si>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</si>
  <si>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</si>
  <si>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</si>
  <si>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</si>
  <si>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</si>
  <si>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</si>
  <si>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</si>
  <si>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</si>
  <si>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</si>
  <si>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</si>
  <si>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</si>
  <si>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</si>
  <si>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</si>
  <si>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</si>
  <si>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</si>
  <si>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</si>
  <si>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</si>
  <si>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</si>
  <si>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</si>
  <si>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</si>
  <si>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</si>
  <si>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</si>
  <si>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</si>
  <si>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</si>
  <si>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</si>
  <si>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</si>
  <si>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</si>
  <si>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</si>
  <si>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</si>
  <si>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</si>
  <si>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</si>
  <si>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</si>
  <si>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</si>
  <si>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</si>
  <si>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</si>
  <si>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</si>
  <si>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</si>
  <si>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</si>
  <si>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</si>
  <si>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</si>
  <si>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</si>
  <si>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</si>
  <si>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</si>
  <si>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</si>
  <si>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</si>
  <si>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</si>
  <si>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</si>
  <si>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</si>
  <si>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</si>
  <si>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</si>
  <si>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</si>
  <si>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</si>
  <si>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</si>
  <si>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</si>
  <si>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</si>
  <si>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</si>
  <si>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</si>
  <si>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</si>
  <si>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</si>
  <si>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</si>
  <si>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</si>
  <si>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</si>
  <si>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</si>
  <si>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</si>
  <si>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</si>
  <si>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</si>
  <si>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</si>
  <si>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</si>
  <si>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</si>
  <si>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</si>
  <si>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</si>
  <si>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</si>
  <si>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</si>
  <si>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</si>
  <si>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</si>
  <si>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</si>
  <si>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</si>
  <si>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</si>
  <si>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</si>
  <si>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</si>
  <si>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</si>
  <si>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</si>
  <si>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</si>
  <si>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</si>
  <si>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</si>
  <si>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</si>
  <si>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</si>
  <si>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</si>
  <si>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</si>
  <si>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</si>
  <si>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</si>
  <si>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</si>
  <si>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</si>
  <si>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</si>
  <si>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</si>
  <si>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</si>
  <si>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</si>
  <si>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</si>
  <si>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</si>
  <si>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</si>
  <si>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</si>
  <si>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</si>
  <si>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</si>
  <si>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</si>
  <si>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</si>
  <si>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</si>
  <si>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</si>
  <si>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</si>
  <si>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</si>
  <si>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</si>
  <si>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</si>
  <si>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</si>
  <si>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</si>
  <si>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</si>
  <si>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</si>
  <si>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</si>
  <si>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</si>
  <si>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</si>
  <si>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</si>
  <si>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</si>
  <si>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</si>
  <si>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</si>
  <si>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</si>
  <si>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</si>
  <si>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</si>
  <si>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</si>
  <si>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</si>
  <si>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</si>
  <si>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</si>
  <si>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</si>
  <si>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</si>
  <si>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</si>
  <si>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</si>
  <si>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</si>
  <si>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</si>
  <si>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</si>
  <si>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</si>
  <si>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</si>
  <si>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</si>
  <si>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</si>
  <si>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</si>
  <si>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</si>
  <si>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</si>
  <si>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</si>
  <si>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</si>
  <si>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</si>
  <si>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</si>
  <si>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</si>
  <si>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</si>
  <si>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</si>
  <si>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</si>
  <si>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</si>
  <si>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</si>
  <si>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</si>
  <si>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</si>
  <si>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</si>
  <si>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</si>
  <si>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</si>
  <si>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</si>
  <si>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</si>
  <si>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</si>
  <si>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</si>
  <si>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</si>
  <si>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</si>
  <si>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</si>
  <si>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</si>
  <si>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</si>
  <si>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</si>
  <si>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</si>
  <si>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</si>
  <si>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</si>
  <si>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</si>
  <si>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</si>
  <si>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</si>
  <si>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</si>
  <si>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</si>
  <si>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</si>
  <si>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</si>
  <si>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</si>
  <si>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</si>
  <si>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</si>
  <si>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</si>
  <si>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</si>
  <si>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</si>
  <si>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</si>
  <si>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</si>
  <si>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</si>
  <si>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</si>
  <si>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</si>
  <si>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</si>
  <si>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</si>
  <si>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</si>
  <si>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</si>
  <si>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</si>
  <si>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</si>
  <si>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</si>
  <si>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</si>
  <si>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</si>
  <si>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</si>
  <si>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</si>
  <si>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</si>
  <si>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</si>
  <si>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</si>
  <si>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</si>
  <si>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</si>
  <si>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</si>
  <si>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</si>
  <si>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</si>
  <si>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</si>
  <si>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</si>
  <si>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</si>
  <si>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</si>
  <si>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</si>
  <si>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</si>
  <si>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</si>
  <si>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</si>
  <si>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</si>
  <si>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</si>
  <si>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</si>
  <si>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</si>
  <si>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</si>
  <si>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</si>
  <si>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</si>
  <si>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</si>
  <si>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</si>
  <si>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</si>
  <si>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</si>
  <si>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</si>
  <si>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</si>
  <si>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</si>
  <si>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</si>
  <si>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</si>
  <si>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</si>
  <si>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</si>
  <si>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</si>
  <si>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</si>
  <si>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</si>
  <si>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</si>
  <si>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</si>
  <si>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</si>
  <si>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</si>
  <si>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</si>
  <si>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</si>
  <si>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</si>
  <si>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</si>
  <si>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</si>
  <si>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</si>
  <si>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</si>
  <si>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</si>
  <si>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</si>
  <si>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</si>
  <si>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</si>
  <si>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</si>
  <si>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</si>
  <si>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</si>
  <si>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</si>
  <si>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</si>
  <si>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</si>
  <si>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</si>
  <si>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</si>
  <si>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</si>
  <si>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</si>
  <si>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</si>
  <si>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</si>
  <si>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</si>
  <si>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</si>
  <si>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</si>
  <si>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</si>
  <si>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</si>
  <si>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</si>
  <si>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</si>
  <si>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</si>
  <si>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</si>
  <si>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</si>
  <si>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</si>
  <si>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</si>
  <si>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</si>
  <si>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</si>
  <si>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</si>
  <si>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</si>
  <si>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</si>
  <si>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</si>
  <si>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</si>
  <si>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</si>
  <si>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</si>
  <si>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</si>
  <si>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</si>
  <si>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</si>
  <si>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</si>
  <si>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</si>
  <si>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</si>
  <si>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</si>
  <si>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</si>
  <si>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</si>
  <si>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</si>
  <si>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</si>
  <si>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</si>
  <si>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</si>
  <si>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</si>
  <si>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</si>
  <si>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</si>
  <si>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</si>
  <si>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</si>
  <si>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</si>
  <si>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</si>
  <si>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</si>
  <si>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</si>
  <si>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</si>
  <si>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</si>
  <si>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</si>
  <si>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</si>
  <si>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</si>
  <si>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</si>
  <si>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</si>
  <si>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</si>
  <si>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</si>
  <si>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</si>
  <si>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</si>
  <si>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</si>
  <si>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</si>
  <si>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</si>
  <si>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</si>
  <si>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</si>
  <si>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</si>
  <si>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</si>
  <si>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</si>
  <si>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</si>
  <si>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</si>
  <si>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</si>
  <si>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</si>
  <si>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</si>
  <si>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</si>
  <si>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</si>
  <si>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</si>
  <si>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</si>
  <si>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</si>
  <si>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</si>
  <si>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</si>
  <si>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</si>
  <si>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</si>
  <si>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</si>
  <si>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</si>
  <si>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</si>
  <si>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</si>
  <si>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</si>
  <si>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</si>
  <si>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</si>
  <si>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</si>
  <si>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</si>
  <si>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</si>
  <si>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</si>
  <si>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</si>
  <si>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</si>
  <si>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</si>
  <si>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</si>
  <si>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</si>
  <si>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</si>
  <si>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</si>
  <si>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</si>
  <si>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</si>
  <si>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</si>
  <si>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</si>
  <si>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</si>
  <si>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</si>
  <si>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</si>
  <si>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</si>
  <si>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</si>
  <si>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</si>
  <si>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</si>
  <si>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</si>
  <si>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</si>
  <si>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</si>
  <si>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</si>
  <si>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</si>
  <si>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</si>
  <si>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</si>
  <si>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</si>
  <si>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</si>
  <si>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</si>
  <si>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</si>
  <si>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</si>
  <si>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</si>
  <si>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</si>
  <si>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</si>
  <si>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</si>
  <si>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</si>
  <si>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</si>
  <si>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</si>
  <si>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</si>
  <si>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</si>
  <si>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</si>
  <si>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</si>
  <si>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</si>
  <si>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</si>
  <si>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</si>
  <si>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</si>
  <si>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</si>
  <si>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</si>
  <si>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</si>
  <si>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</si>
  <si>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</si>
  <si>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</si>
  <si>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</si>
  <si>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</si>
  <si>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</si>
  <si>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</si>
  <si>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</si>
  <si>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</si>
  <si>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</si>
  <si>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</si>
  <si>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</si>
  <si>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</si>
  <si>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</si>
  <si>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</si>
  <si>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</si>
  <si>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</si>
  <si>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</si>
  <si>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</si>
  <si>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</si>
  <si>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</si>
  <si>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</si>
  <si>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</si>
  <si>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</si>
  <si>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</si>
  <si>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</si>
  <si>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</si>
  <si>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</si>
  <si>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</si>
  <si>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</si>
  <si>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</si>
  <si>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</si>
  <si>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</si>
  <si>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</si>
  <si>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</si>
  <si>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</si>
  <si>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</si>
  <si>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</si>
  <si>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</si>
  <si>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</si>
  <si>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</si>
  <si>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</si>
  <si>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</si>
  <si>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</si>
  <si>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</si>
  <si>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</si>
  <si>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</si>
  <si>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</si>
  <si>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</si>
  <si>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</si>
  <si>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</si>
  <si>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</si>
  <si>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</si>
  <si>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</si>
  <si>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</si>
  <si>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</si>
  <si>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</si>
  <si>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</si>
  <si>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</si>
  <si>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</si>
  <si>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</si>
  <si>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</si>
  <si>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</si>
  <si>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</si>
  <si>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</si>
  <si>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</si>
  <si>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</si>
  <si>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</si>
  <si>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</si>
  <si>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</si>
  <si>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</si>
  <si>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</si>
  <si>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</si>
  <si>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</si>
  <si>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</si>
  <si>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</si>
  <si>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</si>
  <si>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</si>
  <si>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</si>
  <si>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</si>
  <si>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</si>
  <si>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</si>
  <si>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</si>
  <si>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</si>
  <si>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</si>
  <si>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</si>
  <si>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</si>
  <si>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</si>
  <si>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</si>
  <si>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</si>
  <si>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</si>
  <si>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</si>
  <si>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</si>
  <si>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</si>
  <si>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</si>
  <si>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</si>
  <si>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</si>
  <si>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</si>
  <si>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</si>
  <si>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</si>
  <si>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</si>
  <si>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</si>
  <si>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</si>
  <si>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</si>
  <si>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</si>
  <si>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</si>
  <si>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</si>
  <si>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</si>
  <si>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</si>
  <si>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</si>
  <si>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</si>
  <si>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</si>
  <si>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</si>
  <si>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</si>
  <si>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</si>
  <si>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</si>
  <si>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</si>
  <si>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</si>
  <si>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</si>
  <si>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</si>
  <si>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</si>
  <si>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</si>
  <si>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</si>
  <si>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</si>
  <si>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</si>
  <si>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</si>
  <si>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</si>
  <si>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</si>
  <si>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</si>
  <si>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</si>
  <si>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</si>
  <si>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</si>
  <si>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</si>
  <si>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</si>
  <si>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</si>
  <si>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</si>
  <si>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</si>
  <si>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</si>
  <si>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</si>
  <si>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</si>
  <si>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</si>
  <si>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</si>
  <si>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</si>
  <si>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</si>
  <si>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</si>
  <si>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</si>
  <si>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</si>
  <si>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</si>
  <si>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</si>
  <si>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</si>
  <si>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</si>
  <si>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</si>
  <si>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</si>
  <si>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</si>
  <si>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</si>
  <si>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</si>
  <si>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</si>
  <si>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</si>
  <si>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</si>
  <si>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</si>
  <si>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</si>
  <si>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</si>
  <si>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</si>
  <si>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</si>
  <si>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</si>
  <si>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</si>
  <si>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</si>
  <si>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</si>
  <si>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</si>
  <si>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</si>
  <si>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</si>
  <si>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</si>
  <si>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</si>
  <si>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</si>
  <si>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</si>
  <si>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</si>
  <si>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</si>
  <si>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</si>
  <si>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</si>
  <si>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</si>
  <si>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</si>
  <si>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</si>
  <si>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</si>
  <si>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</si>
  <si>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</si>
  <si>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</si>
  <si>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</si>
  <si>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</si>
  <si>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</si>
  <si>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</si>
  <si>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</si>
  <si>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</si>
  <si>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</si>
  <si>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</si>
  <si>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</si>
  <si>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</si>
  <si>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</si>
  <si>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</si>
  <si>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</si>
  <si>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</si>
  <si>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</si>
  <si>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</si>
  <si>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</si>
  <si>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</si>
  <si>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</si>
  <si>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</si>
  <si>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</si>
  <si>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</si>
  <si>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</si>
  <si>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</si>
  <si>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</si>
  <si>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</si>
  <si>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</si>
  <si>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</si>
  <si>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</si>
  <si>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</si>
  <si>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</si>
  <si>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</si>
  <si>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</si>
  <si>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</si>
  <si>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</si>
  <si>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</si>
  <si>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</si>
  <si>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</si>
  <si>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</si>
  <si>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</si>
  <si>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</si>
  <si>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</si>
  <si>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</si>
  <si>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</si>
  <si>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</si>
  <si>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</si>
  <si>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</si>
  <si>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</si>
  <si>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</si>
  <si>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</si>
  <si>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</si>
  <si>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</si>
  <si>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</si>
  <si>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</si>
  <si>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</si>
  <si>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</si>
  <si>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</si>
  <si>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</si>
  <si>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</si>
  <si>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</si>
  <si>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</si>
  <si>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</si>
  <si>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</si>
  <si>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</si>
  <si>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</si>
  <si>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</si>
  <si>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</si>
  <si>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</si>
  <si>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</si>
  <si>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</si>
  <si>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</si>
  <si>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</si>
  <si>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</si>
  <si>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</si>
  <si>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</si>
  <si>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</si>
  <si>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</si>
  <si>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</si>
  <si>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</si>
  <si>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</si>
  <si>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</si>
  <si>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</si>
  <si>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</si>
  <si>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</si>
  <si>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</si>
  <si>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</si>
  <si>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</si>
  <si>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</si>
  <si>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</si>
  <si>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</si>
  <si>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</si>
  <si>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</si>
  <si>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</si>
  <si>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</si>
  <si>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</si>
  <si>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</si>
  <si>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</si>
  <si>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</si>
  <si>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</si>
  <si>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</si>
  <si>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</si>
  <si>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</si>
  <si>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</si>
  <si>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</si>
  <si>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</si>
  <si>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</si>
  <si>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</si>
  <si>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</si>
  <si>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</si>
  <si>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</si>
  <si>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</si>
  <si>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</si>
  <si>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</si>
  <si>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</si>
  <si>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</si>
  <si>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</si>
  <si>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</si>
  <si>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</si>
  <si>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</si>
  <si>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</si>
  <si>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</si>
  <si>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</si>
  <si>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</si>
  <si>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</si>
  <si>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</si>
  <si>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</si>
  <si>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</si>
  <si>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</si>
  <si>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</si>
  <si>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</si>
  <si>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</si>
  <si>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</si>
  <si>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</si>
  <si>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</si>
  <si>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</si>
  <si>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</si>
  <si>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</si>
  <si>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</si>
  <si>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</si>
  <si>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</si>
  <si>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</si>
  <si>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</si>
  <si>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</si>
  <si>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</si>
  <si>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</si>
  <si>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</si>
  <si>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</si>
  <si>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</si>
  <si>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</si>
  <si>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</si>
  <si>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</si>
  <si>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</si>
  <si>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</si>
  <si>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</si>
  <si>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</si>
  <si>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</si>
  <si>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</si>
  <si>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</si>
  <si>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</si>
  <si>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</si>
  <si>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</si>
  <si>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</si>
  <si>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</si>
  <si>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</si>
  <si>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</si>
  <si>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</si>
  <si>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</si>
  <si>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</si>
  <si>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</si>
  <si>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</si>
  <si>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</si>
  <si>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</si>
  <si>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</si>
  <si>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</si>
  <si>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</si>
  <si>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</si>
  <si>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</si>
  <si>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</si>
  <si>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</si>
  <si>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</si>
  <si>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</si>
  <si>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</si>
  <si>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</si>
  <si>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</si>
  <si>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</si>
  <si>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</si>
  <si>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</si>
  <si>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</si>
  <si>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</si>
  <si>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</si>
  <si>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</si>
  <si>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</si>
  <si>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</si>
  <si>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</si>
  <si>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</si>
  <si>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</si>
  <si>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</si>
  <si>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</si>
  <si>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</si>
  <si>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</si>
  <si>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</si>
  <si>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</si>
  <si>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</si>
  <si>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</si>
  <si>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</si>
  <si>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</si>
  <si>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</si>
  <si>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</si>
  <si>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</si>
  <si>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</si>
  <si>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</si>
  <si>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</si>
  <si>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</si>
  <si>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</si>
  <si>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</si>
  <si>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</si>
  <si>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</si>
  <si>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</si>
  <si>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</si>
  <si>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</si>
  <si>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</si>
  <si>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</si>
  <si>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</si>
  <si>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</si>
  <si>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</si>
  <si>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</si>
  <si>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</si>
  <si>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</si>
  <si>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</si>
  <si>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</si>
  <si>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</si>
  <si>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</si>
  <si>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</si>
  <si>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</si>
  <si>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</si>
  <si>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</si>
  <si>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</si>
  <si>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</si>
  <si>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</si>
  <si>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</si>
  <si>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</si>
  <si>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</si>
  <si>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</si>
  <si>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</si>
  <si>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</si>
  <si>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</si>
  <si>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</si>
  <si>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</si>
  <si>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</si>
  <si>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</si>
  <si>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</si>
  <si>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</si>
  <si>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</si>
  <si>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</si>
  <si>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</si>
  <si>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</si>
  <si>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</si>
  <si>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</si>
  <si>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</si>
  <si>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</si>
  <si>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</si>
  <si>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</si>
  <si>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</si>
  <si>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</si>
  <si>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</si>
  <si>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</si>
  <si>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</si>
  <si>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</si>
  <si>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</si>
  <si>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</si>
  <si>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</si>
  <si>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</si>
  <si>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</si>
  <si>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</si>
  <si>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</si>
  <si>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</si>
  <si>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</si>
  <si>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</si>
  <si>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</si>
  <si>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</si>
  <si>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</si>
  <si>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</si>
  <si>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</si>
  <si>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</si>
  <si>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</si>
  <si>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</si>
  <si>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</si>
  <si>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</si>
  <si>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</si>
  <si>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</si>
  <si>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</si>
  <si>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</si>
  <si>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</si>
  <si>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</si>
  <si>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</si>
  <si>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</si>
  <si>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</si>
  <si>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</si>
  <si>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</si>
  <si>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</si>
  <si>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</si>
  <si>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</si>
  <si>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</si>
  <si>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</si>
  <si>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</si>
  <si>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</si>
  <si>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</si>
  <si>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</si>
  <si>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</si>
  <si>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</si>
  <si>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</si>
  <si>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</si>
  <si>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</si>
  <si>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</si>
  <si>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</si>
  <si>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</si>
  <si>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</si>
  <si>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</si>
  <si>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</si>
  <si>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</si>
  <si>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</si>
  <si>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</si>
  <si>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</si>
  <si>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</si>
  <si>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</si>
  <si>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</si>
  <si>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</si>
  <si>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</si>
  <si>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</si>
  <si>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</si>
  <si>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</si>
  <si>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</si>
  <si>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</si>
  <si>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</si>
  <si>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</si>
  <si>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</si>
  <si>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</si>
  <si>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</si>
  <si>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</si>
  <si>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</si>
  <si>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</si>
  <si>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</si>
  <si>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</si>
  <si>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</si>
  <si>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</si>
  <si>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</si>
  <si>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</si>
  <si>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</si>
  <si>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</si>
  <si>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</si>
  <si>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</si>
  <si>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</si>
  <si>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</si>
  <si>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</si>
  <si>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</si>
  <si>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</si>
  <si>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</si>
  <si>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</si>
  <si>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</si>
  <si>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</si>
  <si>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</si>
  <si>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</si>
  <si>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</si>
  <si>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</si>
  <si>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</si>
  <si>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</si>
  <si>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</si>
  <si>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</si>
  <si>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</si>
  <si>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</si>
  <si>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</si>
  <si>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</si>
  <si>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</si>
  <si>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</si>
  <si>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</si>
  <si>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</si>
  <si>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</si>
  <si>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</si>
  <si>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</si>
  <si>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</si>
  <si>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</si>
  <si>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</si>
  <si>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</si>
  <si>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</si>
  <si>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</si>
  <si>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</si>
  <si>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</si>
  <si>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</si>
  <si>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</si>
  <si>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</si>
  <si>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</si>
  <si>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</si>
  <si>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</si>
  <si>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</si>
  <si>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</si>
  <si>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</si>
  <si>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</si>
  <si>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</si>
  <si>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</si>
  <si>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</si>
  <si>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</si>
  <si>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</si>
  <si>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</si>
  <si>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</si>
  <si>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</si>
  <si>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</si>
  <si>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</si>
  <si>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</si>
  <si>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</si>
  <si>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</si>
  <si>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</si>
  <si>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</si>
  <si>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</si>
  <si>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</si>
  <si>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</si>
  <si>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</si>
  <si>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</si>
  <si>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</si>
  <si>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</si>
  <si>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</si>
  <si>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</si>
  <si>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</si>
  <si>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</si>
  <si>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</si>
  <si>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</si>
  <si>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</si>
  <si>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</si>
  <si>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</si>
  <si>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</si>
  <si>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</si>
  <si>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</si>
  <si>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</si>
  <si>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</si>
  <si>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</si>
  <si>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</si>
  <si>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</si>
  <si>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</si>
  <si>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</si>
  <si>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</si>
  <si>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</si>
  <si>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</si>
  <si>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</si>
  <si>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</si>
  <si>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</si>
  <si>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</si>
  <si>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</si>
  <si>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</si>
  <si>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</si>
  <si>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</si>
  <si>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</si>
  <si>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</si>
  <si>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</si>
  <si>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</si>
  <si>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</si>
  <si>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</si>
  <si>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</si>
  <si>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</si>
  <si>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</si>
  <si>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</si>
  <si>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</si>
  <si>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</si>
  <si>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</si>
  <si>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</si>
  <si>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</si>
  <si>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</si>
  <si>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</si>
  <si>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</si>
  <si>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</si>
  <si>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</si>
  <si>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</si>
  <si>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</si>
  <si>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</si>
  <si>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</si>
  <si>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</si>
  <si>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</si>
  <si>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</si>
  <si>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</si>
  <si>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</si>
  <si>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</si>
  <si>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</si>
  <si>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</si>
  <si>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</si>
  <si>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</si>
  <si>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</si>
  <si>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</si>
  <si>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</si>
  <si>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</si>
  <si>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</si>
  <si>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</si>
  <si>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</si>
  <si>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</si>
  <si>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</si>
  <si>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</si>
  <si>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</si>
  <si>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</si>
  <si>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</si>
  <si>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</si>
  <si>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</si>
  <si>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</si>
  <si>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</si>
  <si>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</si>
  <si>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</si>
  <si>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</si>
  <si>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</si>
  <si>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</si>
  <si>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</si>
  <si>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</si>
  <si>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</si>
  <si>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</si>
  <si>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</si>
  <si>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</si>
  <si>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</si>
  <si>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</si>
  <si>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</si>
  <si>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</si>
  <si>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</si>
  <si>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</si>
  <si>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</si>
  <si>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</si>
  <si>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</si>
  <si>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</si>
  <si>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</si>
  <si>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</si>
  <si>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</si>
  <si>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</si>
  <si>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</si>
  <si>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</si>
  <si>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</si>
  <si>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</si>
  <si>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</si>
  <si>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</si>
  <si>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</si>
  <si>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</si>
  <si>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</si>
  <si>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</si>
  <si>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</si>
  <si>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</si>
  <si>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</si>
  <si>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</si>
  <si>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</si>
  <si>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</si>
  <si>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</si>
  <si>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</si>
  <si>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</si>
  <si>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</si>
  <si>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</si>
  <si>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</si>
  <si>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</si>
  <si>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</si>
  <si>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</si>
  <si>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</si>
  <si>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</si>
  <si>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</si>
  <si>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</si>
  <si>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</si>
  <si>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</si>
  <si>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</si>
  <si>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</si>
  <si>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</si>
  <si>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</si>
  <si>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</si>
  <si>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</si>
  <si>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</si>
  <si>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</si>
  <si>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</si>
  <si>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</si>
  <si>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</si>
  <si>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</si>
  <si>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</si>
  <si>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</si>
  <si>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</si>
  <si>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</si>
  <si>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</si>
  <si>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</si>
  <si>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</si>
  <si>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</si>
  <si>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</si>
  <si>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</si>
  <si>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</si>
  <si>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</si>
  <si>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</si>
  <si>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</si>
  <si>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</si>
  <si>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</si>
  <si>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</si>
  <si>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</si>
  <si>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</si>
  <si>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</si>
  <si>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</si>
  <si>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</si>
  <si>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</si>
  <si>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</si>
  <si>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</si>
  <si>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</si>
  <si>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</si>
  <si>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</si>
  <si>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</si>
  <si>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</si>
  <si>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</si>
  <si>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</si>
  <si>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</si>
  <si>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</si>
  <si>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</si>
  <si>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</si>
  <si>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</si>
  <si>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</si>
  <si>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</si>
  <si>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</si>
  <si>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</si>
  <si>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</si>
  <si>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</si>
  <si>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</si>
  <si>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</si>
  <si>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</si>
  <si>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</si>
  <si>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</si>
  <si>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</si>
  <si>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</si>
  <si>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</si>
  <si>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</si>
  <si>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</si>
  <si>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</si>
  <si>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</si>
  <si>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</si>
  <si>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</si>
  <si>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</si>
  <si>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</si>
  <si>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</si>
  <si>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</si>
  <si>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</si>
  <si>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</si>
  <si>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</si>
  <si>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</si>
  <si>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</si>
  <si>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</si>
  <si>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</si>
  <si>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</si>
  <si>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</si>
  <si>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</si>
  <si>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</si>
  <si>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</si>
  <si>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</si>
  <si>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</si>
  <si>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</si>
  <si>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</si>
  <si>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</si>
  <si>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</si>
  <si>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</si>
  <si>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</si>
  <si>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</si>
  <si>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</si>
  <si>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</si>
  <si>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</si>
  <si>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</si>
  <si>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</si>
  <si>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</si>
  <si>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</si>
  <si>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</si>
  <si>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</si>
  <si>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</si>
  <si>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</si>
  <si>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</si>
  <si>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</si>
  <si>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</si>
  <si>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</si>
  <si>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</si>
  <si>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</si>
  <si>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</si>
  <si>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</si>
  <si>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</si>
  <si>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</si>
  <si>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</si>
  <si>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</si>
  <si>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</si>
  <si>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</si>
  <si>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</si>
  <si>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</si>
  <si>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</si>
  <si>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</si>
  <si>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</si>
  <si>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</si>
  <si>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</si>
  <si>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</si>
  <si>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</si>
  <si>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</si>
  <si>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</si>
  <si>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</si>
  <si>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</si>
  <si>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</si>
  <si>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</si>
  <si>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</si>
  <si>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</si>
  <si>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</si>
  <si>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</si>
  <si>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</si>
  <si>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</si>
  <si>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</si>
  <si>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</si>
  <si>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</si>
  <si>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</si>
  <si>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</si>
  <si>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</si>
  <si>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</si>
  <si>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</si>
  <si>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</si>
  <si>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</si>
  <si>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</si>
  <si>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</si>
  <si>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</si>
  <si>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</si>
  <si>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</si>
  <si>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</si>
  <si>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</si>
  <si>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</si>
  <si>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</si>
  <si>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</si>
  <si>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</si>
  <si>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</si>
  <si>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</si>
  <si>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</si>
  <si>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</si>
  <si>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</si>
  <si>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</si>
  <si>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</si>
  <si>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</si>
  <si>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</si>
  <si>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</si>
  <si>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</si>
  <si>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</si>
  <si>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</si>
  <si>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</si>
  <si>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</si>
  <si>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</si>
  <si>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</si>
  <si>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</si>
  <si>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</si>
  <si>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</si>
  <si>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</si>
  <si>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</si>
  <si>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</si>
  <si>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</si>
  <si>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</si>
  <si>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</si>
  <si>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</si>
  <si>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</si>
  <si>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</si>
  <si>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</si>
  <si>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</si>
  <si>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</si>
  <si>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</si>
  <si>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</si>
  <si>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</si>
  <si>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</si>
  <si>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</si>
  <si>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</si>
  <si>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</si>
  <si>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</si>
  <si>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</si>
  <si>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</si>
  <si>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</si>
  <si>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</si>
  <si>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</si>
  <si>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</si>
  <si>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</si>
  <si>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</si>
  <si>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</si>
  <si>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</si>
  <si>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</si>
  <si>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</si>
  <si>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</si>
  <si>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</si>
  <si>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</si>
  <si>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</si>
  <si>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</si>
  <si>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</si>
  <si>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</si>
  <si>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</si>
  <si>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</si>
  <si>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</si>
  <si>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</si>
  <si>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</si>
  <si>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</si>
  <si>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</si>
  <si>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</si>
  <si>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</si>
  <si>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</si>
  <si>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</si>
  <si>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</si>
  <si>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</si>
  <si>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</si>
  <si>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</si>
  <si>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</si>
  <si>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</si>
  <si>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</si>
  <si>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</si>
  <si>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</si>
  <si>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</si>
  <si>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</si>
  <si>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</si>
  <si>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</si>
  <si>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</si>
  <si>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</si>
  <si>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</si>
  <si>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</si>
  <si>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</si>
  <si>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</si>
  <si>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</si>
  <si>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</si>
  <si>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</si>
  <si>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</si>
  <si>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</si>
  <si>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</si>
  <si>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</si>
  <si>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</si>
  <si>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</si>
  <si>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</si>
  <si>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</si>
  <si>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</si>
  <si>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</si>
  <si>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</si>
  <si>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</si>
  <si>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</si>
  <si>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</si>
  <si>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</si>
  <si>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</si>
  <si>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</si>
  <si>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</si>
  <si>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</si>
  <si>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</si>
  <si>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</si>
  <si>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</si>
  <si>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</si>
  <si>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</si>
  <si>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</si>
  <si>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</si>
  <si>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</si>
  <si>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</si>
  <si>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</si>
  <si>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</si>
  <si>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</si>
  <si>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</si>
  <si>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</si>
  <si>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</si>
  <si>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</si>
  <si>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</si>
  <si>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</si>
  <si>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</si>
  <si>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</si>
  <si>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</si>
  <si>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</si>
  <si>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</si>
  <si>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</si>
  <si>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</si>
  <si>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</si>
  <si>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</si>
  <si>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</si>
  <si>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</si>
  <si>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</si>
  <si>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</si>
  <si>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</si>
  <si>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</si>
  <si>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</si>
  <si>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</si>
  <si>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</si>
  <si>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</si>
  <si>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</si>
  <si>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</si>
  <si>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</si>
  <si>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</si>
  <si>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</si>
  <si>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</si>
  <si>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</si>
  <si>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</si>
  <si>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</si>
  <si>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</si>
  <si>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</si>
  <si>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</si>
  <si>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</si>
  <si>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</si>
  <si>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</si>
  <si>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</si>
  <si>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</si>
  <si>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</si>
  <si>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</si>
  <si>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</si>
  <si>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</si>
  <si>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</si>
  <si>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</si>
  <si>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</si>
  <si>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</si>
  <si>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</si>
  <si>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</si>
  <si>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</si>
  <si>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</si>
  <si>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</si>
  <si>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</si>
  <si>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</si>
  <si>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</si>
  <si>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</si>
  <si>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</si>
  <si>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</si>
  <si>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</si>
  <si>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</si>
  <si>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</si>
  <si>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</si>
  <si>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</si>
  <si>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</si>
  <si>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</si>
  <si>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</si>
  <si>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</si>
  <si>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</si>
  <si>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</si>
  <si>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</si>
  <si>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</si>
  <si>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</si>
  <si>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</si>
  <si>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</si>
  <si>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</si>
  <si>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</si>
  <si>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</si>
  <si>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</si>
  <si>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</si>
  <si>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</si>
  <si>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</si>
  <si>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</si>
  <si>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</si>
  <si>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</si>
  <si>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</si>
  <si>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</si>
  <si>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</si>
  <si>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</si>
  <si>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</si>
  <si>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</si>
  <si>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</si>
  <si>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</si>
  <si>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</si>
  <si>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</si>
  <si>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</si>
  <si>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</si>
  <si>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</si>
  <si>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</si>
  <si>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</si>
  <si>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</si>
  <si>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</si>
  <si>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</si>
  <si>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</si>
  <si>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</si>
  <si>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</si>
  <si>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</si>
  <si>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</si>
  <si>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</si>
  <si>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</si>
  <si>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</si>
  <si>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</si>
  <si>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</si>
  <si>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</si>
  <si>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</si>
  <si>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</si>
  <si>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</si>
  <si>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</si>
  <si>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</si>
  <si>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</si>
  <si>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</si>
  <si>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</si>
  <si>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</si>
  <si>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</si>
  <si>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</si>
  <si>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</si>
  <si>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</si>
  <si>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</si>
  <si>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</si>
  <si>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</si>
  <si>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</si>
  <si>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</si>
  <si>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</si>
  <si>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</si>
  <si>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</si>
  <si>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</si>
  <si>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</si>
  <si>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</si>
  <si>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</si>
  <si>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</si>
  <si>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</si>
  <si>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</si>
  <si>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</si>
  <si>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</si>
  <si>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</si>
  <si>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</si>
  <si>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</si>
  <si>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</si>
  <si>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</si>
  <si>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</si>
  <si>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</si>
  <si>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</si>
  <si>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</si>
  <si>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</si>
  <si>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</si>
  <si>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</si>
  <si>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</si>
  <si>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</si>
  <si>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</si>
  <si>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</si>
  <si>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</si>
  <si>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</si>
  <si>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</si>
  <si>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</si>
  <si>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</si>
  <si>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</si>
  <si>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</si>
  <si>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</si>
  <si>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</si>
  <si>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</si>
  <si>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</si>
  <si>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</si>
  <si>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</si>
  <si>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</si>
  <si>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</si>
  <si>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</si>
  <si>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</si>
  <si>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</si>
  <si>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</si>
  <si>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</si>
  <si>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</si>
  <si>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</si>
  <si>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</si>
  <si>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</si>
  <si>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</si>
  <si>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</si>
  <si>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</si>
  <si>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</si>
  <si>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</si>
  <si>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</si>
  <si>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</si>
  <si>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</si>
  <si>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</si>
  <si>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</si>
  <si>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</si>
  <si>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</si>
  <si>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</si>
  <si>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</si>
  <si>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</si>
  <si>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</si>
  <si>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</si>
  <si>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</si>
  <si>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</si>
  <si>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</si>
  <si>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</si>
  <si>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</si>
  <si>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</si>
  <si>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</si>
  <si>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</si>
  <si>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</si>
  <si>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</si>
  <si>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</si>
  <si>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</si>
  <si>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</si>
  <si>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</si>
  <si>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</si>
  <si>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</si>
  <si>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</si>
  <si>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</si>
  <si>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</si>
  <si>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</si>
  <si>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</si>
  <si>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</si>
  <si>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</si>
  <si>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</si>
  <si>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</si>
  <si>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</si>
  <si>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</si>
  <si>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</si>
  <si>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</si>
  <si>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</si>
  <si>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</si>
  <si>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</si>
  <si>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</si>
  <si>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</si>
  <si>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</si>
  <si>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</si>
  <si>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</si>
  <si>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</si>
  <si>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</si>
  <si>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</si>
  <si>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</si>
  <si>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</si>
  <si>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</si>
  <si>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</si>
  <si>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</si>
  <si>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</si>
  <si>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</si>
  <si>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</si>
  <si>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</si>
  <si>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</si>
  <si>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</si>
  <si>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</si>
  <si>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</si>
  <si>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</si>
  <si>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</si>
  <si>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</si>
  <si>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</si>
  <si>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</si>
  <si>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</si>
  <si>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</si>
  <si>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</si>
  <si>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</si>
  <si>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</si>
  <si>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</si>
  <si>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</si>
  <si>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</si>
  <si>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</si>
  <si>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</si>
  <si>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</si>
  <si>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</si>
  <si>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</si>
  <si>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</si>
  <si>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</si>
  <si>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</si>
  <si>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</si>
  <si>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</si>
  <si>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</si>
  <si>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</si>
  <si>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</si>
  <si>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</si>
  <si>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</si>
  <si>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</si>
  <si>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</si>
  <si>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</si>
  <si>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</si>
  <si>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</si>
  <si>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</si>
  <si>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</si>
  <si>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</si>
  <si>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</si>
  <si>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</si>
  <si>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</si>
  <si>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</si>
  <si>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</si>
  <si>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</si>
  <si>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</si>
  <si>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</si>
  <si>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</si>
  <si>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</si>
  <si>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</si>
  <si>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</si>
  <si>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</si>
  <si>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</si>
  <si>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</si>
  <si>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</si>
  <si>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</si>
  <si>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</si>
  <si>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</si>
  <si>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</si>
  <si>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</si>
  <si>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</si>
  <si>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</si>
  <si>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</si>
  <si>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</si>
  <si>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</si>
  <si>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</si>
  <si>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</si>
  <si>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</si>
  <si>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</si>
  <si>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</si>
  <si>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</si>
  <si>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</si>
  <si>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</si>
  <si>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</si>
  <si>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</si>
  <si>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</si>
  <si>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</si>
  <si>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</si>
  <si>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</si>
  <si>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</si>
  <si>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</si>
  <si>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</si>
  <si>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</si>
  <si>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</si>
  <si>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</si>
  <si>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</si>
  <si>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</si>
  <si>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</si>
  <si>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</si>
  <si>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</si>
  <si>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</si>
  <si>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</si>
  <si>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</si>
  <si>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</si>
  <si>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</si>
  <si>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</si>
  <si>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</si>
  <si>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</si>
  <si>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</si>
  <si>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</si>
  <si>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</si>
  <si>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</si>
  <si>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</si>
  <si>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</si>
  <si>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</si>
  <si>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</si>
  <si>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</si>
  <si>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</si>
  <si>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</si>
  <si>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</si>
  <si>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</si>
  <si>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</si>
  <si>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</si>
  <si>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</si>
  <si>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</si>
  <si>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</si>
  <si>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</si>
  <si>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</si>
  <si>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</si>
  <si>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</si>
  <si>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</si>
  <si>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</si>
  <si>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</si>
  <si>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</si>
  <si>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</si>
  <si>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</si>
  <si>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</si>
  <si>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</si>
  <si>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</si>
  <si>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</si>
  <si>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</si>
  <si>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</si>
  <si>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</si>
  <si>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</si>
  <si>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</si>
  <si>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</si>
  <si>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</si>
  <si>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</si>
  <si>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</si>
  <si>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</si>
  <si>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</si>
  <si>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</si>
  <si>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</si>
  <si>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</si>
  <si>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</si>
  <si>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</si>
  <si>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</si>
  <si>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</si>
  <si>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</si>
  <si>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</si>
  <si>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</si>
  <si>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</si>
  <si>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</si>
  <si>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</si>
  <si>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</si>
  <si>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</si>
  <si>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</si>
  <si>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</si>
  <si>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</si>
  <si>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</si>
  <si>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</si>
  <si>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</si>
  <si>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</si>
  <si>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</si>
  <si>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</si>
  <si>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</si>
  <si>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</si>
  <si>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</si>
  <si>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</si>
  <si>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</si>
  <si>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</si>
  <si>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</si>
  <si>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</si>
  <si>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</si>
  <si>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</si>
  <si>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</si>
  <si>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</si>
  <si>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</si>
  <si>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</si>
  <si>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</si>
  <si>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</si>
  <si>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</si>
  <si>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</si>
  <si>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</si>
  <si>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</si>
  <si>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</si>
  <si>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</si>
  <si>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</si>
  <si>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</si>
  <si>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</si>
  <si>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</si>
  <si>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</si>
  <si>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</si>
  <si>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</si>
  <si>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</si>
  <si>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</si>
  <si>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</si>
  <si>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</si>
  <si>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</si>
  <si>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</si>
  <si>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</si>
  <si>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</si>
  <si>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</si>
  <si>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</si>
  <si>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</si>
  <si>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</si>
  <si>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</si>
  <si>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</si>
  <si>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</si>
  <si>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</si>
  <si>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</si>
  <si>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</si>
  <si>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</si>
  <si>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</si>
  <si>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</si>
  <si>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</si>
  <si>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</si>
  <si>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</si>
  <si>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</si>
  <si>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</si>
  <si>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</si>
  <si>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</si>
  <si>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</si>
  <si>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</si>
  <si>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</si>
  <si>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</si>
  <si>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</si>
  <si>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</si>
  <si>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</si>
  <si>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</si>
  <si>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</si>
  <si>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</si>
  <si>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</si>
  <si>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</si>
  <si>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</si>
  <si>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</si>
  <si>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</si>
  <si>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</si>
  <si>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</si>
  <si>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</si>
  <si>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</si>
  <si>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</si>
  <si>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</si>
  <si>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</si>
  <si>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</si>
  <si>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</si>
  <si>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</si>
  <si>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</si>
  <si>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</si>
  <si>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</si>
  <si>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</si>
  <si>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</si>
  <si>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</si>
  <si>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</si>
  <si>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</si>
  <si>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</si>
  <si>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</si>
  <si>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</si>
  <si>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</si>
  <si>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</si>
  <si>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</si>
  <si>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</si>
  <si>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</si>
  <si>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</si>
  <si>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</si>
  <si>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</si>
  <si>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</si>
  <si>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</si>
  <si>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</si>
  <si>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</si>
  <si>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</si>
  <si>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</si>
  <si>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</si>
  <si>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</si>
  <si>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</si>
  <si>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</si>
  <si>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</si>
  <si>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</si>
  <si>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</si>
  <si>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</si>
  <si>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</si>
  <si>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</si>
  <si>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</si>
  <si>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</si>
  <si>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</si>
  <si>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</si>
  <si>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</si>
  <si>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</si>
  <si>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</si>
  <si>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</si>
  <si>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</si>
  <si>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</si>
  <si>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</si>
  <si>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</si>
  <si>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</si>
  <si>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</si>
  <si>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</si>
  <si>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</si>
  <si>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</si>
  <si>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</si>
  <si>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</si>
  <si>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</si>
  <si>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</si>
  <si>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</si>
  <si>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</si>
  <si>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</si>
  <si>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</si>
  <si>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</si>
  <si>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</si>
  <si>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</si>
  <si>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</si>
  <si>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</si>
  <si>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</si>
  <si>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</si>
  <si>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</si>
  <si>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</si>
  <si>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</si>
  <si>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</si>
  <si>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</si>
  <si>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</si>
  <si>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</si>
  <si>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</si>
  <si>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</si>
  <si>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</si>
  <si>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</si>
  <si>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</si>
  <si>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</si>
  <si>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</si>
  <si>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</si>
  <si>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</si>
  <si>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</si>
  <si>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</si>
  <si>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</si>
  <si>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</si>
  <si>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</si>
  <si>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</si>
  <si>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</si>
  <si>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</si>
  <si>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</si>
  <si>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</si>
  <si>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</si>
  <si>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</si>
  <si>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</si>
  <si>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</si>
  <si>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</si>
  <si>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</si>
  <si>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</si>
  <si>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</si>
  <si>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</si>
  <si>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</si>
  <si>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</si>
  <si>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</si>
  <si>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</si>
  <si>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</si>
  <si>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</si>
  <si>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</si>
  <si>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</si>
  <si>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</si>
  <si>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</si>
  <si>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</si>
  <si>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</si>
  <si>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</si>
  <si>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</si>
  <si>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</si>
  <si>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</si>
  <si>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</si>
  <si>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</si>
  <si>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</si>
  <si>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</si>
  <si>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</si>
  <si>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</si>
  <si>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</si>
  <si>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</si>
  <si>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</si>
  <si>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</si>
  <si>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</si>
  <si>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</si>
  <si>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</si>
  <si>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</si>
  <si>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</si>
  <si>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</si>
  <si>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</si>
  <si>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</si>
  <si>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</si>
  <si>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</si>
  <si>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</si>
  <si>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</si>
  <si>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</si>
  <si>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</si>
  <si>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</si>
  <si>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</si>
  <si>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</si>
  <si>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</si>
  <si>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</si>
  <si>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</si>
  <si>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</si>
  <si>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</si>
  <si>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</si>
  <si>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</si>
  <si>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</si>
  <si>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</si>
  <si>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</si>
  <si>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</si>
  <si>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</si>
  <si>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</si>
  <si>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</si>
  <si>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</si>
  <si>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</si>
  <si>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</si>
  <si>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</si>
  <si>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</si>
  <si>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</si>
  <si>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</si>
  <si>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</si>
  <si>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</si>
  <si>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</si>
  <si>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</si>
  <si>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</si>
  <si>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</si>
  <si>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</si>
  <si>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</si>
  <si>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</si>
  <si>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</si>
  <si>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</si>
  <si>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</si>
  <si>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</si>
  <si>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</si>
  <si>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</si>
  <si>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</si>
  <si>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</si>
  <si>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</si>
  <si>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</si>
  <si>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</si>
  <si>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</si>
  <si>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</si>
  <si>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</si>
  <si>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</si>
  <si>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</si>
  <si>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</si>
  <si>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</si>
  <si>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</si>
  <si>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</si>
  <si>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</si>
  <si>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</si>
  <si>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</si>
  <si>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</si>
  <si>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</si>
  <si>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</si>
  <si>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</si>
  <si>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</si>
  <si>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</si>
  <si>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</si>
  <si>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</si>
  <si>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</si>
  <si>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</si>
  <si>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</si>
  <si>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</si>
  <si>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</si>
  <si>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</si>
  <si>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</si>
  <si>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</si>
  <si>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</si>
  <si>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</si>
  <si>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</si>
  <si>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</si>
  <si>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</si>
  <si>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</si>
  <si>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</si>
  <si>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</si>
  <si>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</si>
  <si>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</si>
  <si>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</si>
  <si>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</si>
  <si>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</si>
  <si>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</si>
  <si>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</si>
  <si>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</si>
  <si>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</si>
  <si>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</si>
  <si>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</si>
  <si>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</si>
  <si>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</si>
  <si>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</si>
  <si>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</si>
  <si>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</si>
  <si>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</si>
  <si>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</si>
  <si>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</si>
  <si>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</si>
  <si>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</si>
  <si>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</si>
  <si>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</si>
  <si>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</si>
  <si>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</si>
  <si>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</si>
  <si>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</si>
  <si>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</si>
  <si>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</si>
  <si>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</si>
  <si>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</si>
  <si>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</si>
  <si>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</si>
  <si>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</si>
  <si>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</si>
  <si>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</si>
  <si>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</si>
  <si>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</si>
  <si>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</si>
  <si>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</si>
  <si>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</si>
  <si>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</si>
  <si>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</si>
  <si>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</si>
  <si>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</si>
  <si>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</si>
  <si>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</si>
  <si>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</si>
  <si>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</si>
  <si>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</si>
  <si>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</si>
  <si>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</si>
  <si>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</si>
  <si>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</si>
  <si>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</si>
  <si>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</si>
  <si>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</si>
  <si>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</si>
  <si>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</si>
  <si>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</si>
  <si>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</si>
  <si>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</si>
  <si>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</si>
  <si>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</si>
  <si>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</si>
  <si>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</si>
  <si>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</si>
  <si>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</si>
  <si>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</si>
  <si>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</si>
  <si>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</si>
  <si>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</si>
  <si>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</si>
  <si>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</si>
  <si>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</si>
  <si>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</si>
  <si>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</si>
  <si>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</si>
  <si>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</si>
  <si>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</si>
  <si>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</si>
  <si>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</si>
  <si>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</si>
  <si>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</si>
  <si>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</si>
  <si>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</si>
  <si>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</si>
  <si>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</si>
  <si>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</si>
  <si>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</si>
  <si>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</si>
  <si>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</si>
  <si>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</si>
  <si>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</si>
  <si>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</si>
  <si>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</si>
  <si>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</si>
  <si>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</si>
  <si>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</si>
  <si>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</si>
  <si>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</si>
  <si>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</si>
  <si>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</si>
  <si>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</si>
  <si>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</si>
  <si>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</si>
  <si>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</si>
  <si>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</si>
  <si>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</si>
  <si>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</si>
  <si>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</si>
  <si>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</si>
  <si>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</si>
  <si>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</si>
  <si>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</si>
  <si>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</si>
  <si>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</si>
  <si>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</si>
  <si>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</si>
  <si>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</si>
  <si>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</si>
  <si>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</si>
  <si>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</si>
  <si>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</si>
  <si>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</si>
  <si>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</si>
  <si>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</si>
  <si>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</si>
  <si>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</si>
  <si>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</si>
  <si>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</si>
  <si>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</si>
  <si>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</si>
  <si>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</si>
  <si>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</si>
  <si>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</si>
  <si>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</si>
  <si>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</si>
  <si>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</si>
  <si>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</si>
  <si>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</si>
  <si>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</si>
  <si>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</si>
  <si>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</si>
  <si>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</si>
  <si>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</si>
  <si>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</si>
  <si>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</si>
  <si>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</si>
  <si>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</si>
  <si>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</si>
  <si>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</si>
  <si>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</si>
  <si>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</si>
  <si>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</si>
  <si>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</si>
  <si>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</si>
  <si>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</si>
  <si>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</si>
  <si>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</si>
  <si>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</si>
  <si>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</si>
  <si>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</si>
  <si>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</si>
  <si>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</si>
  <si>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</si>
  <si>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</si>
  <si>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</si>
  <si>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</si>
  <si>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</si>
  <si>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</si>
  <si>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</si>
  <si>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</si>
  <si>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</si>
  <si>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</si>
  <si>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</si>
  <si>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</si>
  <si>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</si>
  <si>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</si>
  <si>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</si>
  <si>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</si>
  <si>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</si>
  <si>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</si>
  <si>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</si>
  <si>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</si>
  <si>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</si>
  <si>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</si>
  <si>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</si>
  <si>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</si>
  <si>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</si>
  <si>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</si>
  <si>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</si>
  <si>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</si>
  <si>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</si>
  <si>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</si>
  <si>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</si>
  <si>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</si>
  <si>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</si>
  <si>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</si>
  <si>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</si>
  <si>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</si>
  <si>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</si>
  <si>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</si>
  <si>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</si>
  <si>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</si>
  <si>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</si>
  <si>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</si>
  <si>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</si>
  <si>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</si>
  <si>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</si>
  <si>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</si>
  <si>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</si>
  <si>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</si>
  <si>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</si>
  <si>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</si>
  <si>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</si>
  <si>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</si>
  <si>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</si>
  <si>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</si>
  <si>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</si>
  <si>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</si>
  <si>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</si>
  <si>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</si>
  <si>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</si>
  <si>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</si>
  <si>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</si>
  <si>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</si>
  <si>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</si>
  <si>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</si>
  <si>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</si>
  <si>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</si>
  <si>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</si>
  <si>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</si>
  <si>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</si>
  <si>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</si>
  <si>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</si>
  <si>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</si>
  <si>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</si>
  <si>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</si>
  <si>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</si>
  <si>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</si>
  <si>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</si>
  <si>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</si>
  <si>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</si>
  <si>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</si>
  <si>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</si>
  <si>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</si>
  <si>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</si>
  <si>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</si>
  <si>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</si>
  <si>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</si>
  <si>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</si>
  <si>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</si>
  <si>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</si>
  <si>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</si>
  <si>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</si>
  <si>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</si>
  <si>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</si>
  <si>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</si>
  <si>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</si>
  <si>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</si>
  <si>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</si>
  <si>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</si>
  <si>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</si>
  <si>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</si>
  <si>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</si>
  <si>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</si>
  <si>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</si>
  <si>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</si>
  <si>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</si>
  <si>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</si>
  <si>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</si>
  <si>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</si>
  <si>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</si>
  <si>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</si>
  <si>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</si>
  <si>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</si>
  <si>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</si>
  <si>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</si>
  <si>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</si>
  <si>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</si>
  <si>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</si>
  <si>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</si>
  <si>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</si>
  <si>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</si>
  <si>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</si>
  <si>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</si>
  <si>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</si>
  <si>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</si>
  <si>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</si>
  <si>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</si>
  <si>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</si>
  <si>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</si>
  <si>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</si>
  <si>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</si>
  <si>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</si>
  <si>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</si>
  <si>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</si>
  <si>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</si>
  <si>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</si>
  <si>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</si>
  <si>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</si>
  <si>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</si>
  <si>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</si>
  <si>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</si>
  <si>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</si>
  <si>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</si>
  <si>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</si>
  <si>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</si>
  <si>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</si>
  <si>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</si>
  <si>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</si>
  <si>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</si>
  <si>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</si>
  <si>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</si>
  <si>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</si>
  <si>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</si>
  <si>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</si>
  <si>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</si>
  <si>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</si>
  <si>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</si>
  <si>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</si>
  <si>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</si>
  <si>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</si>
  <si>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</si>
  <si>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</si>
  <si>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</si>
  <si>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</si>
  <si>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</si>
  <si>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</si>
  <si>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</si>
  <si>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</si>
  <si>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</si>
  <si>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</si>
  <si>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</si>
  <si>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</si>
  <si>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</si>
  <si>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</si>
  <si>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</si>
  <si>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</si>
  <si>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</si>
  <si>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</si>
  <si>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</si>
  <si>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</si>
  <si>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</si>
  <si>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</si>
  <si>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</si>
  <si>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</si>
  <si>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</si>
  <si>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</si>
  <si>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</si>
  <si>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</si>
  <si>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</si>
  <si>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</si>
  <si>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</si>
  <si>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</si>
  <si>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</si>
  <si>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</si>
  <si>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</si>
  <si>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</si>
  <si>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</si>
  <si>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</si>
  <si>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</si>
  <si>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</si>
  <si>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</si>
  <si>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</si>
  <si>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</si>
  <si>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</si>
  <si>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</si>
  <si>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</si>
  <si>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</si>
  <si>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</si>
  <si>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</si>
  <si>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</si>
  <si>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</si>
  <si>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</si>
  <si>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</si>
  <si>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</si>
  <si>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</si>
  <si>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</si>
  <si>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</si>
  <si>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</si>
  <si>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</si>
  <si>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</si>
  <si>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</si>
  <si>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</si>
  <si>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</si>
  <si>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</si>
  <si>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</si>
  <si>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</si>
  <si>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</si>
  <si>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</si>
  <si>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</si>
  <si>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</si>
  <si>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</si>
  <si>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</si>
  <si>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</si>
  <si>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</si>
  <si>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</si>
  <si>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</si>
  <si>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</si>
  <si>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</si>
  <si>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</si>
  <si>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</si>
  <si>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</si>
  <si>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</si>
  <si>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</si>
  <si>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</si>
  <si>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</si>
  <si>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</si>
  <si>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</si>
  <si>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</si>
  <si>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</si>
  <si>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</si>
  <si>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</si>
  <si>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</si>
  <si>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</si>
  <si>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</si>
  <si>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</si>
  <si>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</si>
  <si>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</si>
  <si>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</si>
  <si>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</si>
  <si>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</si>
  <si>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</si>
  <si>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</si>
  <si>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</si>
  <si>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</si>
  <si>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</si>
  <si>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</si>
  <si>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</si>
  <si>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</si>
  <si>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</si>
  <si>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</si>
  <si>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</si>
  <si>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</si>
  <si>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</si>
  <si>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</si>
  <si>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</si>
  <si>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</si>
  <si>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</si>
  <si>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</si>
  <si>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</si>
  <si>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</si>
  <si>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</si>
  <si>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</si>
  <si>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</si>
  <si>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</si>
  <si>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</si>
  <si>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</si>
  <si>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</si>
  <si>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</si>
  <si>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</si>
  <si>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</si>
  <si>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</si>
  <si>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</si>
  <si>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</si>
  <si>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</si>
  <si>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</si>
  <si>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</si>
  <si>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</si>
  <si>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</si>
  <si>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</si>
  <si>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</si>
  <si>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</si>
  <si>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</si>
  <si>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</si>
  <si>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</si>
  <si>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</si>
  <si>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</si>
  <si>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</si>
  <si>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</si>
  <si>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</si>
  <si>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</si>
  <si>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</si>
  <si>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</si>
  <si>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</si>
  <si>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</si>
  <si>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</si>
  <si>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</si>
  <si>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</si>
  <si>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</si>
  <si>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</si>
  <si>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</si>
  <si>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</si>
  <si>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</si>
  <si>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</si>
  <si>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</si>
  <si>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</si>
  <si>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</si>
  <si>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</si>
  <si>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</si>
  <si>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</si>
  <si>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</si>
  <si>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</si>
  <si>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</si>
  <si>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</si>
  <si>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</si>
  <si>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</si>
  <si>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</si>
  <si>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</si>
  <si>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</si>
  <si>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</si>
  <si>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</si>
  <si>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</si>
  <si>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</si>
  <si>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</si>
  <si>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</si>
  <si>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</si>
  <si>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</si>
  <si>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</si>
  <si>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</si>
  <si>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</si>
  <si>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</si>
  <si>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</si>
  <si>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</si>
  <si>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</si>
  <si>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</si>
  <si>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</si>
  <si>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</si>
  <si>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</si>
  <si>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</si>
  <si>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</si>
  <si>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</si>
  <si>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</si>
  <si>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</si>
  <si>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</si>
  <si>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</si>
  <si>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</si>
  <si>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</si>
  <si>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</si>
  <si>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</si>
  <si>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</si>
  <si>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</si>
  <si>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</si>
  <si>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</si>
  <si>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</si>
  <si>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</si>
  <si>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</si>
  <si>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</si>
  <si>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</si>
  <si>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</si>
  <si>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</si>
  <si>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</si>
  <si>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</si>
  <si>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</si>
  <si>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</si>
  <si>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</si>
  <si>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</si>
  <si>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</si>
  <si>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</si>
  <si>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</si>
  <si>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</si>
  <si>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</si>
  <si>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</si>
  <si>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</si>
  <si>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</si>
  <si>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</si>
  <si>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</si>
  <si>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</si>
  <si>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</si>
  <si>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</si>
  <si>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</si>
  <si>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</si>
  <si>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</si>
  <si>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</si>
  <si>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</si>
  <si>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</si>
  <si>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</si>
  <si>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</si>
  <si>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</si>
  <si>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</si>
  <si>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</si>
  <si>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</si>
  <si>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</si>
  <si>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</si>
  <si>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</si>
  <si>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</si>
  <si>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</si>
  <si>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</si>
  <si>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</si>
  <si>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</si>
  <si>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</si>
  <si>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</si>
  <si>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</si>
  <si>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</si>
  <si>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</si>
  <si>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</si>
  <si>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</si>
  <si>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</si>
  <si>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</si>
  <si>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</si>
  <si>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</si>
  <si>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</si>
  <si>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</si>
  <si>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</si>
  <si>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</si>
  <si>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</si>
  <si>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</si>
  <si>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</si>
  <si>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</si>
  <si>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</si>
  <si>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</si>
  <si>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</si>
  <si>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</si>
  <si>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</si>
  <si>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</si>
  <si>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</si>
  <si>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</si>
  <si>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</si>
  <si>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</si>
  <si>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</si>
  <si>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</si>
  <si>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</si>
  <si>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</si>
  <si>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</si>
  <si>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</si>
  <si>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</si>
  <si>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</si>
  <si>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</si>
  <si>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</si>
  <si>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</si>
  <si>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</si>
  <si>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</si>
  <si>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</si>
  <si>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</si>
  <si>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</si>
  <si>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</si>
  <si>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</si>
  <si>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</si>
  <si>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</si>
  <si>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</si>
  <si>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</si>
  <si>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</si>
  <si>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</si>
  <si>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</si>
  <si>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</si>
  <si>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</si>
  <si>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</si>
  <si>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</si>
  <si>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</si>
  <si>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</si>
  <si>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</si>
  <si>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</si>
  <si>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</si>
  <si>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</si>
  <si>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</si>
  <si>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</si>
  <si>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</si>
  <si>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</si>
  <si>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</si>
  <si>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</si>
  <si>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</si>
  <si>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</si>
  <si>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</si>
  <si>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</si>
  <si>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</si>
  <si>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</si>
  <si>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</si>
  <si>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</si>
  <si>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</si>
  <si>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</si>
  <si>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</si>
  <si>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</si>
  <si>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</si>
  <si>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</si>
  <si>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</si>
  <si>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</si>
  <si>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</si>
  <si>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</si>
  <si>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</si>
  <si>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</si>
  <si>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</si>
  <si>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</si>
  <si>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</si>
  <si>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</si>
  <si>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</si>
  <si>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</si>
  <si>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</si>
  <si>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</si>
  <si>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</si>
  <si>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</si>
  <si>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</si>
  <si>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</si>
  <si>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</si>
  <si>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</si>
  <si>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</si>
  <si>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</si>
  <si>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</si>
  <si>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</si>
  <si>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</si>
  <si>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</si>
  <si>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</si>
  <si>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</si>
  <si>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</si>
  <si>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</si>
  <si>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</si>
  <si>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</si>
  <si>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</si>
  <si>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</si>
  <si>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</si>
  <si>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</si>
  <si>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</si>
  <si>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</si>
  <si>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</si>
  <si>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</si>
  <si>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</si>
  <si>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</si>
  <si>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</si>
  <si>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</si>
  <si>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</si>
  <si>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</si>
  <si>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</si>
  <si>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</si>
  <si>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</si>
  <si>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</si>
  <si>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</si>
  <si>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</si>
  <si>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</si>
  <si>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</si>
  <si>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</si>
  <si>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</si>
  <si>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</si>
  <si>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</si>
  <si>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</si>
  <si>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</si>
  <si>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</si>
  <si>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</si>
  <si>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</si>
  <si>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</si>
  <si>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</si>
  <si>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</si>
  <si>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</si>
  <si>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</si>
  <si>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</si>
  <si>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</si>
  <si>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</si>
  <si>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</si>
  <si>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</si>
  <si>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</si>
  <si>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</si>
  <si>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</si>
  <si>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</si>
  <si>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</si>
  <si>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</si>
  <si>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</si>
  <si>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</si>
  <si>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</si>
  <si>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</si>
  <si>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</si>
  <si>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</si>
  <si>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</si>
  <si>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</si>
  <si>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</si>
  <si>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</si>
  <si>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</si>
  <si>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</si>
  <si>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</si>
  <si>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</si>
  <si>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</si>
  <si>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</si>
  <si>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</si>
  <si>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</si>
  <si>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</si>
  <si>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</si>
  <si>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</si>
  <si>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</si>
  <si>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</si>
  <si>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</si>
  <si>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</si>
  <si>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</si>
  <si>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</si>
  <si>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</si>
  <si>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</si>
  <si>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</si>
  <si>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</si>
  <si>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</si>
  <si>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</si>
  <si>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</si>
  <si>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</si>
  <si>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</si>
  <si>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</si>
  <si>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</si>
  <si>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</si>
  <si>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</si>
  <si>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</si>
  <si>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</si>
  <si>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</si>
  <si>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</si>
  <si>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</si>
  <si>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</si>
  <si>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</si>
  <si>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</si>
  <si>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</si>
  <si>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</si>
  <si>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</si>
  <si>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</si>
  <si>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</si>
  <si>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</si>
  <si>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</si>
  <si>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</si>
  <si>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</si>
  <si>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</si>
  <si>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</si>
  <si>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</si>
  <si>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</si>
  <si>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</si>
  <si>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</si>
  <si>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</si>
  <si>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</si>
  <si>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</si>
  <si>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</si>
  <si>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</si>
  <si>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</si>
  <si>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</si>
  <si>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</si>
  <si>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</si>
  <si>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</si>
  <si>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</si>
  <si>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</si>
  <si>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</si>
  <si>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</si>
  <si>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</si>
  <si>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</si>
  <si>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</si>
  <si>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</si>
  <si>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</si>
  <si>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</si>
  <si>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</si>
  <si>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</si>
  <si>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</si>
  <si>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</si>
  <si>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</si>
  <si>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</si>
  <si>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</si>
  <si>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</si>
  <si>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</si>
  <si>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</si>
  <si>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</si>
  <si>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</si>
  <si>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</si>
  <si>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</si>
  <si>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</si>
  <si>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</si>
  <si>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</si>
  <si>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</si>
  <si>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</si>
  <si>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</si>
  <si>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</si>
  <si>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</si>
  <si>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</si>
  <si>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</si>
  <si>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</si>
  <si>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</si>
  <si>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</si>
  <si>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</si>
  <si>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</si>
  <si>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</si>
  <si>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</si>
  <si>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</si>
  <si>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</si>
  <si>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</si>
  <si>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</si>
  <si>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</si>
  <si>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</si>
  <si>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</si>
  <si>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</si>
  <si>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</si>
  <si>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</si>
  <si>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</si>
  <si>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</si>
  <si>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</si>
  <si>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</si>
  <si>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</si>
  <si>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</si>
  <si>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</si>
  <si>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</si>
  <si>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</si>
  <si>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</si>
  <si>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</si>
  <si>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</si>
  <si>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</si>
  <si>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</si>
  <si>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</si>
  <si>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</si>
  <si>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</si>
  <si>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</si>
  <si>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</si>
  <si>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</si>
  <si>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</si>
  <si>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</si>
  <si>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</si>
  <si>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</si>
  <si>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</si>
  <si>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</si>
  <si>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</si>
  <si>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</si>
  <si>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</si>
  <si>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</si>
  <si>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</si>
  <si>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</si>
  <si>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</si>
  <si>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</si>
  <si>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</si>
  <si>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</si>
  <si>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</si>
  <si>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</si>
  <si>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</si>
  <si>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</si>
  <si>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</si>
  <si>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</si>
  <si>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</si>
  <si>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</si>
  <si>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</si>
  <si>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</si>
  <si>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</si>
  <si>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</si>
  <si>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</si>
  <si>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</si>
  <si>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</si>
  <si>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</si>
  <si>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</si>
  <si>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</si>
  <si>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</si>
  <si>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</si>
  <si>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</si>
  <si>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</si>
  <si>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</si>
  <si>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</si>
  <si>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</si>
  <si>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</si>
  <si>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</si>
  <si>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</si>
  <si>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</si>
  <si>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</si>
  <si>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</si>
  <si>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</si>
  <si>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</si>
  <si>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</si>
  <si>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</si>
  <si>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</si>
  <si>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</si>
  <si>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</si>
  <si>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</si>
  <si>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</si>
  <si>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</si>
  <si>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</si>
  <si>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</si>
  <si>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</si>
  <si>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</si>
  <si>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</si>
  <si>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</si>
  <si>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</si>
  <si>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</si>
  <si>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</si>
  <si>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</si>
  <si>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</si>
  <si>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</si>
  <si>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</si>
  <si>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</si>
  <si>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</si>
  <si>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</si>
  <si>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</si>
  <si>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</si>
  <si>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</si>
  <si>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</si>
  <si>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</si>
  <si>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</si>
  <si>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</si>
  <si>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</si>
  <si>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</si>
  <si>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</si>
  <si>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</si>
  <si>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</si>
  <si>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</si>
  <si>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</si>
  <si>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</si>
  <si>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</si>
  <si>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</si>
  <si>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</si>
  <si>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</si>
  <si>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</si>
  <si>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</si>
  <si>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</si>
  <si>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</si>
  <si>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</si>
  <si>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</si>
  <si>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</si>
  <si>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</si>
  <si>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</si>
  <si>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</si>
  <si>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</si>
  <si>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</si>
  <si>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</si>
  <si>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</si>
  <si>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</si>
  <si>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</si>
  <si>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</si>
  <si>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</si>
  <si>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</si>
  <si>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</si>
  <si>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</si>
  <si>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</si>
  <si>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</si>
  <si>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</si>
  <si>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</si>
  <si>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</si>
  <si>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</si>
  <si>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</si>
  <si>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</si>
  <si>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</si>
  <si>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</si>
  <si>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</si>
  <si>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</si>
  <si>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</si>
  <si>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</si>
  <si>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</si>
  <si>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</si>
  <si>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</si>
  <si>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</si>
  <si>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</si>
  <si>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</si>
  <si>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</si>
  <si>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</si>
  <si>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</si>
  <si>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</si>
  <si>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</si>
  <si>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</si>
  <si>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</si>
  <si>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</si>
  <si>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</si>
  <si>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</si>
  <si>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</si>
  <si>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</si>
  <si>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</si>
  <si>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</si>
  <si>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</si>
  <si>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</si>
  <si>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</si>
  <si>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</si>
  <si>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</si>
  <si>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</si>
  <si>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</si>
  <si>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</si>
  <si>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</si>
  <si>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</si>
  <si>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</si>
  <si>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</si>
  <si>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</si>
  <si>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</si>
  <si>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</si>
  <si>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</si>
  <si>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</si>
  <si>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</si>
  <si>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</si>
  <si>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</si>
  <si>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</si>
  <si>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</si>
  <si>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</si>
  <si>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</si>
  <si>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</si>
  <si>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</si>
  <si>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</si>
  <si>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</si>
  <si>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</si>
  <si>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</si>
  <si>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</si>
  <si>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</si>
  <si>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</si>
  <si>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</si>
  <si>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</si>
  <si>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</si>
  <si>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</si>
  <si>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</si>
  <si>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</si>
  <si>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</si>
  <si>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</si>
  <si>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</si>
  <si>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</si>
  <si>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</si>
  <si>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</si>
  <si>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</si>
  <si>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</si>
  <si>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</si>
  <si>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</si>
  <si>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</si>
  <si>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</si>
  <si>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</si>
  <si>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</si>
  <si>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</si>
  <si>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</si>
  <si>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</si>
  <si>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</si>
  <si>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</si>
  <si>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</si>
  <si>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</si>
  <si>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</si>
  <si>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</si>
  <si>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</si>
  <si>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</si>
  <si>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</si>
  <si>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</si>
  <si>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</si>
  <si>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</si>
  <si>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</si>
  <si>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</si>
  <si>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</si>
  <si>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</si>
  <si>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</si>
  <si>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</si>
  <si>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</si>
  <si>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</si>
  <si>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</si>
  <si>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</si>
  <si>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</si>
  <si>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</si>
  <si>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</si>
  <si>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</si>
  <si>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</si>
  <si>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</si>
  <si>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通州区宋庄镇尹各庄村新建科研用地</t>
    <phoneticPr fontId="6" type="noConversion"/>
  </si>
  <si>
    <t>汇天网络</t>
    <phoneticPr fontId="6" type="noConversion"/>
  </si>
  <si>
    <t>Ⅶ-通1</t>
  </si>
  <si>
    <t>1#</t>
  </si>
  <si>
    <t>2#</t>
  </si>
  <si>
    <t>3#</t>
  </si>
  <si>
    <t>4#</t>
  </si>
  <si>
    <t>5#</t>
  </si>
  <si>
    <t>6#</t>
  </si>
  <si>
    <t>7#</t>
  </si>
  <si>
    <t>8#</t>
  </si>
  <si>
    <t>9#</t>
  </si>
  <si>
    <t>10#</t>
  </si>
  <si>
    <t>11#</t>
  </si>
  <si>
    <t>12#</t>
  </si>
  <si>
    <t>13#</t>
  </si>
  <si>
    <t>14#</t>
  </si>
  <si>
    <t>15#</t>
  </si>
  <si>
    <t>16#</t>
  </si>
  <si>
    <t>17#</t>
  </si>
  <si>
    <t>18#</t>
  </si>
  <si>
    <t>地下车库</t>
  </si>
  <si>
    <t>现房</t>
  </si>
  <si>
    <t>在建</t>
  </si>
  <si>
    <t>已售</t>
    <phoneticPr fontId="3" type="noConversion"/>
  </si>
  <si>
    <t>否</t>
  </si>
  <si>
    <t>是</t>
  </si>
  <si>
    <t>科研用房</t>
  </si>
  <si>
    <t>科研用房</t>
    <phoneticPr fontId="16" type="noConversion"/>
  </si>
  <si>
    <t>地上</t>
  </si>
  <si>
    <t>公共服务</t>
  </si>
  <si>
    <t>地下</t>
  </si>
  <si>
    <t>科研用房</t>
    <phoneticPr fontId="7" type="noConversion"/>
  </si>
  <si>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</si>
  <si>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</si>
  <si>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</si>
  <si>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</si>
  <si>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</si>
  <si>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</si>
  <si>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</si>
  <si>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</si>
  <si>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</si>
  <si>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</si>
  <si>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</si>
  <si>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</si>
  <si>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2#</t>
    <phoneticPr fontId="134" type="noConversion"/>
  </si>
  <si>
    <t>3#</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</si>
  <si>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</si>
  <si>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</si>
  <si>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</si>
  <si>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</si>
  <si>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</si>
  <si>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</si>
  <si>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</si>
  <si>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</si>
  <si>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</si>
  <si>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</si>
  <si>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宿舍楼</t>
    <phoneticPr fontId="134" type="noConversion"/>
  </si>
  <si>
    <t>11#</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</si>
  <si>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</si>
  <si>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</si>
  <si>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</si>
  <si>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</si>
  <si>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</si>
  <si>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</si>
  <si>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</si>
  <si>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</si>
  <si>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</si>
  <si>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</si>
  <si>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</si>
  <si>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</si>
  <si>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</si>
  <si>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</si>
  <si>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</si>
  <si>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建安</t>
    <phoneticPr fontId="134" type="noConversion"/>
  </si>
  <si>
    <t>租金</t>
    <phoneticPr fontId="134" type="noConversion"/>
  </si>
  <si>
    <t>机房楼</t>
    <phoneticPr fontId="134" type="noConversion"/>
  </si>
  <si>
    <t>非机房楼</t>
    <phoneticPr fontId="134" type="noConversion"/>
  </si>
  <si>
    <t>办公楼</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</si>
  <si>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</si>
  <si>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</si>
  <si>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</si>
  <si>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</si>
  <si>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</si>
  <si>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</si>
  <si>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</si>
  <si>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租金</t>
    <phoneticPr fontId="134" type="noConversion"/>
  </si>
  <si>
    <t>6层楼</t>
    <phoneticPr fontId="134" type="noConversion"/>
  </si>
  <si>
    <t>单价</t>
    <phoneticPr fontId="134" type="noConversion"/>
  </si>
  <si>
    <t>机房楼数</t>
    <phoneticPr fontId="134" type="noConversion"/>
  </si>
  <si>
    <t>在建：</t>
    <phoneticPr fontId="134" type="noConversion"/>
  </si>
  <si>
    <r>
      <t>6、</t>
    </r>
    <r>
      <rPr>
        <sz val="11"/>
        <color theme="1"/>
        <rFont val="宋体"/>
        <family val="3"/>
        <charset val="134"/>
        <scheme val="minor"/>
      </rPr>
      <t>10、16</t>
    </r>
    <phoneticPr fontId="134" type="noConversion"/>
  </si>
  <si>
    <t>工程进度</t>
    <phoneticPr fontId="134" type="noConversion"/>
  </si>
  <si>
    <t>办公楼</t>
    <phoneticPr fontId="134" type="noConversion"/>
  </si>
  <si>
    <t>宿舍楼</t>
    <phoneticPr fontId="134" type="noConversion"/>
  </si>
  <si>
    <t>机房楼租金</t>
    <phoneticPr fontId="134" type="noConversion"/>
  </si>
  <si>
    <t>机柜数</t>
    <phoneticPr fontId="134" type="noConversion"/>
  </si>
  <si>
    <t>6号楼1栋</t>
    <phoneticPr fontId="134" type="noConversion"/>
  </si>
  <si>
    <t>租金</t>
    <phoneticPr fontId="134" type="noConversion"/>
  </si>
  <si>
    <t>单价</t>
    <phoneticPr fontId="134" type="noConversion"/>
  </si>
  <si>
    <t>工程进度</t>
  </si>
  <si>
    <t>收益法</t>
  </si>
  <si>
    <t>成本法</t>
  </si>
  <si>
    <t>假设开发法</t>
  </si>
  <si>
    <t>押一</t>
  </si>
  <si>
    <t>钢混</t>
  </si>
  <si>
    <t>非生产用房</t>
  </si>
  <si>
    <t>宗地容积率</t>
  </si>
  <si>
    <t>通路</t>
  </si>
  <si>
    <t>通电</t>
  </si>
  <si>
    <t>通讯</t>
  </si>
  <si>
    <t>通上水</t>
  </si>
  <si>
    <t>通下水</t>
  </si>
  <si>
    <t>平整</t>
  </si>
  <si>
    <t>与级别开发程度不一致</t>
  </si>
  <si>
    <t>中心城区以外</t>
  </si>
  <si>
    <t>一般</t>
  </si>
  <si>
    <t>较好</t>
  </si>
  <si>
    <t>较差</t>
  </si>
  <si>
    <t>未包含在土地购买价格中</t>
  </si>
  <si>
    <t>全部缴纳</t>
  </si>
  <si>
    <t>已包含在土地取得成本中</t>
  </si>
  <si>
    <t>总价</t>
  </si>
  <si>
    <t>成本比率</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</si>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</sst>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0" borderId="1" xfId="0" applyFont="1" applyBorder="1" applyAlignment="1" applyProtection="1">
      <alignment horizontal="center" vertical="center" wrapText="1"/>
      <protection locked="0"/>
    </xf>
    <xf numFmtId="0" fontId="44" fillId="16" borderId="2" xfId="0" applyFont="1" applyFill="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71"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0"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9" fontId="0" fillId="0" borderId="0" xfId="0" applyNumberFormat="1">
      <alignment vertical="center"/>
    </xf>
    <xf numFmtId="0" fontId="271" fillId="1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5" fontId="47" fillId="22" borderId="1" xfId="0" applyNumberFormat="1" applyFont="1" applyFill="1" applyBorder="1" applyAlignment="1" applyProtection="1">
      <alignment horizontal="center" vertical="center"/>
      <protection locked="0"/>
    </xf>
    <xf numFmtId="178" fontId="47" fillId="6" borderId="0" xfId="0" applyNumberFormat="1" applyFont="1" applyFill="1" applyBorder="1" applyAlignment="1" applyProtection="1">
      <alignment horizontal="center" vertical="center"/>
    </xf>
    <xf numFmtId="178" fontId="46" fillId="22" borderId="0"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北京市通州区宋庄镇尹各庄村新建科研用地房地产抵押价值预评估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受贵公司委托，我公司对北京市通州区宋庄镇尹各庄村新建科研用地房地产抵押价值进行了预评估。</v>
      </c>
    </row>
    <row r="7" spans="1:2" s="1201" customFormat="1">
      <c r="A7" s="1199" t="s">
        <v>566</v>
      </c>
      <c r="B7" s="1200" t="str">
        <f>'预评函-1'!A7</f>
        <v>估价对象为北京市通州区宋庄镇尹各庄村新建科研用地房地产，为汇天网络所有。根据《国有土地使用证》[]，估价对象（分摊）出让国有建设用地使用权面积为20455.65平方米，建筑面积为59427.91平方米。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2024年12月5日（评估专业人员实地查勘之日）</v>
      </c>
    </row>
    <row r="13" spans="1:2" s="1201" customFormat="1">
      <c r="A13" s="1199" t="s">
        <v>529</v>
      </c>
      <c r="B13" s="1200"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110970</v>
      </c>
    </row>
    <row r="21" spans="1:2" s="1201" customFormat="1">
      <c r="A21" s="1199" t="s">
        <v>537</v>
      </c>
      <c r="B21" s="1200">
        <f ca="1">'预评函-2'!D7</f>
        <v>18673</v>
      </c>
    </row>
    <row r="22" spans="1:2" s="1201" customFormat="1">
      <c r="A22" s="1199" t="s">
        <v>538</v>
      </c>
      <c r="B22" s="1200" t="str">
        <f ca="1">'预评函-2'!D6</f>
        <v>壹拾壹亿零玖佰柒拾万元整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110970</v>
      </c>
    </row>
    <row r="31" spans="1:2" s="1201" customFormat="1">
      <c r="A31" s="1199" t="s">
        <v>576</v>
      </c>
      <c r="B31" s="1200">
        <f ca="1">'预评函-2'!D15</f>
        <v>18673</v>
      </c>
    </row>
    <row r="32" spans="1:2" s="1201" customFormat="1">
      <c r="A32" s="1199" t="s">
        <v>543</v>
      </c>
      <c r="B32" s="1200" t="str">
        <f ca="1">'预评函-2'!D14</f>
        <v>壹拾壹亿零玖佰柒拾万元整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北京市通州区宋庄镇尹各庄村新建科研用地房地产</v>
      </c>
    </row>
    <row r="42" spans="1:2" s="1201" customFormat="1">
      <c r="A42" s="1199" t="s">
        <v>590</v>
      </c>
      <c r="B42" s="1200" t="str">
        <f>'预评函-3'!B2</f>
        <v>建筑面积</v>
      </c>
    </row>
    <row r="43" spans="1:2" s="1201" customFormat="1">
      <c r="A43" s="1199" t="s">
        <v>591</v>
      </c>
      <c r="B43" s="1200">
        <f>'预评函-3'!B4</f>
        <v>59427.91</v>
      </c>
    </row>
    <row r="44" spans="1:2" s="1201" customFormat="1">
      <c r="A44" s="1199" t="s">
        <v>575</v>
      </c>
      <c r="B44" s="1200" t="str">
        <f>'预评函-3'!C2</f>
        <v>(分摊)土地面积</v>
      </c>
    </row>
    <row r="45" spans="1:2" s="1201" customFormat="1">
      <c r="A45" s="1199" t="s">
        <v>547</v>
      </c>
      <c r="B45" s="1200">
        <f>'预评函-3'!C4</f>
        <v>20455.650000000001</v>
      </c>
    </row>
    <row r="46" spans="1:2" s="1201" customFormat="1">
      <c r="A46" s="1199" t="s">
        <v>573</v>
      </c>
      <c r="B46" s="1200" t="str">
        <f>'预评函-3'!D2</f>
        <v>出让国有建设用地使用权价值</v>
      </c>
    </row>
    <row r="47" spans="1:2" s="1201" customFormat="1">
      <c r="A47" s="1199" t="s">
        <v>548</v>
      </c>
      <c r="B47" s="1200">
        <f ca="1">'预评函-3'!D4</f>
        <v>32181</v>
      </c>
    </row>
    <row r="48" spans="1:2" s="1201" customFormat="1">
      <c r="A48" s="1199" t="s">
        <v>549</v>
      </c>
      <c r="B48" s="1200">
        <f ca="1">'预评函-3'!E4</f>
        <v>5415</v>
      </c>
    </row>
    <row r="49" spans="1:2" s="1201" customFormat="1">
      <c r="A49" s="1199" t="s">
        <v>550</v>
      </c>
      <c r="B49" s="1200" t="str">
        <f ca="1">'预评函-3'!D5</f>
        <v>叁亿贰仟壹佰捌拾壹万元整</v>
      </c>
    </row>
    <row r="50" spans="1:2" s="1201" customFormat="1">
      <c r="A50" s="1199" t="s">
        <v>574</v>
      </c>
      <c r="B50" s="1200" t="str">
        <f>'预评函-3'!F2</f>
        <v>在建建筑物价值</v>
      </c>
    </row>
    <row r="51" spans="1:2" s="1201" customFormat="1">
      <c r="A51" s="1199" t="s">
        <v>551</v>
      </c>
      <c r="B51" s="1200">
        <f ca="1">'预评函-3'!F4</f>
        <v>78789</v>
      </c>
    </row>
    <row r="52" spans="1:2" s="1201" customFormat="1">
      <c r="A52" s="1199" t="s">
        <v>552</v>
      </c>
      <c r="B52" s="1200">
        <f ca="1">'预评函-3'!G4</f>
        <v>13258</v>
      </c>
    </row>
    <row r="53" spans="1:2" s="1201" customFormat="1">
      <c r="A53" s="1199" t="s">
        <v>580</v>
      </c>
      <c r="B53" s="1200" t="str">
        <f ca="1">'预评函-3'!F5</f>
        <v>柒亿捌仟柒佰捌拾玖万元整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2579</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2580</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2293</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3421</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2" t="s">
        <v>385</v>
      </c>
      <c r="C54" s="1549" t="s">
        <v>583</v>
      </c>
    </row>
    <row r="55" spans="1:4">
      <c r="A55" s="3508"/>
      <c r="B55" s="1552" t="s">
        <v>386</v>
      </c>
      <c r="C55" s="1549" t="s">
        <v>584</v>
      </c>
    </row>
    <row r="56" spans="1:4">
      <c r="A56" s="3508"/>
      <c r="B56" s="1552" t="s">
        <v>387</v>
      </c>
      <c r="C56" s="1549" t="s">
        <v>588</v>
      </c>
    </row>
    <row r="57" spans="1:4">
      <c r="A57" s="350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09" t="s">
        <v>2582</v>
      </c>
      <c r="J2" s="3509"/>
      <c r="K2" s="3509"/>
      <c r="L2" s="3509"/>
      <c r="M2" s="3509"/>
      <c r="N2" s="3509"/>
      <c r="O2" s="3509"/>
      <c r="P2" s="3509"/>
      <c r="Q2" s="3509"/>
      <c r="R2" s="3509"/>
    </row>
    <row r="3" spans="1:18">
      <c r="A3" s="3016" t="s">
        <v>2503</v>
      </c>
      <c r="B3" s="3017">
        <f>项目基本情况!D3</f>
        <v>45631</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2.0299999999999998</v>
      </c>
      <c r="D5" s="3021">
        <f>IF(ISERROR(ROUND(POWER(1+E5,A5-C5)*(POWER(1+E5,C5)-1)/(POWER(1+E5,A5)-1),3)),0,ROUND(POWER(1+E5,A5-C5)*(POWER(1+E5,C5)-1)/(POWER(1+E5,A5)-1),4))</f>
        <v>9.6699999999999994E-2</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12.04</v>
      </c>
      <c r="D6" s="3021">
        <f>IF(ISERROR(ROUND(POWER(1+E6,A6-C6)*(POWER(1+E6,C6)-1)/(POWER(1+E6,A6)-1),3)),0,ROUND(POWER(1+E6,A6-C6)*(POWER(1+E6,C6)-1)/(POWER(1+E6,A6)-1),4))</f>
        <v>0.438</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32.06</v>
      </c>
      <c r="D7" s="3021">
        <f>IF(ISERROR(ROUND(POWER(1+E7,A7-C7)*(POWER(1+E7,C7)-1)/(POWER(1+E7,A7)-1),3)),0,ROUND(POWER(1+E7,A7-C7)*(POWER(1+E7,C7)-1)/(POWER(1+E7,A7)-1),4))</f>
        <v>0.76470000000000005</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C41" sqref="C41:C4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18"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19"/>
      <c r="D1" s="3519"/>
      <c r="E1" s="3519"/>
      <c r="F1" s="3519"/>
      <c r="G1" s="3519"/>
      <c r="H1" s="3519"/>
      <c r="I1" s="3520"/>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3"/>
      <c r="U1" s="1743"/>
      <c r="V1" s="1743"/>
      <c r="W1" s="1743"/>
      <c r="X1" s="1743"/>
      <c r="Y1" s="1743"/>
      <c r="Z1" s="1743"/>
      <c r="AA1" s="1743"/>
      <c r="AB1" s="1743"/>
    </row>
    <row r="2" spans="1:30">
      <c r="A2" s="2365" t="s">
        <v>2169</v>
      </c>
      <c r="B2" s="2369"/>
      <c r="C2" s="2370"/>
      <c r="D2" s="2666"/>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北京市通州区宋庄镇尹各庄村新建科研用地房地产</v>
      </c>
      <c r="T2" s="1743"/>
      <c r="U2" s="1743"/>
      <c r="V2" s="1743"/>
      <c r="W2" s="1743"/>
      <c r="X2" s="1743"/>
      <c r="Y2" s="1743"/>
      <c r="Z2" s="1743"/>
      <c r="AA2" s="1743"/>
      <c r="AB2" s="1743"/>
    </row>
    <row r="3" spans="1:30">
      <c r="A3" s="302" t="s">
        <v>2170</v>
      </c>
      <c r="B3" s="2371">
        <v>45631</v>
      </c>
      <c r="C3" s="2372" t="s">
        <v>2171</v>
      </c>
      <c r="D3" s="2371">
        <f>B3</f>
        <v>45631</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3389</v>
      </c>
      <c r="C8" s="2388"/>
      <c r="D8" s="3521" t="s">
        <v>2177</v>
      </c>
      <c r="E8" s="2389" t="s">
        <v>3390</v>
      </c>
      <c r="F8" s="2390"/>
      <c r="G8" s="2660"/>
      <c r="H8" s="2660"/>
      <c r="I8" s="2660"/>
      <c r="J8" s="2436"/>
      <c r="K8" s="2611"/>
      <c r="L8" s="2610"/>
      <c r="M8" s="2610"/>
      <c r="N8" s="2436"/>
      <c r="O8" s="2447"/>
      <c r="P8" s="2436"/>
      <c r="Q8" s="2436"/>
      <c r="R8" s="2436"/>
    </row>
    <row r="9" spans="1:30" ht="13.5" thickBot="1">
      <c r="A9" s="2391" t="s">
        <v>2178</v>
      </c>
      <c r="B9" s="2392" t="s">
        <v>3390</v>
      </c>
      <c r="C9" s="2393"/>
      <c r="D9" s="3522"/>
      <c r="E9" s="2392" t="s">
        <v>43</v>
      </c>
      <c r="F9" s="2394"/>
      <c r="G9" s="2662"/>
      <c r="H9" s="2662"/>
      <c r="I9" s="2662"/>
      <c r="J9" s="2436"/>
      <c r="K9" s="2613"/>
      <c r="L9" s="2610"/>
      <c r="M9" s="2610"/>
      <c r="N9" s="2436"/>
      <c r="O9" s="2447"/>
      <c r="P9" s="2436"/>
      <c r="Q9" s="2436"/>
      <c r="R9" s="2436"/>
    </row>
    <row r="10" spans="1:30" ht="13.5" thickTop="1">
      <c r="A10" s="2395" t="s">
        <v>2179</v>
      </c>
      <c r="B10" s="2396" t="s">
        <v>3391</v>
      </c>
      <c r="C10" s="2397"/>
      <c r="D10" s="2380"/>
      <c r="E10" s="2398" t="s">
        <v>2180</v>
      </c>
      <c r="F10" s="3445" t="s">
        <v>3393</v>
      </c>
      <c r="G10" s="2663"/>
      <c r="H10" s="2664"/>
      <c r="I10" s="2665"/>
      <c r="J10" s="2436"/>
      <c r="K10" s="2613"/>
      <c r="L10" s="2610"/>
      <c r="M10" s="2610"/>
      <c r="N10" s="2436"/>
      <c r="O10" s="2447"/>
      <c r="P10" s="2436"/>
      <c r="Q10" s="2436"/>
      <c r="R10" s="2436"/>
    </row>
    <row r="11" spans="1:30">
      <c r="A11" s="2399" t="s">
        <v>2181</v>
      </c>
      <c r="B11" s="2400" t="s">
        <v>3392</v>
      </c>
      <c r="C11" s="3446" t="s">
        <v>3394</v>
      </c>
      <c r="D11" s="2401"/>
      <c r="E11" s="2368"/>
      <c r="F11" s="2368"/>
      <c r="G11" s="2368"/>
      <c r="H11" s="2368"/>
      <c r="I11" s="2368"/>
      <c r="J11" s="3057"/>
      <c r="K11" s="3056"/>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2578</v>
      </c>
      <c r="J12" s="3058"/>
      <c r="K12" s="2610"/>
      <c r="L12" s="2610"/>
      <c r="M12" s="2436"/>
      <c r="N12" s="2447"/>
      <c r="O12" s="2436"/>
      <c r="P12" s="2436"/>
      <c r="Q12" s="2436"/>
      <c r="AD12" s="1743"/>
    </row>
    <row r="13" spans="1:30">
      <c r="A13" s="3419" t="s">
        <v>3333</v>
      </c>
      <c r="B13" s="2404" t="s">
        <v>2190</v>
      </c>
      <c r="C13" s="856"/>
      <c r="D13" s="856"/>
      <c r="E13" s="856"/>
      <c r="F13" s="856">
        <f>I13</f>
        <v>59165</v>
      </c>
      <c r="G13" s="856"/>
      <c r="H13" s="856"/>
      <c r="I13" s="856">
        <v>59165</v>
      </c>
      <c r="J13" s="3058"/>
      <c r="K13" s="2610"/>
      <c r="L13" s="2610"/>
      <c r="M13" s="2436"/>
      <c r="N13" s="2447"/>
      <c r="O13" s="2436"/>
      <c r="P13" s="2436"/>
      <c r="Q13" s="2436"/>
      <c r="AD13" s="1743"/>
    </row>
    <row r="14" spans="1:30">
      <c r="A14" s="1081"/>
      <c r="B14" s="2404" t="s">
        <v>2191</v>
      </c>
      <c r="C14" s="2405"/>
      <c r="D14" s="2405"/>
      <c r="E14" s="2405"/>
      <c r="F14" s="2405">
        <v>50</v>
      </c>
      <c r="G14" s="2405"/>
      <c r="H14" s="2405"/>
      <c r="I14" s="2405">
        <v>50</v>
      </c>
      <c r="J14" s="3059"/>
      <c r="K14" s="2610"/>
      <c r="L14" s="2610"/>
      <c r="M14" s="2436"/>
      <c r="N14" s="2447"/>
      <c r="O14" s="2436"/>
      <c r="P14" s="2436"/>
      <c r="Q14" s="2436"/>
      <c r="AD14" s="1743"/>
    </row>
    <row r="15" spans="1:30">
      <c r="A15" s="320"/>
      <c r="B15" s="2406" t="s">
        <v>2192</v>
      </c>
      <c r="C15" s="2407" t="str">
        <f>IF(A13="出让",IF(C13="","",ROUNDDOWN(MIN((C13-$D$3)/365,C14),2)),C14)</f>
        <v/>
      </c>
      <c r="D15" s="2407" t="str">
        <f>IF(A13="出让",IF(D13="","",ROUNDDOWN(MIN((D13-$D$3)/365,D14),2)),D14)</f>
        <v/>
      </c>
      <c r="E15" s="2407" t="str">
        <f>IF(A13="出让",IF(E13="","",ROUNDDOWN(MIN((E13-$D$3)/365,E14),2)),E14)</f>
        <v/>
      </c>
      <c r="F15" s="2407">
        <f>IF(A13="出让",IF(F13="","",ROUNDDOWN(MIN((F13-$D$3)/365,F14),2)),F14)</f>
        <v>37.07</v>
      </c>
      <c r="G15" s="2407" t="str">
        <f>IF(A13="出让",IF(G13="","",ROUNDDOWN(MIN((G13-$D$3)/365,G14),2)),G14)</f>
        <v/>
      </c>
      <c r="H15" s="2407" t="str">
        <f>IF(A13="出让",IF(H13="","",ROUNDDOWN(MIN((H13-$D$3)/365,H14),2)),H14)</f>
        <v/>
      </c>
      <c r="I15" s="2407">
        <f>IF(A13="出让",IF(I13="","",ROUNDDOWN(MIN((I13-$D$3)/365,I14),2)),I14)</f>
        <v>37.07</v>
      </c>
      <c r="J15" s="3060"/>
      <c r="K15" s="2448"/>
      <c r="L15" s="2448"/>
      <c r="M15" s="2506"/>
      <c r="N15" s="2448"/>
      <c r="O15" s="2506"/>
      <c r="P15" s="2436"/>
      <c r="Q15" s="2436"/>
      <c r="AD15" s="1743"/>
    </row>
    <row r="16" spans="1:30">
      <c r="A16" s="2398" t="s">
        <v>2193</v>
      </c>
      <c r="B16" s="3528"/>
      <c r="C16" s="3529"/>
      <c r="D16" s="3530"/>
      <c r="E16" s="2410" t="s">
        <v>2194</v>
      </c>
      <c r="F16" s="3531"/>
      <c r="G16" s="3532"/>
      <c r="H16" s="3532"/>
      <c r="I16" s="3533"/>
      <c r="J16" s="2436"/>
      <c r="K16" s="2614"/>
      <c r="L16" s="2448"/>
      <c r="M16" s="2448"/>
      <c r="N16" s="2506"/>
      <c r="O16" s="2448"/>
      <c r="P16" s="2506"/>
      <c r="Q16" s="2436"/>
      <c r="R16" s="2436"/>
    </row>
    <row r="17" spans="1:28">
      <c r="A17" s="313" t="s">
        <v>2195</v>
      </c>
      <c r="B17" s="302" t="s">
        <v>2196</v>
      </c>
      <c r="C17" s="8">
        <f>'数据-汇总表'!E3</f>
        <v>59427.91</v>
      </c>
      <c r="D17" s="2320" t="s">
        <v>2197</v>
      </c>
      <c r="E17" s="3534" t="s">
        <v>2198</v>
      </c>
      <c r="F17" s="3535"/>
      <c r="G17" s="3535"/>
      <c r="H17" s="3535"/>
      <c r="I17" s="3536"/>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20455.650000000001</v>
      </c>
      <c r="D18" s="1092" t="s">
        <v>2201</v>
      </c>
      <c r="E18" s="3537" t="s">
        <v>2202</v>
      </c>
      <c r="F18" s="3538"/>
      <c r="G18" s="3538"/>
      <c r="H18" s="3538"/>
      <c r="I18" s="3539"/>
      <c r="J18" s="2436"/>
      <c r="K18" s="2615"/>
      <c r="L18" s="2448"/>
      <c r="M18" s="2448"/>
      <c r="N18" s="2506"/>
      <c r="O18" s="2448"/>
      <c r="P18" s="2506"/>
      <c r="Q18" s="2436"/>
      <c r="R18" s="2436"/>
      <c r="S18" s="2436"/>
      <c r="T18" s="2436"/>
      <c r="U18" s="2436"/>
      <c r="V18" s="2436"/>
    </row>
    <row r="19" spans="1:28" ht="37.5" thickTop="1" thickBot="1">
      <c r="A19" s="327" t="s">
        <v>1055</v>
      </c>
      <c r="B19" s="307" t="s">
        <v>2203</v>
      </c>
      <c r="C19" s="1561"/>
      <c r="D19" s="1562" t="s">
        <v>2204</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2205</v>
      </c>
      <c r="B20" s="3524" t="s">
        <v>2206</v>
      </c>
      <c r="C20" s="3525"/>
      <c r="D20" s="3526" t="s">
        <v>2207</v>
      </c>
      <c r="E20" s="3527"/>
      <c r="F20" s="2644" t="s">
        <v>1056</v>
      </c>
      <c r="G20" s="2661"/>
      <c r="H20" s="2661"/>
      <c r="I20" s="2661"/>
      <c r="J20" s="2436"/>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2209</v>
      </c>
      <c r="C21" s="2631" t="s">
        <v>1057</v>
      </c>
      <c r="D21" s="1566" t="s">
        <v>2210</v>
      </c>
      <c r="E21" s="2632" t="s">
        <v>1057</v>
      </c>
      <c r="F21" s="2645"/>
      <c r="G21" s="2661"/>
      <c r="H21" s="2661"/>
      <c r="I21" s="2661"/>
      <c r="J21" s="2436"/>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2211</v>
      </c>
      <c r="C22" s="2631" t="s">
        <v>1058</v>
      </c>
      <c r="D22" s="2660"/>
      <c r="E22" s="2660"/>
      <c r="F22" s="2660"/>
      <c r="G22" s="2661"/>
      <c r="H22" s="2661"/>
      <c r="I22" s="2661"/>
      <c r="J22" s="2436"/>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1"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1"/>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1"/>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2"/>
      <c r="B30" s="302" t="s">
        <v>2218</v>
      </c>
      <c r="C30" s="3513"/>
      <c r="D30" s="3514"/>
      <c r="E30" s="2661"/>
      <c r="F30" s="2661"/>
      <c r="G30" s="2661"/>
      <c r="H30" s="2661"/>
      <c r="I30" s="2661"/>
      <c r="J30" s="2436"/>
      <c r="K30" s="2613"/>
      <c r="L30" s="2610"/>
      <c r="M30" s="2610"/>
      <c r="N30" s="2436"/>
      <c r="O30" s="2447"/>
      <c r="P30" s="2436"/>
      <c r="Q30" s="2436"/>
      <c r="R30" s="2436"/>
      <c r="S30" s="2436"/>
      <c r="T30" s="2436"/>
      <c r="U30" s="2436"/>
      <c r="V30" s="2436"/>
    </row>
    <row r="31" spans="1:28">
      <c r="A31" s="3515" t="s">
        <v>2219</v>
      </c>
      <c r="B31" s="2419"/>
      <c r="C31" s="2321"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16"/>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16"/>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4"/>
      <c r="C34" s="2024"/>
      <c r="D34" s="2024"/>
      <c r="E34" s="2024"/>
      <c r="F34" s="2024"/>
      <c r="G34" s="2024"/>
      <c r="H34" s="2024"/>
      <c r="I34" s="2661"/>
      <c r="J34" s="2436"/>
      <c r="K34" s="2424">
        <f>COUNTIF(B34:H34,"——")</f>
        <v>0</v>
      </c>
      <c r="L34" s="323" t="s">
        <v>2221</v>
      </c>
      <c r="M34" s="323" t="s">
        <v>2222</v>
      </c>
      <c r="N34" s="323" t="s">
        <v>2223</v>
      </c>
      <c r="O34" s="323" t="s">
        <v>2224</v>
      </c>
      <c r="P34" s="323" t="s">
        <v>2225</v>
      </c>
      <c r="Q34" s="323" t="s">
        <v>2226</v>
      </c>
      <c r="R34" s="323" t="s">
        <v>2227</v>
      </c>
      <c r="S34" s="3510" t="s">
        <v>2228</v>
      </c>
      <c r="T34" s="2425" t="str">
        <f>NUMBERSTRING(7-K34,1)&amp;"通"</f>
        <v>七通</v>
      </c>
      <c r="U34" s="2436"/>
      <c r="V34" s="2436"/>
    </row>
    <row r="35" spans="1:30">
      <c r="A35" s="2426"/>
      <c r="B35" s="3517" t="s">
        <v>2229</v>
      </c>
      <c r="C35" s="3517"/>
      <c r="D35" s="3517"/>
      <c r="E35" s="351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1" t="s">
        <v>2581</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t="s">
        <v>304</v>
      </c>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t="s">
        <v>3395</v>
      </c>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2233</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1" customFormat="1">
      <c r="A43" s="1568"/>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1" customFormat="1">
      <c r="A44" s="1568"/>
      <c r="B44" s="1568"/>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1" customFormat="1">
      <c r="A45" s="1568"/>
      <c r="B45" s="1568"/>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1" customFormat="1">
      <c r="A46" s="1568"/>
      <c r="B46" s="1568"/>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1" customFormat="1">
      <c r="A47" s="1568"/>
      <c r="B47" s="1568"/>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1" customFormat="1">
      <c r="A48" s="1568"/>
      <c r="B48" s="1568"/>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1" customFormat="1">
      <c r="A49" s="1568"/>
      <c r="B49" s="1568"/>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1" customFormat="1">
      <c r="A50" s="1568"/>
      <c r="B50" s="1568"/>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1" customFormat="1">
      <c r="A51" s="1568"/>
      <c r="B51" s="1568"/>
      <c r="C51" s="1051"/>
      <c r="D51" s="1051"/>
      <c r="E51" s="1051"/>
      <c r="F51" s="1051"/>
      <c r="G51" s="1051"/>
      <c r="H51" s="1051"/>
      <c r="I51" s="1051"/>
      <c r="J51" s="2434"/>
      <c r="K51" s="2435"/>
      <c r="L51" s="2435"/>
      <c r="M51" s="1051"/>
      <c r="N51" s="1051"/>
      <c r="O51" s="1051"/>
      <c r="P51" s="1051"/>
      <c r="Q51" s="1051"/>
      <c r="R51" s="1051"/>
    </row>
    <row r="52" spans="1:22" s="1741" customFormat="1">
      <c r="A52" s="1568"/>
      <c r="B52" s="1568"/>
      <c r="C52" s="1568"/>
      <c r="D52" s="1568"/>
      <c r="E52" s="1568"/>
      <c r="F52" s="1051"/>
      <c r="G52" s="1568"/>
      <c r="H52" s="1568"/>
      <c r="I52" s="1568"/>
      <c r="J52" s="2437"/>
      <c r="K52" s="2435"/>
      <c r="L52" s="2435"/>
      <c r="M52" s="2435"/>
      <c r="N52" s="1568"/>
      <c r="O52" s="1568"/>
      <c r="P52" s="1568"/>
      <c r="Q52" s="1568"/>
      <c r="R52" s="1568"/>
    </row>
    <row r="53" spans="1:22" s="1741" customFormat="1">
      <c r="A53" s="1568"/>
      <c r="B53" s="1568"/>
      <c r="C53" s="1568"/>
      <c r="D53" s="1568"/>
      <c r="E53" s="1568"/>
      <c r="F53" s="1051"/>
      <c r="G53" s="1568"/>
      <c r="H53" s="1568"/>
      <c r="I53" s="1568"/>
      <c r="J53" s="2437"/>
      <c r="K53" s="2435"/>
      <c r="L53" s="2435"/>
      <c r="M53" s="2435"/>
      <c r="N53" s="1568"/>
      <c r="O53" s="1568"/>
      <c r="P53" s="1568"/>
      <c r="Q53" s="1568"/>
      <c r="R53" s="1568"/>
    </row>
    <row r="54" spans="1:22" s="1741" customFormat="1">
      <c r="A54" s="1568"/>
      <c r="B54" s="1568"/>
      <c r="C54" s="1568"/>
      <c r="D54" s="1568"/>
      <c r="E54" s="1568"/>
      <c r="F54" s="1051"/>
      <c r="G54" s="1568"/>
      <c r="H54" s="1568"/>
      <c r="I54" s="1568"/>
      <c r="J54" s="2437"/>
      <c r="K54" s="2435"/>
      <c r="L54" s="2435"/>
      <c r="M54" s="2435"/>
      <c r="N54" s="1568"/>
      <c r="O54" s="1568"/>
      <c r="P54" s="1568"/>
      <c r="Q54" s="1568"/>
      <c r="R54" s="1568"/>
    </row>
    <row r="55" spans="1:22" s="1741" customFormat="1">
      <c r="A55" s="1568"/>
      <c r="B55" s="1568"/>
      <c r="C55" s="1568"/>
      <c r="D55" s="1568"/>
      <c r="E55" s="1568"/>
      <c r="F55" s="1051"/>
      <c r="G55" s="1568"/>
      <c r="H55" s="1568"/>
      <c r="I55" s="1568"/>
      <c r="J55" s="2437"/>
      <c r="K55" s="2435"/>
      <c r="L55" s="2435"/>
      <c r="M55" s="2435"/>
      <c r="N55" s="1568"/>
      <c r="O55" s="1568"/>
      <c r="P55" s="1568"/>
      <c r="Q55" s="1568"/>
      <c r="R55" s="1568"/>
    </row>
    <row r="56" spans="1:22" s="1741" customFormat="1">
      <c r="A56" s="1568"/>
      <c r="B56" s="1568"/>
      <c r="C56" s="1568"/>
      <c r="D56" s="1568"/>
      <c r="E56" s="1568"/>
      <c r="F56" s="1051"/>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5" sqref="K3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8" t="s">
        <v>1067</v>
      </c>
      <c r="AZ2" s="1049"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133115.90400000001</v>
      </c>
      <c r="B3" s="11">
        <f>IF(C3="否",G5-AT5,G5)</f>
        <v>371721.64000000007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50">
        <f>7212.96+6635.28+6607.41</f>
        <v>20455.650000000001</v>
      </c>
      <c r="AZ3" s="1051"/>
      <c r="BA3" s="1052"/>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4"/>
      <c r="AV5" s="12" t="s">
        <v>1071</v>
      </c>
      <c r="AW5" s="1345"/>
      <c r="AX5" s="1345"/>
      <c r="AY5" s="14" t="s">
        <v>2</v>
      </c>
      <c r="AZ5" s="15">
        <f t="shared" ref="AZ5:BT5" si="1">SUM(AZ13:AZ656)</f>
        <v>59427.91</v>
      </c>
      <c r="BA5" s="15">
        <f t="shared" si="1"/>
        <v>58476.87</v>
      </c>
      <c r="BB5" s="15">
        <f t="shared" si="1"/>
        <v>52974.33</v>
      </c>
      <c r="BC5" s="15">
        <f t="shared" si="1"/>
        <v>5502.54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951.04</v>
      </c>
      <c r="BM5" s="15">
        <f t="shared" si="1"/>
        <v>0</v>
      </c>
      <c r="BN5" s="15">
        <f t="shared" si="1"/>
        <v>0</v>
      </c>
      <c r="BO5" s="15">
        <f t="shared" si="1"/>
        <v>0</v>
      </c>
      <c r="BP5" s="15">
        <f t="shared" si="1"/>
        <v>0</v>
      </c>
      <c r="BQ5" s="15">
        <f t="shared" si="1"/>
        <v>951.04</v>
      </c>
      <c r="BR5" s="15">
        <f t="shared" si="1"/>
        <v>0</v>
      </c>
      <c r="BS5" s="15">
        <f t="shared" si="1"/>
        <v>0</v>
      </c>
      <c r="BT5" s="16">
        <f t="shared" si="1"/>
        <v>0</v>
      </c>
    </row>
    <row r="6" spans="1:72" s="1587" customFormat="1" ht="12.75">
      <c r="A6" s="12" t="s">
        <v>1072</v>
      </c>
      <c r="B6" s="1584"/>
      <c r="C6" s="1584"/>
      <c r="D6" s="1585"/>
      <c r="E6" s="13">
        <f>H6+AC6+AT6</f>
        <v>133115.90000000002</v>
      </c>
      <c r="F6" s="13" t="s">
        <v>0</v>
      </c>
      <c r="G6" s="13" t="s">
        <v>1</v>
      </c>
      <c r="H6" s="17">
        <f>SUMIF(I$12:AB$12,"总值",I6:AB6)</f>
        <v>129951.65000000001</v>
      </c>
      <c r="I6" s="13">
        <f t="shared" ref="I6:AB6" si="2">ROUND($A$3*I5/$B$3,2)</f>
        <v>101603.96</v>
      </c>
      <c r="J6" s="13">
        <f t="shared" si="2"/>
        <v>0</v>
      </c>
      <c r="K6" s="13">
        <f t="shared" si="2"/>
        <v>14306.41</v>
      </c>
      <c r="L6" s="13">
        <f t="shared" si="2"/>
        <v>0</v>
      </c>
      <c r="M6" s="13">
        <f t="shared" si="2"/>
        <v>14041.28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3164.25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1920.09</v>
      </c>
      <c r="AM6" s="13">
        <f t="shared" si="3"/>
        <v>0</v>
      </c>
      <c r="AN6" s="13">
        <f t="shared" si="3"/>
        <v>1244.1600000000001</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20455.650000000001</v>
      </c>
      <c r="AZ6" s="13" t="s">
        <v>2</v>
      </c>
      <c r="BA6" s="13">
        <f>ROUND($AY$6*BA5/$AZ$5,2)</f>
        <v>20128.29</v>
      </c>
      <c r="BB6" s="13">
        <f>ROUND($AY$6*BB5/$AZ$5,2)</f>
        <v>18234.27</v>
      </c>
      <c r="BC6" s="13">
        <f t="shared" ref="BC6:BH6" si="4">ROUND($AY$6*BC5/$AZ$5,2)</f>
        <v>1894.03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327.36</v>
      </c>
      <c r="BM6" s="13">
        <f t="shared" si="5"/>
        <v>0</v>
      </c>
      <c r="BN6" s="13">
        <f t="shared" si="5"/>
        <v>0</v>
      </c>
      <c r="BO6" s="13">
        <f t="shared" si="5"/>
        <v>0</v>
      </c>
      <c r="BP6" s="13">
        <f t="shared" si="5"/>
        <v>0</v>
      </c>
      <c r="BQ6" s="13">
        <f t="shared" si="5"/>
        <v>327.36</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70" t="s">
        <v>1087</v>
      </c>
      <c r="AU8" s="1592" t="s">
        <v>1088</v>
      </c>
      <c r="AV8" s="1070"/>
      <c r="AW8" s="1575"/>
      <c r="AX8" s="1070"/>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70"/>
      <c r="H9" s="1600" t="s">
        <v>1091</v>
      </c>
      <c r="I9" s="1601" t="s">
        <v>3422</v>
      </c>
      <c r="J9" s="809"/>
      <c r="K9" s="1601" t="s">
        <v>3424</v>
      </c>
      <c r="L9" s="809"/>
      <c r="M9" s="1601" t="s">
        <v>3424</v>
      </c>
      <c r="N9" s="809"/>
      <c r="O9" s="1601"/>
      <c r="P9" s="809"/>
      <c r="Q9" s="1601"/>
      <c r="R9" s="809"/>
      <c r="S9" s="1601"/>
      <c r="T9" s="809"/>
      <c r="U9" s="1601"/>
      <c r="V9" s="809"/>
      <c r="W9" s="1601"/>
      <c r="X9" s="1602"/>
      <c r="Y9" s="1601"/>
      <c r="Z9" s="809"/>
      <c r="AA9" s="1601"/>
      <c r="AB9" s="809"/>
      <c r="AC9" s="1593"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3"/>
      <c r="AT9" s="1592"/>
      <c r="AU9" s="1592" t="s">
        <v>1094</v>
      </c>
      <c r="AV9" s="1070"/>
      <c r="AW9" s="1575"/>
      <c r="AX9" s="1070"/>
      <c r="AY9" s="25"/>
      <c r="AZ9" s="25" t="s">
        <v>1084</v>
      </c>
      <c r="BA9" s="1604" t="s">
        <v>1095</v>
      </c>
      <c r="BB9" s="1605"/>
      <c r="BC9" s="1088"/>
      <c r="BD9" s="1088"/>
      <c r="BE9" s="1088"/>
      <c r="BF9" s="1088"/>
      <c r="BG9" s="1088"/>
      <c r="BH9" s="1088"/>
      <c r="BI9" s="1088"/>
      <c r="BJ9" s="1088"/>
      <c r="BK9" s="1606"/>
      <c r="BL9" s="12" t="s">
        <v>1096</v>
      </c>
      <c r="BM9" s="1358"/>
      <c r="BN9" s="1595"/>
      <c r="BO9" s="1358"/>
      <c r="BP9" s="1358"/>
      <c r="BQ9" s="1358"/>
      <c r="BR9" s="1358"/>
      <c r="BS9" s="1358"/>
      <c r="BT9" s="23"/>
    </row>
    <row r="10" spans="1:72" s="1599" customFormat="1" ht="12.75">
      <c r="A10" s="1592"/>
      <c r="B10" s="1592"/>
      <c r="C10" s="1592"/>
      <c r="D10" s="1592"/>
      <c r="E10" s="1592"/>
      <c r="F10" s="1592"/>
      <c r="G10" s="1070"/>
      <c r="H10" s="25"/>
      <c r="I10" s="1601" t="s">
        <v>3423</v>
      </c>
      <c r="J10" s="809"/>
      <c r="K10" s="1607" t="s">
        <v>3423</v>
      </c>
      <c r="L10" s="809"/>
      <c r="M10" s="1607" t="s">
        <v>3334</v>
      </c>
      <c r="N10" s="809"/>
      <c r="O10" s="1607"/>
      <c r="P10" s="809"/>
      <c r="Q10" s="1607"/>
      <c r="R10" s="809"/>
      <c r="S10" s="1607"/>
      <c r="T10" s="809"/>
      <c r="U10" s="1607"/>
      <c r="V10" s="809"/>
      <c r="W10" s="1607"/>
      <c r="X10" s="809"/>
      <c r="Y10" s="1607"/>
      <c r="Z10" s="809"/>
      <c r="AA10" s="1607"/>
      <c r="AB10" s="809"/>
      <c r="AC10" s="1070"/>
      <c r="AD10" s="12" t="s">
        <v>1097</v>
      </c>
      <c r="AE10" s="1608"/>
      <c r="AF10" s="12" t="s">
        <v>1097</v>
      </c>
      <c r="AG10" s="1608"/>
      <c r="AH10" s="12" t="s">
        <v>1098</v>
      </c>
      <c r="AI10" s="1608"/>
      <c r="AJ10" s="12" t="s">
        <v>1098</v>
      </c>
      <c r="AK10" s="1608"/>
      <c r="AL10" s="12" t="s">
        <v>1099</v>
      </c>
      <c r="AM10" s="1076"/>
      <c r="AN10" s="12" t="s">
        <v>1099</v>
      </c>
      <c r="AO10" s="1076"/>
      <c r="AP10" s="12" t="s">
        <v>1100</v>
      </c>
      <c r="AQ10" s="1076"/>
      <c r="AR10" s="12" t="s">
        <v>1100</v>
      </c>
      <c r="AS10" s="1076"/>
      <c r="AT10" s="1592"/>
      <c r="AU10" s="1592"/>
      <c r="AV10" s="1070"/>
      <c r="AW10" s="1575"/>
      <c r="AX10" s="1070"/>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70"/>
      <c r="H11" s="1609"/>
      <c r="I11" s="1612" t="s">
        <v>3420</v>
      </c>
      <c r="J11" s="1613"/>
      <c r="K11" s="1612" t="s">
        <v>3420</v>
      </c>
      <c r="L11" s="1613"/>
      <c r="M11" s="1612" t="s">
        <v>3334</v>
      </c>
      <c r="N11" s="1613"/>
      <c r="O11" s="1612"/>
      <c r="P11" s="1613"/>
      <c r="Q11" s="1612"/>
      <c r="R11" s="1613"/>
      <c r="S11" s="1612"/>
      <c r="T11" s="1613"/>
      <c r="U11" s="1612"/>
      <c r="V11" s="1613"/>
      <c r="W11" s="1612"/>
      <c r="X11" s="1613"/>
      <c r="Y11" s="1612"/>
      <c r="Z11" s="1613"/>
      <c r="AA11" s="1612"/>
      <c r="AB11" s="1613"/>
      <c r="AC11" s="1070"/>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70"/>
      <c r="AW11" s="1575"/>
      <c r="AX11" s="1070"/>
      <c r="AY11" s="25"/>
      <c r="AZ11" s="25"/>
      <c r="BA11" s="25"/>
      <c r="BB11" s="1597" t="str">
        <f>I10</f>
        <v>公共服务</v>
      </c>
      <c r="BC11" s="1597" t="str">
        <f>K10</f>
        <v>公共服务</v>
      </c>
      <c r="BD11" s="1597" t="str">
        <f>M10</f>
        <v>车库</v>
      </c>
      <c r="BE11" s="1597">
        <f>O10</f>
        <v>0</v>
      </c>
      <c r="BF11" s="1597">
        <f>Q10</f>
        <v>0</v>
      </c>
      <c r="BG11" s="1597">
        <f>S10</f>
        <v>0</v>
      </c>
      <c r="BH11" s="1597">
        <f>U10</f>
        <v>0</v>
      </c>
      <c r="BI11" s="1597">
        <f>W10</f>
        <v>0</v>
      </c>
      <c r="BJ11" s="1597">
        <f>Y10</f>
        <v>0</v>
      </c>
      <c r="BK11" s="1597">
        <f>AA10</f>
        <v>0</v>
      </c>
      <c r="BL11" s="1070"/>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科研用房</v>
      </c>
      <c r="BC12" s="1622" t="str">
        <f>K11</f>
        <v>科研用房</v>
      </c>
      <c r="BD12" s="1622" t="str">
        <f>M11</f>
        <v>车库</v>
      </c>
      <c r="BE12" s="1597">
        <f>O11</f>
        <v>0</v>
      </c>
      <c r="BF12" s="1597">
        <f>Q11</f>
        <v>0</v>
      </c>
      <c r="BG12" s="1597">
        <f>S11</f>
        <v>0</v>
      </c>
      <c r="BH12" s="1597">
        <f>U11</f>
        <v>0</v>
      </c>
      <c r="BI12" s="1597">
        <f>W11</f>
        <v>0</v>
      </c>
      <c r="BJ12" s="1597">
        <f>Y11</f>
        <v>0</v>
      </c>
      <c r="BK12" s="1597">
        <f>AA11</f>
        <v>0</v>
      </c>
      <c r="BL12" s="1070"/>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1"/>
      <c r="B13" s="1051" t="s">
        <v>3415</v>
      </c>
      <c r="C13" s="1051" t="s">
        <v>3396</v>
      </c>
      <c r="D13" s="1623" t="s">
        <v>3418</v>
      </c>
      <c r="E13" s="13">
        <f>IF($C$3="是",ROUND($A$3*G13/$B$3,2),ROUND($A$3*(G13-AT13)/$B$3,2))</f>
        <v>7087.14</v>
      </c>
      <c r="F13" s="29"/>
      <c r="G13" s="30">
        <f>H13+AC13+AT13</f>
        <v>19790.61</v>
      </c>
      <c r="H13" s="17">
        <f>SUMIF(I$12:AB$12,"总值",I13:AB13)</f>
        <v>19495.690000000002</v>
      </c>
      <c r="I13" s="1624">
        <v>17658.11</v>
      </c>
      <c r="J13" s="1624"/>
      <c r="K13" s="1624">
        <v>1837.58</v>
      </c>
      <c r="L13" s="1624"/>
      <c r="M13" s="1624"/>
      <c r="N13" s="1624"/>
      <c r="O13" s="1624"/>
      <c r="P13" s="1624"/>
      <c r="Q13" s="1624"/>
      <c r="R13" s="1624"/>
      <c r="S13" s="1624"/>
      <c r="T13" s="1624"/>
      <c r="U13" s="1624"/>
      <c r="V13" s="1624"/>
      <c r="W13" s="1624"/>
      <c r="X13" s="1624"/>
      <c r="Y13" s="1624"/>
      <c r="Z13" s="1624"/>
      <c r="AA13" s="1624"/>
      <c r="AB13" s="1624"/>
      <c r="AC13" s="13">
        <f>SUMIF(AD$12:AS$12,"总值",AD13:AS13)</f>
        <v>294.92</v>
      </c>
      <c r="AD13" s="1625"/>
      <c r="AE13" s="1625"/>
      <c r="AF13" s="1625"/>
      <c r="AG13" s="1625"/>
      <c r="AH13" s="1625"/>
      <c r="AI13" s="1625"/>
      <c r="AJ13" s="1625"/>
      <c r="AK13" s="1625"/>
      <c r="AL13" s="1625">
        <v>294.92</v>
      </c>
      <c r="AM13" s="1625"/>
      <c r="AN13" s="1625"/>
      <c r="AO13" s="1625"/>
      <c r="AP13" s="1625"/>
      <c r="AQ13" s="1625"/>
      <c r="AR13" s="1625"/>
      <c r="AS13" s="1625"/>
      <c r="AT13" s="1626"/>
      <c r="AU13" s="1627"/>
      <c r="AV13" s="8">
        <f t="shared" ref="AV13:AX17" si="6">A13</f>
        <v>0</v>
      </c>
      <c r="AW13" s="8" t="str">
        <f t="shared" si="6"/>
        <v>现房</v>
      </c>
      <c r="AX13" s="8" t="str">
        <f t="shared" si="6"/>
        <v>1#</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1"/>
      <c r="B14" s="1051" t="s">
        <v>3415</v>
      </c>
      <c r="C14" s="1568" t="s">
        <v>3397</v>
      </c>
      <c r="D14" s="1623" t="s">
        <v>3418</v>
      </c>
      <c r="E14" s="13">
        <f>IF($C$3="是",ROUND($A$3*G14/$B$3,2),ROUND($A$3*(G14-AT14)/$B$3,2))</f>
        <v>7085.35</v>
      </c>
      <c r="F14" s="29"/>
      <c r="G14" s="30">
        <f>H14+AC14+AT14</f>
        <v>19785.59</v>
      </c>
      <c r="H14" s="17">
        <f>SUMIF(I$12:AB$12,"总值",I14:AB14)</f>
        <v>19490.670000000002</v>
      </c>
      <c r="I14" s="1624">
        <v>17658.11</v>
      </c>
      <c r="J14" s="1624"/>
      <c r="K14" s="1624">
        <v>1832.56</v>
      </c>
      <c r="L14" s="1624"/>
      <c r="M14" s="1624"/>
      <c r="N14" s="1624"/>
      <c r="O14" s="1624"/>
      <c r="P14" s="1624"/>
      <c r="Q14" s="1624"/>
      <c r="R14" s="1624"/>
      <c r="S14" s="1624"/>
      <c r="T14" s="1624"/>
      <c r="U14" s="1624"/>
      <c r="V14" s="1624"/>
      <c r="W14" s="1624"/>
      <c r="X14" s="1624"/>
      <c r="Y14" s="1624"/>
      <c r="Z14" s="1624"/>
      <c r="AA14" s="1624"/>
      <c r="AB14" s="1624"/>
      <c r="AC14" s="13">
        <f>SUMIF(AD$12:AS$12,"总值",AD14:AS14)</f>
        <v>294.92</v>
      </c>
      <c r="AD14" s="1625"/>
      <c r="AE14" s="1625"/>
      <c r="AF14" s="1625"/>
      <c r="AG14" s="1625"/>
      <c r="AH14" s="1625"/>
      <c r="AI14" s="1625"/>
      <c r="AJ14" s="1625"/>
      <c r="AK14" s="1625"/>
      <c r="AL14" s="1625">
        <v>294.92</v>
      </c>
      <c r="AM14" s="1625"/>
      <c r="AN14" s="1625"/>
      <c r="AO14" s="1625"/>
      <c r="AP14" s="1625"/>
      <c r="AQ14" s="1625"/>
      <c r="AR14" s="1625"/>
      <c r="AS14" s="1625"/>
      <c r="AT14" s="1626"/>
      <c r="AU14" s="1627"/>
      <c r="AV14" s="8">
        <f t="shared" si="6"/>
        <v>0</v>
      </c>
      <c r="AW14" s="8" t="str">
        <f t="shared" si="6"/>
        <v>现房</v>
      </c>
      <c r="AX14" s="8" t="str">
        <f t="shared" si="6"/>
        <v>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1"/>
      <c r="B15" s="1051" t="s">
        <v>3415</v>
      </c>
      <c r="C15" s="1568" t="s">
        <v>3398</v>
      </c>
      <c r="D15" s="1623" t="s">
        <v>3418</v>
      </c>
      <c r="E15" s="13">
        <f>IF($C$3="是",ROUND($A$3*G15/$B$3,2),ROUND($A$3*(G15-AT15)/$B$3,2))</f>
        <v>7088.79</v>
      </c>
      <c r="F15" s="29"/>
      <c r="G15" s="30">
        <f>H15+AC15+AT15</f>
        <v>19795.21</v>
      </c>
      <c r="H15" s="17">
        <f>SUMIF(I$12:AB$12,"总值",I15:AB15)</f>
        <v>19500.29</v>
      </c>
      <c r="I15" s="1624">
        <v>17658.11</v>
      </c>
      <c r="J15" s="1624"/>
      <c r="K15" s="1624">
        <v>1842.18</v>
      </c>
      <c r="L15" s="1624"/>
      <c r="M15" s="1624"/>
      <c r="N15" s="1624"/>
      <c r="O15" s="1624"/>
      <c r="P15" s="1624"/>
      <c r="Q15" s="1624"/>
      <c r="R15" s="1624"/>
      <c r="S15" s="1624"/>
      <c r="T15" s="1624"/>
      <c r="U15" s="1624"/>
      <c r="V15" s="1624"/>
      <c r="W15" s="1624"/>
      <c r="X15" s="1624"/>
      <c r="Y15" s="1624"/>
      <c r="Z15" s="1624"/>
      <c r="AA15" s="1624"/>
      <c r="AB15" s="1624"/>
      <c r="AC15" s="13">
        <f>SUMIF(AD$12:AS$12,"总值",AD15:AS15)</f>
        <v>294.92</v>
      </c>
      <c r="AD15" s="1625"/>
      <c r="AE15" s="1625"/>
      <c r="AF15" s="1625"/>
      <c r="AG15" s="1625"/>
      <c r="AH15" s="1625"/>
      <c r="AI15" s="1625"/>
      <c r="AJ15" s="1625"/>
      <c r="AK15" s="1625"/>
      <c r="AL15" s="1625">
        <v>294.92</v>
      </c>
      <c r="AM15" s="1625"/>
      <c r="AN15" s="1625"/>
      <c r="AO15" s="1625"/>
      <c r="AP15" s="1625"/>
      <c r="AQ15" s="1625"/>
      <c r="AR15" s="1625"/>
      <c r="AS15" s="1625"/>
      <c r="AT15" s="1626"/>
      <c r="AU15" s="1627"/>
      <c r="AV15" s="8">
        <f t="shared" si="6"/>
        <v>0</v>
      </c>
      <c r="AW15" s="8" t="str">
        <f t="shared" si="6"/>
        <v>现房</v>
      </c>
      <c r="AX15" s="8" t="str">
        <f t="shared" si="6"/>
        <v>3#</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1"/>
      <c r="B16" s="1051" t="s">
        <v>3415</v>
      </c>
      <c r="C16" s="1568" t="s">
        <v>3399</v>
      </c>
      <c r="D16" s="1623" t="s">
        <v>3418</v>
      </c>
      <c r="E16" s="13">
        <f>IF($C$3="是",ROUND($A$3*G16/$B$3,2),ROUND($A$3*(G16-AT16)/$B$3,2))</f>
        <v>4808.72</v>
      </c>
      <c r="F16" s="29"/>
      <c r="G16" s="30">
        <f>H16+AC16+AT16</f>
        <v>13428.19</v>
      </c>
      <c r="H16" s="17">
        <f>SUMIF(I$12:AB$12,"总值",I16:AB16)</f>
        <v>13135.75</v>
      </c>
      <c r="I16" s="1624">
        <v>11307.49</v>
      </c>
      <c r="J16" s="1624"/>
      <c r="K16" s="1624">
        <v>1828.26</v>
      </c>
      <c r="L16" s="1624"/>
      <c r="M16" s="1624"/>
      <c r="N16" s="1624"/>
      <c r="O16" s="1624"/>
      <c r="P16" s="1624"/>
      <c r="Q16" s="1624"/>
      <c r="R16" s="1624"/>
      <c r="S16" s="1624"/>
      <c r="T16" s="1624"/>
      <c r="U16" s="1624"/>
      <c r="V16" s="1624"/>
      <c r="W16" s="1624"/>
      <c r="X16" s="1624"/>
      <c r="Y16" s="1624"/>
      <c r="Z16" s="1624"/>
      <c r="AA16" s="1624"/>
      <c r="AB16" s="1624"/>
      <c r="AC16" s="13">
        <f>SUMIF(AD$12:AS$12,"总值",AD16:AS16)</f>
        <v>292.44</v>
      </c>
      <c r="AD16" s="1625"/>
      <c r="AE16" s="1625"/>
      <c r="AF16" s="1625"/>
      <c r="AG16" s="1625"/>
      <c r="AH16" s="1625"/>
      <c r="AI16" s="1625"/>
      <c r="AJ16" s="1625"/>
      <c r="AK16" s="1625"/>
      <c r="AL16" s="1625">
        <v>292.44</v>
      </c>
      <c r="AM16" s="1625"/>
      <c r="AN16" s="1625"/>
      <c r="AO16" s="1625"/>
      <c r="AP16" s="1625"/>
      <c r="AQ16" s="1625"/>
      <c r="AR16" s="1625"/>
      <c r="AS16" s="1625"/>
      <c r="AT16" s="1626"/>
      <c r="AU16" s="1627"/>
      <c r="AV16" s="8">
        <f t="shared" si="6"/>
        <v>0</v>
      </c>
      <c r="AW16" s="8" t="str">
        <f t="shared" si="6"/>
        <v>现房</v>
      </c>
      <c r="AX16" s="8" t="str">
        <f t="shared" si="6"/>
        <v>4#</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1"/>
      <c r="B17" s="1051" t="s">
        <v>3415</v>
      </c>
      <c r="C17" s="1568" t="s">
        <v>3400</v>
      </c>
      <c r="D17" s="1623" t="s">
        <v>3418</v>
      </c>
      <c r="E17" s="13">
        <f>IF($C$3="是",ROUND($A$3*G17/$B$3,2),ROUND($A$3*(G17-AT17)/$B$3,2))</f>
        <v>7084.87</v>
      </c>
      <c r="F17" s="29"/>
      <c r="G17" s="30">
        <f>H17+AC17+AT17</f>
        <v>19784.27</v>
      </c>
      <c r="H17" s="17">
        <f>SUMIF(I$12:AB$12,"总值",I17:AB17)</f>
        <v>19489.350000000002</v>
      </c>
      <c r="I17" s="1624">
        <v>17658.11</v>
      </c>
      <c r="J17" s="1624"/>
      <c r="K17" s="1624">
        <v>1831.24</v>
      </c>
      <c r="L17" s="1624"/>
      <c r="M17" s="1624"/>
      <c r="N17" s="1624"/>
      <c r="O17" s="1624"/>
      <c r="P17" s="1624"/>
      <c r="Q17" s="1624"/>
      <c r="R17" s="1624"/>
      <c r="S17" s="1624"/>
      <c r="T17" s="1624"/>
      <c r="U17" s="1624"/>
      <c r="V17" s="1624"/>
      <c r="W17" s="1624"/>
      <c r="X17" s="1624"/>
      <c r="Y17" s="1624"/>
      <c r="Z17" s="1624"/>
      <c r="AA17" s="1624"/>
      <c r="AB17" s="1624"/>
      <c r="AC17" s="13">
        <f>SUMIF(AD$12:AS$12,"总值",AD17:AS17)</f>
        <v>294.92</v>
      </c>
      <c r="AD17" s="1625"/>
      <c r="AE17" s="1625"/>
      <c r="AF17" s="1625"/>
      <c r="AG17" s="1625"/>
      <c r="AH17" s="1625"/>
      <c r="AI17" s="1625"/>
      <c r="AJ17" s="1625"/>
      <c r="AK17" s="1625"/>
      <c r="AL17" s="1625">
        <v>294.92</v>
      </c>
      <c r="AM17" s="1625"/>
      <c r="AN17" s="1625"/>
      <c r="AO17" s="1625"/>
      <c r="AP17" s="1625"/>
      <c r="AQ17" s="1625"/>
      <c r="AR17" s="1625"/>
      <c r="AS17" s="1625"/>
      <c r="AT17" s="1626"/>
      <c r="AU17" s="1627"/>
      <c r="AV17" s="8">
        <f t="shared" si="6"/>
        <v>0</v>
      </c>
      <c r="AW17" s="8" t="str">
        <f t="shared" si="6"/>
        <v>现房</v>
      </c>
      <c r="AX17" s="8" t="str">
        <f t="shared" si="6"/>
        <v>5#</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48" t="s">
        <v>3416</v>
      </c>
      <c r="C18" s="31" t="s">
        <v>3401</v>
      </c>
      <c r="D18" s="1628" t="s">
        <v>3419</v>
      </c>
      <c r="E18" s="32">
        <f t="shared" ref="E18:E112" si="7">IF($C$3="是",ROUND($A$3*G18/$B$3,2),ROUND($A$3*(G18-AT18)/$B$3,2))</f>
        <v>7086.02</v>
      </c>
      <c r="F18" s="33"/>
      <c r="G18" s="34">
        <f t="shared" ref="G18:G109" si="8">H18+AC18+AT18</f>
        <v>19787.48</v>
      </c>
      <c r="H18" s="35">
        <f t="shared" ref="H18:H109" si="9">SUMIF(I$12:AB$12,"总值",I18:AB18)</f>
        <v>19492.560000000001</v>
      </c>
      <c r="I18" s="36">
        <v>17658.11</v>
      </c>
      <c r="J18" s="36"/>
      <c r="K18" s="36">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37">
        <v>294.92</v>
      </c>
      <c r="AM18" s="37"/>
      <c r="AN18" s="37"/>
      <c r="AO18" s="37"/>
      <c r="AP18" s="37"/>
      <c r="AQ18" s="37"/>
      <c r="AR18" s="37"/>
      <c r="AS18" s="37"/>
      <c r="AT18" s="38"/>
      <c r="AU18" s="1629"/>
      <c r="AV18" s="1341">
        <f t="shared" ref="AV18:AV112" si="11">A18</f>
        <v>0</v>
      </c>
      <c r="AW18" s="1341" t="str">
        <f t="shared" ref="AW18:AW112" si="12">B18</f>
        <v>在建</v>
      </c>
      <c r="AX18" s="1341" t="str">
        <f t="shared" ref="AX18:AX112" si="13">C18</f>
        <v>6#</v>
      </c>
      <c r="AY18" s="39">
        <f t="shared" ref="AY18:AY109" si="14">ROUND($AY$6*AZ18/$AZ$5,2)</f>
        <v>6811.04</v>
      </c>
      <c r="AZ18" s="32">
        <f t="shared" ref="AZ18:AZ109" si="15">BA18+BL18</f>
        <v>19787.48</v>
      </c>
      <c r="BA18" s="32">
        <f t="shared" ref="BA18:BA109" si="16">SUM(BB18:BK18)</f>
        <v>19492.560000000001</v>
      </c>
      <c r="BB18" s="32">
        <f t="shared" ref="BB18:BB109" si="17">IF($D18="是",I18-J18,0)</f>
        <v>17658.11</v>
      </c>
      <c r="BC18" s="32">
        <f t="shared" ref="BC18:BC109" si="18">IF($D18="是",K18-L18,0)</f>
        <v>1834.45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294.92</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294.92</v>
      </c>
      <c r="BR18" s="32">
        <f t="shared" ref="BR18:BR109" si="33">IF($D18="是",AN18-AO18,0)</f>
        <v>0</v>
      </c>
      <c r="BS18" s="32">
        <f t="shared" ref="BS18:BS109" si="34">IF($D18="是",AP18-AQ18,0)</f>
        <v>0</v>
      </c>
      <c r="BT18" s="40">
        <f t="shared" ref="BT18:BT109" si="35">IF($D18="是",AR18-AS18,0)</f>
        <v>0</v>
      </c>
    </row>
    <row r="19" spans="1:72">
      <c r="A19" s="6"/>
      <c r="B19" s="31" t="s">
        <v>3415</v>
      </c>
      <c r="C19" s="31" t="s">
        <v>3402</v>
      </c>
      <c r="D19" s="1623" t="s">
        <v>3418</v>
      </c>
      <c r="E19" s="32">
        <f t="shared" si="7"/>
        <v>5039.5600000000004</v>
      </c>
      <c r="F19" s="33"/>
      <c r="G19" s="34">
        <f t="shared" si="8"/>
        <v>14072.79</v>
      </c>
      <c r="H19" s="35">
        <f t="shared" si="9"/>
        <v>13780.35</v>
      </c>
      <c r="I19" s="36">
        <v>11958.17</v>
      </c>
      <c r="J19" s="36"/>
      <c r="K19" s="36">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37">
        <v>292.44</v>
      </c>
      <c r="AM19" s="37"/>
      <c r="AN19" s="37"/>
      <c r="AO19" s="37"/>
      <c r="AP19" s="37"/>
      <c r="AQ19" s="37"/>
      <c r="AR19" s="37"/>
      <c r="AS19" s="37"/>
      <c r="AT19" s="38"/>
      <c r="AU19" s="1629"/>
      <c r="AV19" s="1341">
        <f t="shared" si="11"/>
        <v>0</v>
      </c>
      <c r="AW19" s="1341" t="str">
        <f t="shared" si="12"/>
        <v>现房</v>
      </c>
      <c r="AX19" s="1341" t="str">
        <f t="shared" si="13"/>
        <v>7#</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47" t="s">
        <v>3417</v>
      </c>
      <c r="B20" s="3448" t="s">
        <v>3415</v>
      </c>
      <c r="C20" s="31" t="s">
        <v>3403</v>
      </c>
      <c r="D20" s="1623" t="s">
        <v>3418</v>
      </c>
      <c r="E20" s="32">
        <f t="shared" si="7"/>
        <v>7218.13</v>
      </c>
      <c r="F20" s="33"/>
      <c r="G20" s="34">
        <f t="shared" si="8"/>
        <v>20156.37</v>
      </c>
      <c r="H20" s="35">
        <f t="shared" si="9"/>
        <v>19861.53</v>
      </c>
      <c r="I20" s="36">
        <v>18018.59</v>
      </c>
      <c r="J20" s="36"/>
      <c r="K20" s="36">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37">
        <v>294.83999999999997</v>
      </c>
      <c r="AM20" s="37"/>
      <c r="AN20" s="37"/>
      <c r="AO20" s="37"/>
      <c r="AP20" s="37"/>
      <c r="AQ20" s="37"/>
      <c r="AR20" s="37"/>
      <c r="AS20" s="37"/>
      <c r="AT20" s="38"/>
      <c r="AU20" s="1629"/>
      <c r="AV20" s="1341" t="str">
        <f t="shared" si="11"/>
        <v>已售</v>
      </c>
      <c r="AW20" s="1341" t="str">
        <f t="shared" si="12"/>
        <v>现房</v>
      </c>
      <c r="AX20" s="1341"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3415</v>
      </c>
      <c r="C21" s="31" t="s">
        <v>3404</v>
      </c>
      <c r="D21" s="1623" t="s">
        <v>3418</v>
      </c>
      <c r="E21" s="32">
        <f t="shared" si="7"/>
        <v>7086.72</v>
      </c>
      <c r="F21" s="33"/>
      <c r="G21" s="34">
        <f t="shared" si="8"/>
        <v>19789.43</v>
      </c>
      <c r="H21" s="35">
        <f t="shared" si="9"/>
        <v>19494.510000000002</v>
      </c>
      <c r="I21" s="36">
        <v>17658.11</v>
      </c>
      <c r="J21" s="36"/>
      <c r="K21" s="36">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37">
        <v>294.92</v>
      </c>
      <c r="AM21" s="37"/>
      <c r="AN21" s="37"/>
      <c r="AO21" s="37"/>
      <c r="AP21" s="37"/>
      <c r="AQ21" s="37"/>
      <c r="AR21" s="37"/>
      <c r="AS21" s="37"/>
      <c r="AT21" s="38"/>
      <c r="AU21" s="1629"/>
      <c r="AV21" s="1341">
        <f t="shared" si="11"/>
        <v>0</v>
      </c>
      <c r="AW21" s="1341" t="str">
        <f t="shared" si="12"/>
        <v>现房</v>
      </c>
      <c r="AX21" s="1341" t="str">
        <f t="shared" si="13"/>
        <v>9#</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448" t="s">
        <v>3416</v>
      </c>
      <c r="C22" s="31" t="s">
        <v>3405</v>
      </c>
      <c r="D22" s="1628" t="s">
        <v>3419</v>
      </c>
      <c r="E22" s="32">
        <f t="shared" si="7"/>
        <v>7109.41</v>
      </c>
      <c r="F22" s="33"/>
      <c r="G22" s="34">
        <f t="shared" si="8"/>
        <v>19852.79</v>
      </c>
      <c r="H22" s="35">
        <f t="shared" si="9"/>
        <v>19491.59</v>
      </c>
      <c r="I22" s="36">
        <v>17658.11</v>
      </c>
      <c r="J22" s="36"/>
      <c r="K22" s="36">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37">
        <v>361.2</v>
      </c>
      <c r="AM22" s="37"/>
      <c r="AN22" s="37"/>
      <c r="AO22" s="37"/>
      <c r="AP22" s="37"/>
      <c r="AQ22" s="37"/>
      <c r="AR22" s="37"/>
      <c r="AS22" s="37"/>
      <c r="AT22" s="38"/>
      <c r="AU22" s="1629"/>
      <c r="AV22" s="1341">
        <f t="shared" si="11"/>
        <v>0</v>
      </c>
      <c r="AW22" s="1341" t="str">
        <f t="shared" si="12"/>
        <v>在建</v>
      </c>
      <c r="AX22" s="1341" t="str">
        <f t="shared" si="13"/>
        <v>10#</v>
      </c>
      <c r="AY22" s="39">
        <f t="shared" si="14"/>
        <v>6833.52</v>
      </c>
      <c r="AZ22" s="32">
        <f t="shared" si="15"/>
        <v>19852.79</v>
      </c>
      <c r="BA22" s="32">
        <f t="shared" si="16"/>
        <v>19491.59</v>
      </c>
      <c r="BB22" s="32">
        <f t="shared" si="17"/>
        <v>17658.11</v>
      </c>
      <c r="BC22" s="32">
        <f t="shared" si="18"/>
        <v>1833.48</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361.2</v>
      </c>
      <c r="BM22" s="32">
        <f t="shared" si="28"/>
        <v>0</v>
      </c>
      <c r="BN22" s="32">
        <f t="shared" si="29"/>
        <v>0</v>
      </c>
      <c r="BO22" s="32">
        <f t="shared" si="30"/>
        <v>0</v>
      </c>
      <c r="BP22" s="32">
        <f t="shared" si="31"/>
        <v>0</v>
      </c>
      <c r="BQ22" s="32">
        <f t="shared" si="32"/>
        <v>361.2</v>
      </c>
      <c r="BR22" s="32">
        <f t="shared" si="33"/>
        <v>0</v>
      </c>
      <c r="BS22" s="32">
        <f t="shared" si="34"/>
        <v>0</v>
      </c>
      <c r="BT22" s="40">
        <f t="shared" si="35"/>
        <v>0</v>
      </c>
    </row>
    <row r="23" spans="1:72">
      <c r="A23" s="6"/>
      <c r="B23" s="31" t="s">
        <v>3415</v>
      </c>
      <c r="C23" s="31" t="s">
        <v>3406</v>
      </c>
      <c r="D23" s="1623" t="s">
        <v>3418</v>
      </c>
      <c r="E23" s="32">
        <f t="shared" si="7"/>
        <v>7220.82</v>
      </c>
      <c r="F23" s="33"/>
      <c r="G23" s="34">
        <f t="shared" si="8"/>
        <v>20163.89</v>
      </c>
      <c r="H23" s="35">
        <f t="shared" si="9"/>
        <v>19866.98</v>
      </c>
      <c r="I23" s="36">
        <v>18018.59</v>
      </c>
      <c r="J23" s="36"/>
      <c r="K23" s="36">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37">
        <v>296.91000000000003</v>
      </c>
      <c r="AM23" s="37"/>
      <c r="AN23" s="37"/>
      <c r="AO23" s="37"/>
      <c r="AP23" s="37"/>
      <c r="AQ23" s="37"/>
      <c r="AR23" s="37"/>
      <c r="AS23" s="37"/>
      <c r="AT23" s="38"/>
      <c r="AU23" s="1629"/>
      <c r="AV23" s="1341">
        <f t="shared" si="11"/>
        <v>0</v>
      </c>
      <c r="AW23" s="1341" t="str">
        <f t="shared" si="12"/>
        <v>现房</v>
      </c>
      <c r="AX23" s="1341" t="str">
        <f t="shared" si="13"/>
        <v>11#</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t="s">
        <v>3415</v>
      </c>
      <c r="C24" s="31" t="s">
        <v>3407</v>
      </c>
      <c r="D24" s="1623" t="s">
        <v>3418</v>
      </c>
      <c r="E24" s="32">
        <f t="shared" si="7"/>
        <v>7084.86</v>
      </c>
      <c r="F24" s="33"/>
      <c r="G24" s="34">
        <f t="shared" si="8"/>
        <v>19784.219999999998</v>
      </c>
      <c r="H24" s="35">
        <f t="shared" si="9"/>
        <v>19489.3</v>
      </c>
      <c r="I24" s="36">
        <v>17658.11</v>
      </c>
      <c r="J24" s="36"/>
      <c r="K24" s="36">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37">
        <v>294.92</v>
      </c>
      <c r="AM24" s="37"/>
      <c r="AN24" s="37"/>
      <c r="AO24" s="37"/>
      <c r="AP24" s="37"/>
      <c r="AQ24" s="37"/>
      <c r="AR24" s="37"/>
      <c r="AS24" s="37"/>
      <c r="AT24" s="38"/>
      <c r="AU24" s="1629"/>
      <c r="AV24" s="1341">
        <f t="shared" si="11"/>
        <v>0</v>
      </c>
      <c r="AW24" s="1341" t="str">
        <f t="shared" si="12"/>
        <v>现房</v>
      </c>
      <c r="AX24" s="1341" t="str">
        <f t="shared" si="13"/>
        <v>12#</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t="s">
        <v>3415</v>
      </c>
      <c r="C25" s="31" t="s">
        <v>3408</v>
      </c>
      <c r="D25" s="1623" t="s">
        <v>3418</v>
      </c>
      <c r="E25" s="32">
        <f t="shared" si="7"/>
        <v>5039.55</v>
      </c>
      <c r="F25" s="33"/>
      <c r="G25" s="34">
        <f t="shared" si="8"/>
        <v>14072.76</v>
      </c>
      <c r="H25" s="35">
        <f t="shared" si="9"/>
        <v>13780.32</v>
      </c>
      <c r="I25" s="36">
        <v>11958.17</v>
      </c>
      <c r="J25" s="36"/>
      <c r="K25" s="36">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37">
        <v>292.44</v>
      </c>
      <c r="AM25" s="37"/>
      <c r="AN25" s="37"/>
      <c r="AO25" s="37"/>
      <c r="AP25" s="37"/>
      <c r="AQ25" s="37"/>
      <c r="AR25" s="37"/>
      <c r="AS25" s="37"/>
      <c r="AT25" s="38"/>
      <c r="AU25" s="1629"/>
      <c r="AV25" s="1341">
        <f t="shared" si="11"/>
        <v>0</v>
      </c>
      <c r="AW25" s="1341" t="str">
        <f t="shared" si="12"/>
        <v>现房</v>
      </c>
      <c r="AX25" s="1341" t="str">
        <f t="shared" si="13"/>
        <v>13#</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t="s">
        <v>3415</v>
      </c>
      <c r="C26" s="31" t="s">
        <v>3409</v>
      </c>
      <c r="D26" s="1623" t="s">
        <v>3418</v>
      </c>
      <c r="E26" s="32">
        <f t="shared" si="7"/>
        <v>7216.33</v>
      </c>
      <c r="F26" s="33"/>
      <c r="G26" s="34">
        <f t="shared" si="8"/>
        <v>20151.350000000002</v>
      </c>
      <c r="H26" s="35">
        <f t="shared" si="9"/>
        <v>19856.510000000002</v>
      </c>
      <c r="I26" s="36">
        <v>18018.59</v>
      </c>
      <c r="J26" s="36"/>
      <c r="K26" s="36">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37">
        <v>294.83999999999997</v>
      </c>
      <c r="AM26" s="37"/>
      <c r="AN26" s="37"/>
      <c r="AO26" s="37"/>
      <c r="AP26" s="37"/>
      <c r="AQ26" s="37"/>
      <c r="AR26" s="37"/>
      <c r="AS26" s="37"/>
      <c r="AT26" s="38"/>
      <c r="AU26" s="1629"/>
      <c r="AV26" s="1341">
        <f t="shared" si="11"/>
        <v>0</v>
      </c>
      <c r="AW26" s="1341" t="str">
        <f t="shared" si="12"/>
        <v>现房</v>
      </c>
      <c r="AX26" s="1341" t="str">
        <f t="shared" si="13"/>
        <v>14#</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t="s">
        <v>3415</v>
      </c>
      <c r="C27" s="31" t="s">
        <v>3410</v>
      </c>
      <c r="D27" s="1623" t="s">
        <v>3418</v>
      </c>
      <c r="E27" s="32">
        <f t="shared" si="7"/>
        <v>4957.7</v>
      </c>
      <c r="F27" s="33"/>
      <c r="G27" s="34">
        <f t="shared" si="8"/>
        <v>13844.220000000001</v>
      </c>
      <c r="H27" s="35">
        <f t="shared" si="9"/>
        <v>13551.78</v>
      </c>
      <c r="I27" s="36">
        <v>11728.85</v>
      </c>
      <c r="J27" s="36"/>
      <c r="K27" s="36">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37">
        <v>292.44</v>
      </c>
      <c r="AM27" s="37"/>
      <c r="AN27" s="37"/>
      <c r="AO27" s="37"/>
      <c r="AP27" s="37"/>
      <c r="AQ27" s="37"/>
      <c r="AR27" s="37"/>
      <c r="AS27" s="37"/>
      <c r="AT27" s="38"/>
      <c r="AU27" s="1629"/>
      <c r="AV27" s="1341">
        <f t="shared" si="11"/>
        <v>0</v>
      </c>
      <c r="AW27" s="1341" t="str">
        <f t="shared" si="12"/>
        <v>现房</v>
      </c>
      <c r="AX27" s="1341" t="str">
        <f t="shared" si="13"/>
        <v>15#</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448" t="s">
        <v>3416</v>
      </c>
      <c r="C28" s="31" t="s">
        <v>3411</v>
      </c>
      <c r="D28" s="1628" t="s">
        <v>3419</v>
      </c>
      <c r="E28" s="32">
        <f t="shared" si="7"/>
        <v>7086.08</v>
      </c>
      <c r="F28" s="33"/>
      <c r="G28" s="34">
        <f t="shared" si="8"/>
        <v>19787.64</v>
      </c>
      <c r="H28" s="35">
        <f t="shared" si="9"/>
        <v>19492.72</v>
      </c>
      <c r="I28" s="36">
        <v>17658.11</v>
      </c>
      <c r="J28" s="36"/>
      <c r="K28" s="36">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37">
        <v>294.92</v>
      </c>
      <c r="AM28" s="37"/>
      <c r="AN28" s="37"/>
      <c r="AO28" s="37"/>
      <c r="AP28" s="37"/>
      <c r="AQ28" s="37"/>
      <c r="AR28" s="37"/>
      <c r="AS28" s="37"/>
      <c r="AT28" s="38"/>
      <c r="AU28" s="1629"/>
      <c r="AV28" s="1341">
        <f t="shared" si="11"/>
        <v>0</v>
      </c>
      <c r="AW28" s="1341" t="str">
        <f t="shared" si="12"/>
        <v>在建</v>
      </c>
      <c r="AX28" s="1341" t="str">
        <f t="shared" si="13"/>
        <v>16#</v>
      </c>
      <c r="AY28" s="39">
        <f t="shared" si="14"/>
        <v>6811.09</v>
      </c>
      <c r="AZ28" s="32">
        <f t="shared" si="15"/>
        <v>19787.64</v>
      </c>
      <c r="BA28" s="32">
        <f t="shared" si="16"/>
        <v>19492.72</v>
      </c>
      <c r="BB28" s="32">
        <f t="shared" si="17"/>
        <v>17658.11</v>
      </c>
      <c r="BC28" s="32">
        <f t="shared" si="18"/>
        <v>1834.61</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294.92</v>
      </c>
      <c r="BM28" s="32">
        <f t="shared" si="28"/>
        <v>0</v>
      </c>
      <c r="BN28" s="32">
        <f t="shared" si="29"/>
        <v>0</v>
      </c>
      <c r="BO28" s="32">
        <f t="shared" si="30"/>
        <v>0</v>
      </c>
      <c r="BP28" s="32">
        <f t="shared" si="31"/>
        <v>0</v>
      </c>
      <c r="BQ28" s="32">
        <f t="shared" si="32"/>
        <v>294.92</v>
      </c>
      <c r="BR28" s="32">
        <f t="shared" si="33"/>
        <v>0</v>
      </c>
      <c r="BS28" s="32">
        <f t="shared" si="34"/>
        <v>0</v>
      </c>
      <c r="BT28" s="40">
        <f t="shared" si="35"/>
        <v>0</v>
      </c>
    </row>
    <row r="29" spans="1:72">
      <c r="A29" s="6"/>
      <c r="B29" s="31" t="s">
        <v>3415</v>
      </c>
      <c r="C29" s="31" t="s">
        <v>3412</v>
      </c>
      <c r="D29" s="1623" t="s">
        <v>3418</v>
      </c>
      <c r="E29" s="32">
        <f t="shared" si="7"/>
        <v>5041.82</v>
      </c>
      <c r="F29" s="33"/>
      <c r="G29" s="34">
        <f t="shared" si="8"/>
        <v>14079.11</v>
      </c>
      <c r="H29" s="35">
        <f t="shared" si="9"/>
        <v>13786.67</v>
      </c>
      <c r="I29" s="36">
        <v>11958.17</v>
      </c>
      <c r="J29" s="36"/>
      <c r="K29" s="36">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37">
        <v>292.44</v>
      </c>
      <c r="AM29" s="37"/>
      <c r="AN29" s="37"/>
      <c r="AO29" s="37"/>
      <c r="AP29" s="37"/>
      <c r="AQ29" s="37"/>
      <c r="AR29" s="37"/>
      <c r="AS29" s="37"/>
      <c r="AT29" s="38"/>
      <c r="AU29" s="1629"/>
      <c r="AV29" s="1341">
        <f t="shared" si="11"/>
        <v>0</v>
      </c>
      <c r="AW29" s="1341" t="str">
        <f t="shared" si="12"/>
        <v>现房</v>
      </c>
      <c r="AX29" s="1341" t="str">
        <f t="shared" si="13"/>
        <v>17#</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t="s">
        <v>3415</v>
      </c>
      <c r="C30" s="31" t="s">
        <v>3413</v>
      </c>
      <c r="D30" s="1623" t="s">
        <v>3418</v>
      </c>
      <c r="E30" s="32">
        <f t="shared" si="7"/>
        <v>5000.2700000000004</v>
      </c>
      <c r="F30" s="33"/>
      <c r="G30" s="34">
        <f t="shared" si="8"/>
        <v>13963.08</v>
      </c>
      <c r="H30" s="35">
        <f t="shared" si="9"/>
        <v>13670.64</v>
      </c>
      <c r="I30" s="36">
        <v>11836</v>
      </c>
      <c r="J30" s="36"/>
      <c r="K30" s="36">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37">
        <v>292.44</v>
      </c>
      <c r="AM30" s="37"/>
      <c r="AN30" s="37"/>
      <c r="AO30" s="37"/>
      <c r="AP30" s="37"/>
      <c r="AQ30" s="37"/>
      <c r="AR30" s="37"/>
      <c r="AS30" s="37"/>
      <c r="AT30" s="38"/>
      <c r="AU30" s="1629"/>
      <c r="AV30" s="1341">
        <f t="shared" si="11"/>
        <v>0</v>
      </c>
      <c r="AW30" s="1341" t="str">
        <f t="shared" si="12"/>
        <v>现房</v>
      </c>
      <c r="AX30" s="1341" t="str">
        <f t="shared" si="13"/>
        <v>18#</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t="s">
        <v>3415</v>
      </c>
      <c r="C31" s="31" t="s">
        <v>3414</v>
      </c>
      <c r="D31" s="1623" t="s">
        <v>3418</v>
      </c>
      <c r="E31" s="32">
        <f t="shared" si="7"/>
        <v>17773.77</v>
      </c>
      <c r="F31" s="33"/>
      <c r="G31" s="34">
        <f t="shared" si="8"/>
        <v>80956.81</v>
      </c>
      <c r="H31" s="35">
        <f t="shared" si="9"/>
        <v>46158.36</v>
      </c>
      <c r="I31" s="36"/>
      <c r="J31" s="36"/>
      <c r="K31" s="36">
        <v>6948.57</v>
      </c>
      <c r="L31" s="36"/>
      <c r="M31" s="36">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v>3474.28</v>
      </c>
      <c r="AO31" s="37"/>
      <c r="AP31" s="37"/>
      <c r="AQ31" s="37"/>
      <c r="AR31" s="37"/>
      <c r="AS31" s="37"/>
      <c r="AT31" s="38">
        <v>31324.17</v>
      </c>
      <c r="AU31" s="1629"/>
      <c r="AV31" s="1341">
        <f t="shared" si="11"/>
        <v>0</v>
      </c>
      <c r="AW31" s="1341" t="str">
        <f t="shared" si="12"/>
        <v>现房</v>
      </c>
      <c r="AX31" s="1341" t="str">
        <f t="shared" si="13"/>
        <v>地下车库</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9" t="s">
        <v>1131</v>
      </c>
      <c r="B2" s="3549"/>
      <c r="C2" s="3549"/>
      <c r="D2" s="796" t="s">
        <v>1107</v>
      </c>
      <c r="E2" s="1637" t="s">
        <v>1108</v>
      </c>
      <c r="F2" s="2656"/>
      <c r="G2" s="2647"/>
      <c r="H2" s="2648"/>
      <c r="I2" s="2323" t="s">
        <v>1132</v>
      </c>
      <c r="J2" s="2656"/>
      <c r="K2" s="2656"/>
      <c r="L2" s="2656"/>
      <c r="M2" s="2656"/>
      <c r="N2" s="2658"/>
      <c r="O2" s="2656"/>
      <c r="P2" s="2656"/>
    </row>
    <row r="3" spans="1:16" ht="15.75" thickBot="1">
      <c r="A3" s="3550" t="s">
        <v>1105</v>
      </c>
      <c r="B3" s="3550"/>
      <c r="C3" s="3550"/>
      <c r="D3" s="43">
        <f>'数据-基础表'!AY6</f>
        <v>20455.650000000001</v>
      </c>
      <c r="E3" s="43">
        <f>'数据-基础表'!AZ5</f>
        <v>59427.91</v>
      </c>
      <c r="F3" s="2656"/>
      <c r="G3" s="1143"/>
      <c r="H3" s="1026" t="s">
        <v>1106</v>
      </c>
      <c r="I3" s="855">
        <f>ROUND('数据-基础表'!B3/'数据-基础表'!A3,2)</f>
        <v>2.79</v>
      </c>
      <c r="J3" s="2656"/>
      <c r="K3" s="2656"/>
      <c r="L3" s="2656"/>
      <c r="M3" s="2656"/>
      <c r="N3" s="2658"/>
      <c r="O3" s="2656"/>
      <c r="P3" s="2656"/>
    </row>
    <row r="4" spans="1:16" ht="15">
      <c r="A4" s="3551"/>
      <c r="B4" s="3552"/>
      <c r="C4" s="3553"/>
      <c r="D4" s="1639" t="s">
        <v>1107</v>
      </c>
      <c r="E4" s="1640" t="s">
        <v>1108</v>
      </c>
      <c r="F4" s="2656"/>
      <c r="G4" s="2649" t="s">
        <v>1133</v>
      </c>
      <c r="H4" s="1026" t="s">
        <v>1113</v>
      </c>
      <c r="I4" s="855">
        <f>ROUND(SUMIF('数据-基础表'!I9:AS9,"地上",'数据-基础表'!I5:AS5)/'数据-基础表'!A3,2)</f>
        <v>2.17</v>
      </c>
      <c r="J4" s="2656"/>
      <c r="K4" s="2656"/>
      <c r="L4" s="2656"/>
      <c r="M4" s="2656"/>
      <c r="N4" s="2658"/>
      <c r="O4" s="2656"/>
      <c r="P4" s="2656"/>
    </row>
    <row r="5" spans="1:16">
      <c r="A5" s="44" t="s">
        <v>1109</v>
      </c>
      <c r="B5" s="3554" t="s">
        <v>1110</v>
      </c>
      <c r="C5" s="3554"/>
      <c r="D5" s="45">
        <f>ROUND($D$3*E5/$E$3,2)</f>
        <v>0</v>
      </c>
      <c r="E5" s="46">
        <f>SUMIF('数据-基础表'!$11:$11,"住宅",'数据-基础表'!$5:$5)</f>
        <v>0</v>
      </c>
      <c r="F5" s="2656"/>
      <c r="G5" s="1143"/>
      <c r="H5" s="1026" t="s">
        <v>1106</v>
      </c>
      <c r="I5" s="855">
        <f>ROUND(E31/D31,2)</f>
        <v>2.91</v>
      </c>
      <c r="J5" s="2656"/>
      <c r="K5" s="2656"/>
      <c r="L5" s="2656"/>
      <c r="M5" s="2656"/>
      <c r="N5" s="2656"/>
      <c r="O5" s="2656"/>
      <c r="P5" s="2656"/>
    </row>
    <row r="6" spans="1:16" ht="15" thickBot="1">
      <c r="A6" s="1642"/>
      <c r="B6" s="3554" t="s">
        <v>1111</v>
      </c>
      <c r="C6" s="3554"/>
      <c r="D6" s="45">
        <f>ROUND($D$3*E6/$E$3,2)</f>
        <v>20455.650000000001</v>
      </c>
      <c r="E6" s="46">
        <f>E3-E5</f>
        <v>59427.91</v>
      </c>
      <c r="F6" s="2656"/>
      <c r="G6" s="2650" t="s">
        <v>1112</v>
      </c>
      <c r="H6" s="1144" t="s">
        <v>1113</v>
      </c>
      <c r="I6" s="2651">
        <f>ROUND(F31/D31,2)</f>
        <v>2.64</v>
      </c>
      <c r="J6" s="2656"/>
      <c r="K6" s="2656"/>
      <c r="L6" s="2656"/>
      <c r="M6" s="2656"/>
      <c r="N6" s="2656"/>
      <c r="O6" s="2656"/>
      <c r="P6" s="2656"/>
    </row>
    <row r="7" spans="1:16" ht="15.75" thickBot="1">
      <c r="A7" s="3546"/>
      <c r="B7" s="3547"/>
      <c r="C7" s="3548"/>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18234.27</v>
      </c>
      <c r="E8" s="48">
        <f>SUMIF('数据-基础表'!BB10:BK10,"地上",'数据-基础表'!BB5:BK5)</f>
        <v>52974.33</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18234.27</v>
      </c>
      <c r="E16" s="50">
        <f>SUM(E8:E15)</f>
        <v>52974.33</v>
      </c>
      <c r="F16" s="2656"/>
      <c r="G16" s="2657"/>
      <c r="H16" s="1646" t="s">
        <v>1135</v>
      </c>
      <c r="I16" s="1647"/>
      <c r="J16" s="1137"/>
      <c r="K16" s="3543" t="s">
        <v>1135</v>
      </c>
      <c r="L16" s="3544"/>
      <c r="M16" s="3544"/>
      <c r="N16" s="3544"/>
      <c r="O16" s="3544"/>
      <c r="P16" s="3545"/>
    </row>
    <row r="17" spans="1:19" ht="15">
      <c r="A17" s="1648" t="s">
        <v>1136</v>
      </c>
      <c r="B17" s="1649" t="s">
        <v>1137</v>
      </c>
      <c r="C17" s="1650" t="s">
        <v>1138</v>
      </c>
      <c r="D17" s="1651" t="s">
        <v>1126</v>
      </c>
      <c r="E17" s="1652" t="s">
        <v>1127</v>
      </c>
      <c r="F17" s="1653"/>
      <c r="G17" s="1654"/>
      <c r="H17" s="1655" t="s">
        <v>1139</v>
      </c>
      <c r="I17" s="1656" t="s">
        <v>1124</v>
      </c>
      <c r="J17" s="1137"/>
      <c r="K17" s="3540" t="s">
        <v>1140</v>
      </c>
      <c r="L17" s="3541"/>
      <c r="M17" s="3542"/>
      <c r="N17" s="3540" t="s">
        <v>1141</v>
      </c>
      <c r="O17" s="3541"/>
      <c r="P17" s="3542"/>
      <c r="R17" s="1638" t="s">
        <v>1142</v>
      </c>
      <c r="S17" s="56"/>
    </row>
    <row r="18" spans="1:19" ht="15">
      <c r="A18" s="1644"/>
      <c r="B18" s="1657"/>
      <c r="C18" s="1658"/>
      <c r="D18" s="1659"/>
      <c r="E18" s="1660" t="s">
        <v>1143</v>
      </c>
      <c r="F18" s="1661" t="s">
        <v>1144</v>
      </c>
      <c r="G18" s="1662" t="s">
        <v>1145</v>
      </c>
      <c r="H18" s="1041" t="s">
        <v>1146</v>
      </c>
      <c r="I18" s="1663" t="s">
        <v>1147</v>
      </c>
      <c r="J18" s="1137"/>
      <c r="K18" s="1041" t="s">
        <v>1148</v>
      </c>
      <c r="L18" s="1664" t="s">
        <v>1149</v>
      </c>
      <c r="M18" s="855" t="s">
        <v>1150</v>
      </c>
      <c r="N18" s="1041" t="s">
        <v>1148</v>
      </c>
      <c r="O18" s="1664" t="s">
        <v>1149</v>
      </c>
      <c r="P18" s="855" t="s">
        <v>1150</v>
      </c>
      <c r="R18" s="1026" t="s">
        <v>1151</v>
      </c>
      <c r="S18" s="1026" t="s">
        <v>1152</v>
      </c>
    </row>
    <row r="19" spans="1:19">
      <c r="A19" s="1665"/>
      <c r="B19" s="47" t="s">
        <v>1125</v>
      </c>
      <c r="C19" s="3413" t="s">
        <v>3425</v>
      </c>
      <c r="D19" s="45">
        <f>ROUND($D$3*E19/$E$3,2)</f>
        <v>20128.29</v>
      </c>
      <c r="E19" s="53">
        <f t="shared" ref="E19:E26" si="1">SUM(F19:G19)</f>
        <v>58476.87</v>
      </c>
      <c r="F19" s="2791">
        <f>'数据-基础表'!I18+'数据-基础表'!I22+'数据-基础表'!I28</f>
        <v>52974.33</v>
      </c>
      <c r="G19" s="2792">
        <f>'数据-基础表'!K18+'数据-基础表'!K22+'数据-基础表'!K28</f>
        <v>5502.54</v>
      </c>
      <c r="H19" s="670">
        <f>ROUND($D$3*I19/$E$3,2)</f>
        <v>327.36</v>
      </c>
      <c r="I19" s="48">
        <f t="shared" ref="I19:I26" si="2">IF($I$17="自定义",P19,M19)</f>
        <v>951.04</v>
      </c>
      <c r="J19" s="1137"/>
      <c r="K19" s="1136">
        <f t="shared" ref="K19:K26" si="3">ROUND(E$28*E19/E$27,2)</f>
        <v>951.04</v>
      </c>
      <c r="L19" s="1026">
        <f t="shared" ref="L19:L26" si="4">ROUND(IF(COUNTIF(C19,"*住宅*")&gt;0,E$29*E19/E$32,0),2)</f>
        <v>0</v>
      </c>
      <c r="M19" s="1148">
        <f>K19+L19</f>
        <v>951.04</v>
      </c>
      <c r="N19" s="1666"/>
      <c r="O19" s="1667"/>
      <c r="P19" s="1148">
        <f>N19+O19</f>
        <v>0</v>
      </c>
      <c r="R19" s="1026">
        <f t="shared" ref="R19:S26" si="5">D19+H19</f>
        <v>20455.650000000001</v>
      </c>
      <c r="S19" s="1027">
        <f t="shared" si="5"/>
        <v>59427.91</v>
      </c>
    </row>
    <row r="20" spans="1:19">
      <c r="A20" s="1668"/>
      <c r="B20" s="47" t="s">
        <v>1153</v>
      </c>
      <c r="C20" s="3413"/>
      <c r="D20" s="45">
        <f t="shared" ref="D20:D26" si="6">ROUND($D$3*E20/$E$3,2)</f>
        <v>0</v>
      </c>
      <c r="E20" s="53">
        <f t="shared" si="1"/>
        <v>0</v>
      </c>
      <c r="F20" s="2791"/>
      <c r="G20" s="2792"/>
      <c r="H20" s="670">
        <f t="shared" ref="H20:H26" si="7">ROUND($D$3*I20/$E$3,2)</f>
        <v>0</v>
      </c>
      <c r="I20" s="48">
        <f t="shared" si="2"/>
        <v>0</v>
      </c>
      <c r="J20" s="1137"/>
      <c r="K20" s="1136">
        <f t="shared" si="3"/>
        <v>0</v>
      </c>
      <c r="L20" s="1026">
        <f t="shared" si="4"/>
        <v>0</v>
      </c>
      <c r="M20" s="1148">
        <f t="shared" ref="M20:M26" si="8">K20+L20</f>
        <v>0</v>
      </c>
      <c r="N20" s="1666"/>
      <c r="O20" s="1667"/>
      <c r="P20" s="1148">
        <f t="shared" ref="P20:P26" si="9">N20+O20</f>
        <v>0</v>
      </c>
      <c r="R20" s="1026">
        <f t="shared" si="5"/>
        <v>0</v>
      </c>
      <c r="S20" s="1027">
        <f t="shared" si="5"/>
        <v>0</v>
      </c>
    </row>
    <row r="21" spans="1:19">
      <c r="A21" s="1668"/>
      <c r="B21" s="47" t="s">
        <v>1153</v>
      </c>
      <c r="C21" s="3413"/>
      <c r="D21" s="45">
        <f t="shared" si="6"/>
        <v>0</v>
      </c>
      <c r="E21" s="53">
        <f t="shared" si="1"/>
        <v>0</v>
      </c>
      <c r="F21" s="2791"/>
      <c r="G21" s="2792"/>
      <c r="H21" s="670">
        <f t="shared" si="7"/>
        <v>0</v>
      </c>
      <c r="I21" s="48">
        <f t="shared" si="2"/>
        <v>0</v>
      </c>
      <c r="J21" s="1137"/>
      <c r="K21" s="1136">
        <f t="shared" si="3"/>
        <v>0</v>
      </c>
      <c r="L21" s="1026">
        <f t="shared" si="4"/>
        <v>0</v>
      </c>
      <c r="M21" s="1148">
        <f t="shared" si="8"/>
        <v>0</v>
      </c>
      <c r="N21" s="1666"/>
      <c r="O21" s="1667"/>
      <c r="P21" s="1148">
        <f t="shared" si="9"/>
        <v>0</v>
      </c>
      <c r="R21" s="1026">
        <f t="shared" si="5"/>
        <v>0</v>
      </c>
      <c r="S21" s="1027">
        <f t="shared" si="5"/>
        <v>0</v>
      </c>
    </row>
    <row r="22" spans="1:19">
      <c r="A22" s="1668"/>
      <c r="B22" s="47" t="s">
        <v>1153</v>
      </c>
      <c r="C22" s="3414"/>
      <c r="D22" s="45">
        <f t="shared" si="6"/>
        <v>0</v>
      </c>
      <c r="E22" s="53">
        <f t="shared" si="1"/>
        <v>0</v>
      </c>
      <c r="F22" s="2793"/>
      <c r="G22" s="2794"/>
      <c r="H22" s="670">
        <f t="shared" si="7"/>
        <v>0</v>
      </c>
      <c r="I22" s="48">
        <f t="shared" si="2"/>
        <v>0</v>
      </c>
      <c r="J22" s="1137"/>
      <c r="K22" s="1136">
        <f t="shared" si="3"/>
        <v>0</v>
      </c>
      <c r="L22" s="1026">
        <f t="shared" si="4"/>
        <v>0</v>
      </c>
      <c r="M22" s="1148">
        <f t="shared" si="8"/>
        <v>0</v>
      </c>
      <c r="N22" s="1666"/>
      <c r="O22" s="1667"/>
      <c r="P22" s="1148">
        <f t="shared" si="9"/>
        <v>0</v>
      </c>
      <c r="R22" s="1026">
        <f t="shared" si="5"/>
        <v>0</v>
      </c>
      <c r="S22" s="1027">
        <f t="shared" si="5"/>
        <v>0</v>
      </c>
    </row>
    <row r="23" spans="1:19">
      <c r="A23" s="1668"/>
      <c r="B23" s="47" t="s">
        <v>1153</v>
      </c>
      <c r="C23" s="3414"/>
      <c r="D23" s="45">
        <f>ROUND($D$3*E23/$E$3,2)</f>
        <v>0</v>
      </c>
      <c r="E23" s="53">
        <f>SUM(F23:G23)</f>
        <v>0</v>
      </c>
      <c r="F23" s="2793"/>
      <c r="G23" s="2794"/>
      <c r="H23" s="670">
        <f>ROUND($D$3*I23/$E$3,2)</f>
        <v>0</v>
      </c>
      <c r="I23" s="48">
        <f t="shared" si="2"/>
        <v>0</v>
      </c>
      <c r="J23" s="1137"/>
      <c r="K23" s="1136">
        <f t="shared" si="3"/>
        <v>0</v>
      </c>
      <c r="L23" s="1026">
        <f t="shared" si="4"/>
        <v>0</v>
      </c>
      <c r="M23" s="1148">
        <f t="shared" si="8"/>
        <v>0</v>
      </c>
      <c r="N23" s="1666"/>
      <c r="O23" s="1667"/>
      <c r="P23" s="1148">
        <f t="shared" si="9"/>
        <v>0</v>
      </c>
      <c r="R23" s="1026">
        <f t="shared" si="5"/>
        <v>0</v>
      </c>
      <c r="S23" s="1027">
        <f t="shared" si="5"/>
        <v>0</v>
      </c>
    </row>
    <row r="24" spans="1:19">
      <c r="A24" s="1668"/>
      <c r="B24" s="47" t="s">
        <v>1153</v>
      </c>
      <c r="C24" s="3414"/>
      <c r="D24" s="45">
        <f>ROUND($D$3*E24/$E$3,2)</f>
        <v>0</v>
      </c>
      <c r="E24" s="53">
        <f>SUM(F24:G24)</f>
        <v>0</v>
      </c>
      <c r="F24" s="2793"/>
      <c r="G24" s="2794"/>
      <c r="H24" s="670">
        <f>ROUND($D$3*I24/$E$3,2)</f>
        <v>0</v>
      </c>
      <c r="I24" s="48">
        <f t="shared" si="2"/>
        <v>0</v>
      </c>
      <c r="J24" s="1137"/>
      <c r="K24" s="1136">
        <f t="shared" si="3"/>
        <v>0</v>
      </c>
      <c r="L24" s="1026">
        <f t="shared" si="4"/>
        <v>0</v>
      </c>
      <c r="M24" s="1148">
        <f t="shared" si="8"/>
        <v>0</v>
      </c>
      <c r="N24" s="1666"/>
      <c r="O24" s="1667"/>
      <c r="P24" s="1148">
        <f t="shared" si="9"/>
        <v>0</v>
      </c>
      <c r="R24" s="1026">
        <f t="shared" si="5"/>
        <v>0</v>
      </c>
      <c r="S24" s="1027">
        <f t="shared" si="5"/>
        <v>0</v>
      </c>
    </row>
    <row r="25" spans="1:19">
      <c r="A25" s="1668"/>
      <c r="B25" s="47" t="s">
        <v>1153</v>
      </c>
      <c r="C25" s="3414"/>
      <c r="D25" s="45">
        <f t="shared" si="6"/>
        <v>0</v>
      </c>
      <c r="E25" s="53">
        <f t="shared" si="1"/>
        <v>0</v>
      </c>
      <c r="F25" s="2793"/>
      <c r="G25" s="2794"/>
      <c r="H25" s="44">
        <f t="shared" si="7"/>
        <v>0</v>
      </c>
      <c r="I25" s="48">
        <f t="shared" si="2"/>
        <v>0</v>
      </c>
      <c r="J25" s="1137"/>
      <c r="K25" s="1136">
        <f t="shared" si="3"/>
        <v>0</v>
      </c>
      <c r="L25" s="1026">
        <f t="shared" si="4"/>
        <v>0</v>
      </c>
      <c r="M25" s="1148">
        <f t="shared" si="8"/>
        <v>0</v>
      </c>
      <c r="N25" s="1666"/>
      <c r="O25" s="1667"/>
      <c r="P25" s="1148">
        <f t="shared" si="9"/>
        <v>0</v>
      </c>
      <c r="R25" s="1026">
        <f t="shared" si="5"/>
        <v>0</v>
      </c>
      <c r="S25" s="1027">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6">
        <f t="shared" si="5"/>
        <v>0</v>
      </c>
      <c r="S26" s="1027">
        <f t="shared" si="5"/>
        <v>0</v>
      </c>
    </row>
    <row r="27" spans="1:19" ht="15.75" thickBot="1">
      <c r="A27" s="1668"/>
      <c r="B27" s="45"/>
      <c r="C27" s="1671" t="s">
        <v>1154</v>
      </c>
      <c r="D27" s="1138">
        <f>SUM(D19:D26)</f>
        <v>20128.29</v>
      </c>
      <c r="E27" s="1139">
        <f>IF(SUM(E19:E26)='数据-基础表'!BA5,SUM(E19:E26),IF(F27="地上面积有误","面积有误","地下面积有误"))</f>
        <v>58476.87</v>
      </c>
      <c r="F27" s="1138">
        <f>IF(SUM(F19:F26)=E8,SUM(F19:F26),"地上面积有误")</f>
        <v>52974.33</v>
      </c>
      <c r="G27" s="1140">
        <f>SUM(G19:G26)</f>
        <v>5502.54</v>
      </c>
      <c r="H27" s="1141">
        <f>SUM(H19:H26)</f>
        <v>327.36</v>
      </c>
      <c r="I27" s="1142">
        <f>SUM(I19:I26)</f>
        <v>951.04</v>
      </c>
      <c r="J27" s="1137"/>
      <c r="K27" s="1145">
        <f>SUM(K19:K26)</f>
        <v>951.04</v>
      </c>
      <c r="L27" s="1146">
        <f>SUM(L19:L26)</f>
        <v>0</v>
      </c>
      <c r="M27" s="1149">
        <f>SUM(M19:M26)</f>
        <v>951.04</v>
      </c>
      <c r="N27" s="1145">
        <f t="shared" ref="N27:O27" si="10">SUM(N19:N26)</f>
        <v>0</v>
      </c>
      <c r="O27" s="1146">
        <f t="shared" si="10"/>
        <v>0</v>
      </c>
      <c r="P27" s="1147">
        <f>SUM(P19:P26)</f>
        <v>0</v>
      </c>
      <c r="R27" s="1028">
        <f>IF(SUM(R19:R26)=$D$3,SUM(R19:R26),SUM(R19:R26)&amp;"误差"&amp;ROUND(SUM(R19:R26)-$D$3,2))</f>
        <v>20455.650000000001</v>
      </c>
      <c r="S27" s="1026">
        <f>IF(SUM(S19:S26)=$E$3,SUM(S19:S26),SUM(S19:S26)&amp;"误差"&amp;ROUND(SUM(S19:S26)-E3,2))</f>
        <v>59427.91</v>
      </c>
    </row>
    <row r="28" spans="1:19">
      <c r="A28" s="1668"/>
      <c r="B28" s="47" t="s">
        <v>1155</v>
      </c>
      <c r="C28" s="1038" t="s">
        <v>1156</v>
      </c>
      <c r="D28" s="45">
        <f>ROUND($D$3*E28/$E$3,2)</f>
        <v>327.36</v>
      </c>
      <c r="E28" s="53">
        <f>SUM(F28:G28)</f>
        <v>951.04</v>
      </c>
      <c r="F28" s="56">
        <f>'数据-基础表'!BQ5+'数据-基础表'!BS5</f>
        <v>951.04</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327.36</v>
      </c>
      <c r="E30" s="1138">
        <f>SUM(E28:E29)</f>
        <v>951.04</v>
      </c>
      <c r="F30" s="1138">
        <f>SUM(F28:F29)</f>
        <v>951.04</v>
      </c>
      <c r="G30" s="1140">
        <f>SUM(G28:G29)</f>
        <v>0</v>
      </c>
      <c r="H30" s="2656"/>
      <c r="I30" s="2656"/>
      <c r="J30" s="2656"/>
      <c r="K30" s="2656"/>
      <c r="L30" s="2656"/>
      <c r="M30" s="2656"/>
      <c r="N30" s="2656"/>
      <c r="O30" s="2656"/>
      <c r="P30" s="2656"/>
    </row>
    <row r="31" spans="1:19" ht="15.75" thickBot="1">
      <c r="A31" s="1674"/>
      <c r="B31" s="1675"/>
      <c r="C31" s="835" t="s">
        <v>1158</v>
      </c>
      <c r="D31" s="676">
        <f>D27+D30</f>
        <v>20455.650000000001</v>
      </c>
      <c r="E31" s="676">
        <f>E27+E30</f>
        <v>59427.91</v>
      </c>
      <c r="F31" s="677">
        <f>F27+F30</f>
        <v>53925.37</v>
      </c>
      <c r="G31" s="678">
        <f>G27+G30</f>
        <v>5502.54</v>
      </c>
      <c r="H31" s="2656"/>
      <c r="I31" s="2656"/>
      <c r="J31" s="2656"/>
      <c r="K31" s="2656"/>
      <c r="L31" s="2656"/>
      <c r="M31" s="2656"/>
      <c r="N31" s="2656"/>
      <c r="O31" s="2656"/>
      <c r="P31" s="2656"/>
    </row>
    <row r="32" spans="1:19">
      <c r="A32" s="1641"/>
      <c r="B32" s="1641" t="s">
        <v>1159</v>
      </c>
      <c r="C32" s="1641"/>
      <c r="D32" s="1641"/>
      <c r="E32" s="1053">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2" workbookViewId="0">
      <selection activeCell="J44" sqref="J44"/>
    </sheetView>
  </sheetViews>
  <sheetFormatPr defaultRowHeight="13.5"/>
  <cols>
    <col min="2" max="2" width="12.25" customWidth="1"/>
    <col min="6" max="6" width="11.375" customWidth="1"/>
    <col min="7" max="7" width="11.625" bestFit="1" customWidth="1"/>
    <col min="9" max="9" width="11.75" customWidth="1"/>
    <col min="13" max="13" width="10.5" bestFit="1" customWidth="1"/>
  </cols>
  <sheetData>
    <row r="2" spans="1:13">
      <c r="A2" s="3449"/>
      <c r="B2" s="3450" t="s">
        <v>3426</v>
      </c>
      <c r="C2" s="3450" t="s">
        <v>3427</v>
      </c>
      <c r="D2" s="3450" t="s">
        <v>3428</v>
      </c>
      <c r="E2" s="3449" t="s">
        <v>3429</v>
      </c>
      <c r="F2" s="3451" t="s">
        <v>3430</v>
      </c>
      <c r="G2" s="3450" t="s">
        <v>3431</v>
      </c>
      <c r="H2" s="3450" t="s">
        <v>3432</v>
      </c>
      <c r="I2" s="3450" t="s">
        <v>3433</v>
      </c>
      <c r="J2" s="3450" t="s">
        <v>3434</v>
      </c>
    </row>
    <row r="3" spans="1:13">
      <c r="A3" s="3450" t="s">
        <v>3435</v>
      </c>
      <c r="B3">
        <v>17658.11</v>
      </c>
      <c r="C3">
        <v>1837.58</v>
      </c>
      <c r="D3">
        <v>294.92</v>
      </c>
      <c r="F3">
        <f t="shared" ref="F3:F20" si="0">SUM(B3:E3)</f>
        <v>19790.61</v>
      </c>
      <c r="H3" s="3452" t="s">
        <v>3436</v>
      </c>
      <c r="I3" s="3452" t="s">
        <v>3437</v>
      </c>
      <c r="J3">
        <v>9</v>
      </c>
    </row>
    <row r="4" spans="1:13">
      <c r="A4" s="3450" t="s">
        <v>3438</v>
      </c>
      <c r="B4">
        <v>17658.11</v>
      </c>
      <c r="C4">
        <v>1832.56</v>
      </c>
      <c r="D4">
        <v>294.92</v>
      </c>
      <c r="F4">
        <f t="shared" si="0"/>
        <v>19785.59</v>
      </c>
      <c r="H4" s="3452" t="s">
        <v>3436</v>
      </c>
      <c r="I4" s="3452" t="s">
        <v>3437</v>
      </c>
      <c r="J4">
        <v>9</v>
      </c>
    </row>
    <row r="5" spans="1:13">
      <c r="A5" s="3453" t="s">
        <v>3439</v>
      </c>
      <c r="B5">
        <v>17658.11</v>
      </c>
      <c r="C5">
        <v>1842.18</v>
      </c>
      <c r="D5">
        <v>294.92</v>
      </c>
      <c r="F5">
        <f t="shared" si="0"/>
        <v>19795.21</v>
      </c>
      <c r="H5" s="3452" t="s">
        <v>3436</v>
      </c>
      <c r="I5" s="3452" t="s">
        <v>3440</v>
      </c>
      <c r="J5">
        <v>9</v>
      </c>
    </row>
    <row r="6" spans="1:13">
      <c r="A6" s="3454" t="s">
        <v>3441</v>
      </c>
      <c r="B6">
        <v>11307.49</v>
      </c>
      <c r="C6">
        <v>1828.26</v>
      </c>
      <c r="D6">
        <v>292.44</v>
      </c>
      <c r="F6">
        <f t="shared" si="0"/>
        <v>13428.19</v>
      </c>
      <c r="H6" s="3452" t="s">
        <v>3436</v>
      </c>
      <c r="I6" s="3452" t="s">
        <v>3440</v>
      </c>
      <c r="J6">
        <v>6</v>
      </c>
    </row>
    <row r="7" spans="1:13">
      <c r="A7" s="3450" t="s">
        <v>3442</v>
      </c>
      <c r="B7">
        <v>17658.11</v>
      </c>
      <c r="C7">
        <v>1831.24</v>
      </c>
      <c r="D7">
        <v>294.92</v>
      </c>
      <c r="F7">
        <f t="shared" si="0"/>
        <v>19784.27</v>
      </c>
      <c r="H7" s="3452" t="s">
        <v>3436</v>
      </c>
      <c r="I7" s="3452" t="s">
        <v>3440</v>
      </c>
      <c r="J7">
        <v>9</v>
      </c>
      <c r="M7">
        <f>F7*15000</f>
        <v>296764050</v>
      </c>
    </row>
    <row r="8" spans="1:13">
      <c r="A8" s="3455" t="s">
        <v>3443</v>
      </c>
      <c r="B8" s="3456">
        <v>17658.11</v>
      </c>
      <c r="C8" s="3456">
        <v>1834.45</v>
      </c>
      <c r="D8" s="3456">
        <v>294.92</v>
      </c>
      <c r="E8" s="3456"/>
      <c r="F8" s="3456">
        <f t="shared" si="0"/>
        <v>19787.48</v>
      </c>
      <c r="G8" s="3456"/>
      <c r="H8" s="3457" t="s">
        <v>3444</v>
      </c>
      <c r="I8" s="3457" t="s">
        <v>3440</v>
      </c>
      <c r="J8">
        <v>9</v>
      </c>
    </row>
    <row r="9" spans="1:13">
      <c r="A9" s="3454" t="s">
        <v>3445</v>
      </c>
      <c r="B9">
        <v>11958.17</v>
      </c>
      <c r="C9">
        <v>1822.18</v>
      </c>
      <c r="D9">
        <v>292.44</v>
      </c>
      <c r="F9">
        <f t="shared" si="0"/>
        <v>14072.79</v>
      </c>
      <c r="H9" s="3452" t="s">
        <v>3436</v>
      </c>
      <c r="I9" s="3452" t="s">
        <v>3440</v>
      </c>
      <c r="J9">
        <v>6</v>
      </c>
    </row>
    <row r="10" spans="1:13">
      <c r="A10" s="3458" t="s">
        <v>3446</v>
      </c>
      <c r="B10" s="3459">
        <v>18018.59</v>
      </c>
      <c r="C10" s="3459">
        <v>1842.94</v>
      </c>
      <c r="D10" s="3459">
        <v>294.83999999999997</v>
      </c>
      <c r="E10" s="3459"/>
      <c r="F10" s="3459">
        <f t="shared" si="0"/>
        <v>20156.37</v>
      </c>
      <c r="G10" s="3459"/>
      <c r="H10" s="3460" t="s">
        <v>3436</v>
      </c>
      <c r="I10" s="3460" t="s">
        <v>3447</v>
      </c>
      <c r="J10">
        <v>9</v>
      </c>
    </row>
    <row r="11" spans="1:13">
      <c r="A11" s="3450" t="s">
        <v>3448</v>
      </c>
      <c r="B11">
        <v>17658.11</v>
      </c>
      <c r="C11">
        <v>1836.4</v>
      </c>
      <c r="D11">
        <v>294.92</v>
      </c>
      <c r="F11">
        <f t="shared" si="0"/>
        <v>19789.43</v>
      </c>
      <c r="H11" s="3452" t="s">
        <v>3436</v>
      </c>
      <c r="I11" s="3452" t="s">
        <v>3440</v>
      </c>
      <c r="J11">
        <v>9</v>
      </c>
      <c r="M11">
        <f>F11*15000</f>
        <v>296841450</v>
      </c>
    </row>
    <row r="12" spans="1:13">
      <c r="A12" s="3455" t="s">
        <v>3449</v>
      </c>
      <c r="B12" s="3456">
        <v>17658.11</v>
      </c>
      <c r="C12" s="3456">
        <v>1833.48</v>
      </c>
      <c r="D12" s="3456">
        <v>361.2</v>
      </c>
      <c r="E12" s="3456"/>
      <c r="F12" s="3456">
        <f t="shared" si="0"/>
        <v>19852.79</v>
      </c>
      <c r="G12" s="3456"/>
      <c r="H12" s="3457" t="s">
        <v>3444</v>
      </c>
      <c r="I12" s="3452" t="s">
        <v>3450</v>
      </c>
      <c r="J12">
        <v>9</v>
      </c>
    </row>
    <row r="13" spans="1:13">
      <c r="A13" s="3453" t="s">
        <v>3451</v>
      </c>
      <c r="B13">
        <v>18018.59</v>
      </c>
      <c r="C13">
        <v>1848.39</v>
      </c>
      <c r="D13">
        <v>296.91000000000003</v>
      </c>
      <c r="F13">
        <f t="shared" si="0"/>
        <v>20163.89</v>
      </c>
      <c r="H13" s="3452" t="s">
        <v>3436</v>
      </c>
      <c r="I13" s="3452" t="s">
        <v>3440</v>
      </c>
      <c r="J13">
        <v>9</v>
      </c>
    </row>
    <row r="14" spans="1:13">
      <c r="A14" s="3453" t="s">
        <v>3452</v>
      </c>
      <c r="B14" s="3461">
        <v>17658.11</v>
      </c>
      <c r="C14" s="3461">
        <v>1831.19</v>
      </c>
      <c r="D14" s="3461">
        <v>294.92</v>
      </c>
      <c r="E14" s="3461"/>
      <c r="F14" s="3461">
        <f t="shared" si="0"/>
        <v>19784.219999999998</v>
      </c>
      <c r="G14" s="3461"/>
      <c r="H14" s="3452" t="s">
        <v>3436</v>
      </c>
      <c r="I14" s="3452" t="s">
        <v>3440</v>
      </c>
      <c r="J14">
        <v>9</v>
      </c>
      <c r="L14" s="3462" t="s">
        <v>3453</v>
      </c>
    </row>
    <row r="15" spans="1:13">
      <c r="A15" s="3454" t="s">
        <v>3454</v>
      </c>
      <c r="B15">
        <v>11958.17</v>
      </c>
      <c r="C15">
        <v>1822.15</v>
      </c>
      <c r="D15">
        <v>292.44</v>
      </c>
      <c r="F15">
        <f t="shared" si="0"/>
        <v>14072.76</v>
      </c>
      <c r="H15" s="3452" t="s">
        <v>3436</v>
      </c>
      <c r="I15" s="3452" t="s">
        <v>3440</v>
      </c>
      <c r="J15">
        <v>6</v>
      </c>
    </row>
    <row r="16" spans="1:13">
      <c r="A16" s="3454" t="s">
        <v>3455</v>
      </c>
      <c r="B16">
        <v>18018.59</v>
      </c>
      <c r="C16">
        <v>1837.92</v>
      </c>
      <c r="D16">
        <v>294.83999999999997</v>
      </c>
      <c r="F16">
        <f t="shared" si="0"/>
        <v>20151.350000000002</v>
      </c>
      <c r="H16" s="3452" t="s">
        <v>3436</v>
      </c>
      <c r="I16" s="3452" t="s">
        <v>3440</v>
      </c>
      <c r="J16">
        <v>9</v>
      </c>
    </row>
    <row r="17" spans="1:11">
      <c r="A17" s="3463" t="s">
        <v>3456</v>
      </c>
      <c r="B17">
        <v>11728.85</v>
      </c>
      <c r="C17">
        <v>1822.93</v>
      </c>
      <c r="D17">
        <v>292.44</v>
      </c>
      <c r="F17">
        <f t="shared" si="0"/>
        <v>13844.220000000001</v>
      </c>
      <c r="H17" s="3452" t="s">
        <v>3436</v>
      </c>
      <c r="I17" s="3452" t="s">
        <v>3457</v>
      </c>
      <c r="J17">
        <v>6</v>
      </c>
    </row>
    <row r="18" spans="1:11">
      <c r="A18" s="3455" t="s">
        <v>3458</v>
      </c>
      <c r="B18" s="3456">
        <v>17658.11</v>
      </c>
      <c r="C18" s="3456">
        <v>1834.61</v>
      </c>
      <c r="D18" s="3456">
        <v>294.92</v>
      </c>
      <c r="E18" s="3456"/>
      <c r="F18" s="3456">
        <f t="shared" si="0"/>
        <v>19787.64</v>
      </c>
      <c r="G18" s="3456"/>
      <c r="H18" s="3457" t="s">
        <v>3444</v>
      </c>
      <c r="I18" s="3452" t="s">
        <v>3450</v>
      </c>
      <c r="J18">
        <v>9</v>
      </c>
    </row>
    <row r="19" spans="1:11">
      <c r="A19" s="3454" t="s">
        <v>3459</v>
      </c>
      <c r="B19">
        <v>11958.17</v>
      </c>
      <c r="C19">
        <v>1828.5</v>
      </c>
      <c r="D19">
        <v>292.44</v>
      </c>
      <c r="F19">
        <f t="shared" si="0"/>
        <v>14079.11</v>
      </c>
      <c r="H19" s="3452" t="s">
        <v>3436</v>
      </c>
      <c r="I19" s="3452" t="s">
        <v>3440</v>
      </c>
      <c r="J19">
        <v>6</v>
      </c>
    </row>
    <row r="20" spans="1:11">
      <c r="A20" s="3463" t="s">
        <v>3460</v>
      </c>
      <c r="B20">
        <v>11836</v>
      </c>
      <c r="C20">
        <v>1834.64</v>
      </c>
      <c r="D20">
        <v>292.44</v>
      </c>
      <c r="F20">
        <f t="shared" si="0"/>
        <v>13963.08</v>
      </c>
      <c r="H20" s="3452" t="s">
        <v>3436</v>
      </c>
      <c r="I20" s="3452" t="s">
        <v>3457</v>
      </c>
      <c r="J20">
        <v>6</v>
      </c>
    </row>
    <row r="21" spans="1:11">
      <c r="A21" s="3450" t="s">
        <v>3461</v>
      </c>
      <c r="C21">
        <f>ROUND(F21*C23,2)</f>
        <v>6948.57</v>
      </c>
      <c r="D21">
        <f>ROUND(F21*D23,2)</f>
        <v>3474.28</v>
      </c>
      <c r="E21">
        <f>ROUND(F21*E23,2)</f>
        <v>39209.79</v>
      </c>
      <c r="F21">
        <v>49632.639999999999</v>
      </c>
      <c r="G21">
        <v>31324.17</v>
      </c>
      <c r="H21" s="3452" t="s">
        <v>3436</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457" t="s">
        <v>3462</v>
      </c>
    </row>
    <row r="25" spans="1:11">
      <c r="A25" s="3452" t="s">
        <v>3463</v>
      </c>
      <c r="B25" s="3452" t="s">
        <v>3464</v>
      </c>
    </row>
    <row r="26" spans="1:11">
      <c r="C26" s="3452" t="s">
        <v>3465</v>
      </c>
      <c r="D26" s="3452" t="s">
        <v>3466</v>
      </c>
      <c r="E26" s="3452" t="s">
        <v>3430</v>
      </c>
      <c r="F26" s="3464" t="s">
        <v>3467</v>
      </c>
      <c r="I26" s="3452" t="s">
        <v>3468</v>
      </c>
    </row>
    <row r="27" spans="1:11">
      <c r="A27" s="3452">
        <v>10</v>
      </c>
      <c r="B27" s="3452" t="s">
        <v>3469</v>
      </c>
      <c r="C27">
        <f>B5+B6+B7+B9+B11+B13+B14+B15+B16+B19</f>
        <v>153851.62</v>
      </c>
      <c r="D27">
        <f>C5+C6+C7+C9+C11+C13+C14+C15+C16+C19</f>
        <v>18328.41</v>
      </c>
      <c r="E27">
        <f>SUM(C27:D27)</f>
        <v>172180.03</v>
      </c>
      <c r="F27" s="3465">
        <v>14000</v>
      </c>
      <c r="G27">
        <f>F27*E27</f>
        <v>2410520420</v>
      </c>
      <c r="I27">
        <f>ROUND(F38*0.5,1)</f>
        <v>13.2</v>
      </c>
      <c r="J27">
        <f>I27*E27</f>
        <v>2272776.3959999997</v>
      </c>
    </row>
    <row r="28" spans="1:11">
      <c r="A28">
        <v>2</v>
      </c>
      <c r="B28" s="3452" t="s">
        <v>3470</v>
      </c>
      <c r="C28">
        <f>B3+B4</f>
        <v>35316.22</v>
      </c>
      <c r="D28">
        <f>C3+C4</f>
        <v>3670.14</v>
      </c>
      <c r="E28">
        <f>SUM(C28:D28)</f>
        <v>38986.36</v>
      </c>
      <c r="F28" s="3465">
        <v>5500</v>
      </c>
      <c r="G28">
        <f t="shared" ref="G28:G31" si="1">F28*E28</f>
        <v>214424980</v>
      </c>
      <c r="I28">
        <v>3</v>
      </c>
      <c r="J28">
        <f t="shared" ref="J28:J31" si="2">I28*E28</f>
        <v>116959.08</v>
      </c>
    </row>
    <row r="29" spans="1:11">
      <c r="A29">
        <v>2</v>
      </c>
      <c r="B29" s="3452" t="s">
        <v>3471</v>
      </c>
      <c r="C29">
        <f>B17+B20</f>
        <v>23564.85</v>
      </c>
      <c r="D29">
        <f>C17+C20</f>
        <v>3657.57</v>
      </c>
      <c r="E29">
        <f>SUM(C29:D29)</f>
        <v>27222.42</v>
      </c>
      <c r="F29" s="3465">
        <f>F28</f>
        <v>5500</v>
      </c>
      <c r="G29">
        <f t="shared" si="1"/>
        <v>149723310</v>
      </c>
      <c r="I29">
        <f>I28</f>
        <v>3</v>
      </c>
      <c r="J29">
        <f t="shared" si="2"/>
        <v>81667.259999999995</v>
      </c>
    </row>
    <row r="30" spans="1:11">
      <c r="B30" s="3452" t="s">
        <v>3450</v>
      </c>
      <c r="E30">
        <f>SUM(C30:D30)</f>
        <v>0</v>
      </c>
      <c r="F30" s="3465">
        <f>F28</f>
        <v>5500</v>
      </c>
      <c r="G30">
        <f t="shared" si="1"/>
        <v>0</v>
      </c>
      <c r="I30">
        <f>I28</f>
        <v>3</v>
      </c>
      <c r="J30">
        <f t="shared" si="2"/>
        <v>0</v>
      </c>
    </row>
    <row r="31" spans="1:11">
      <c r="B31" s="3452" t="s">
        <v>3461</v>
      </c>
      <c r="D31">
        <f>C21+E21</f>
        <v>46158.36</v>
      </c>
      <c r="E31">
        <f>SUM(C31:D31)</f>
        <v>46158.36</v>
      </c>
      <c r="F31" s="3465">
        <f>F28</f>
        <v>5500</v>
      </c>
      <c r="G31">
        <f t="shared" si="1"/>
        <v>253870980</v>
      </c>
      <c r="I31">
        <v>1.5</v>
      </c>
      <c r="J31">
        <f t="shared" si="2"/>
        <v>69237.540000000008</v>
      </c>
    </row>
    <row r="32" spans="1:11">
      <c r="A32">
        <f>SUM(A27:A31)</f>
        <v>14</v>
      </c>
      <c r="E32">
        <f>SUM(E27:E31)</f>
        <v>284547.17</v>
      </c>
      <c r="F32" s="3462">
        <f>ROUND(G32/E32,0)</f>
        <v>10643</v>
      </c>
      <c r="G32">
        <f>SUM(G27:G31)</f>
        <v>3028539690</v>
      </c>
      <c r="J32">
        <f>SUM(J27:J31)</f>
        <v>2540640.2759999996</v>
      </c>
      <c r="K32" s="3465">
        <f>J32/E32</f>
        <v>8.9287139141113219</v>
      </c>
    </row>
    <row r="33" spans="1:17">
      <c r="F33" s="3462"/>
    </row>
    <row r="35" spans="1:17">
      <c r="B35" s="3452" t="s">
        <v>3472</v>
      </c>
      <c r="E35" s="3452" t="s">
        <v>3473</v>
      </c>
    </row>
    <row r="36" spans="1:17">
      <c r="B36" s="3452" t="s">
        <v>3474</v>
      </c>
      <c r="C36" s="3456">
        <v>6000</v>
      </c>
      <c r="D36" s="3452" t="s">
        <v>3475</v>
      </c>
      <c r="E36" s="3452" t="s">
        <v>3476</v>
      </c>
      <c r="F36">
        <v>23000</v>
      </c>
    </row>
    <row r="37" spans="1:17">
      <c r="B37" s="3452" t="s">
        <v>3477</v>
      </c>
      <c r="C37">
        <v>2800</v>
      </c>
      <c r="D37" s="3452" t="s">
        <v>3478</v>
      </c>
      <c r="E37" s="3452" t="s">
        <v>3479</v>
      </c>
      <c r="F37">
        <f>F36*C36*12</f>
        <v>1656000000</v>
      </c>
    </row>
    <row r="38" spans="1:17">
      <c r="B38" s="3452" t="s">
        <v>3480</v>
      </c>
      <c r="C38">
        <v>1800</v>
      </c>
      <c r="D38" s="3452" t="s">
        <v>3478</v>
      </c>
      <c r="E38" s="3452" t="s">
        <v>3481</v>
      </c>
      <c r="F38">
        <f>F37/365/E27</f>
        <v>26.350246897795653</v>
      </c>
    </row>
    <row r="39" spans="1:17">
      <c r="B39" s="3452" t="s">
        <v>3482</v>
      </c>
      <c r="C39">
        <v>10</v>
      </c>
    </row>
    <row r="41" spans="1:17">
      <c r="A41" s="3452" t="s">
        <v>3483</v>
      </c>
      <c r="B41" s="3452" t="s">
        <v>3484</v>
      </c>
    </row>
    <row r="42" spans="1:17">
      <c r="C42" s="3452" t="s">
        <v>3465</v>
      </c>
      <c r="D42" s="3452" t="s">
        <v>3466</v>
      </c>
      <c r="E42" s="3452" t="s">
        <v>3430</v>
      </c>
      <c r="F42" s="3452" t="s">
        <v>3467</v>
      </c>
      <c r="I42" s="3452" t="s">
        <v>3479</v>
      </c>
      <c r="P42" s="3452" t="s">
        <v>3485</v>
      </c>
    </row>
    <row r="43" spans="1:17">
      <c r="B43" s="3452" t="s">
        <v>3440</v>
      </c>
      <c r="E43">
        <f>SUM(C43:D43)</f>
        <v>0</v>
      </c>
      <c r="G43">
        <f>F43*E43</f>
        <v>0</v>
      </c>
      <c r="I43">
        <f>ROUND(F52*0.5,1)</f>
        <v>13.2</v>
      </c>
      <c r="J43">
        <f>I43*E43</f>
        <v>0</v>
      </c>
      <c r="P43" s="3466">
        <v>0.99</v>
      </c>
      <c r="Q43">
        <f>P43*E43</f>
        <v>0</v>
      </c>
    </row>
    <row r="44" spans="1:17">
      <c r="A44">
        <v>1</v>
      </c>
      <c r="B44" s="3452" t="s">
        <v>3440</v>
      </c>
      <c r="C44">
        <f>B8</f>
        <v>17658.11</v>
      </c>
      <c r="D44">
        <f>C8</f>
        <v>1834.45</v>
      </c>
      <c r="E44">
        <f>SUM(C44:D44)</f>
        <v>19492.560000000001</v>
      </c>
      <c r="F44" s="3465">
        <v>14000</v>
      </c>
      <c r="G44">
        <f t="shared" ref="G44:G46" si="3">F44*E44</f>
        <v>272895840</v>
      </c>
      <c r="I44">
        <f>I43</f>
        <v>13.2</v>
      </c>
      <c r="J44">
        <f t="shared" ref="J44:J47" si="4">I44*E44</f>
        <v>257301.79200000002</v>
      </c>
      <c r="L44" s="3462">
        <f>L8</f>
        <v>0</v>
      </c>
      <c r="P44" s="3466">
        <v>0.99</v>
      </c>
      <c r="Q44">
        <f>P44*E44</f>
        <v>19297.634400000003</v>
      </c>
    </row>
    <row r="45" spans="1:17">
      <c r="B45" s="3452" t="s">
        <v>3486</v>
      </c>
      <c r="G45">
        <f t="shared" si="3"/>
        <v>0</v>
      </c>
      <c r="I45">
        <v>3</v>
      </c>
      <c r="J45">
        <f t="shared" si="4"/>
        <v>0</v>
      </c>
    </row>
    <row r="46" spans="1:17">
      <c r="A46">
        <v>2</v>
      </c>
      <c r="B46" s="3452" t="s">
        <v>3487</v>
      </c>
      <c r="C46">
        <f>B12+B18</f>
        <v>35316.22</v>
      </c>
      <c r="D46">
        <f>C12+C18</f>
        <v>3668.09</v>
      </c>
      <c r="E46">
        <f>SUM(C46:D46)</f>
        <v>38984.31</v>
      </c>
      <c r="F46" s="3467">
        <v>5500</v>
      </c>
      <c r="G46">
        <f t="shared" si="3"/>
        <v>214413705</v>
      </c>
      <c r="I46">
        <f>I45</f>
        <v>3</v>
      </c>
      <c r="J46">
        <f t="shared" si="4"/>
        <v>116952.93</v>
      </c>
      <c r="P46" s="3466">
        <v>0.99</v>
      </c>
      <c r="Q46">
        <f>P46*E46</f>
        <v>38594.466899999999</v>
      </c>
    </row>
    <row r="47" spans="1:17">
      <c r="E47">
        <f>SUM(E43:E46)</f>
        <v>58476.869999999995</v>
      </c>
      <c r="F47">
        <f>ROUND(G47/E47,0)</f>
        <v>8333</v>
      </c>
      <c r="G47">
        <f>SUM(G43:G46)</f>
        <v>487309545</v>
      </c>
      <c r="J47">
        <f t="shared" si="4"/>
        <v>0</v>
      </c>
      <c r="P47" s="3465">
        <f>ROUND(Q47/E47,2)</f>
        <v>0.99</v>
      </c>
      <c r="Q47">
        <f>Q43+Q44+Q46</f>
        <v>57892.101300000002</v>
      </c>
    </row>
    <row r="48" spans="1:17">
      <c r="J48">
        <f>SUM(J43:J47)</f>
        <v>374254.72200000001</v>
      </c>
      <c r="K48" s="3465">
        <f>J48/E47</f>
        <v>6.4000470955439308</v>
      </c>
    </row>
    <row r="49" spans="4:7">
      <c r="E49" s="3452" t="s">
        <v>3488</v>
      </c>
    </row>
    <row r="50" spans="4:7">
      <c r="D50" s="3452"/>
      <c r="E50" s="3452" t="s">
        <v>3489</v>
      </c>
      <c r="F50">
        <v>2600</v>
      </c>
      <c r="G50" s="3452" t="s">
        <v>3490</v>
      </c>
    </row>
    <row r="51" spans="4:7">
      <c r="E51" s="3452" t="s">
        <v>3491</v>
      </c>
      <c r="F51">
        <f>F50*C36*12</f>
        <v>187200000</v>
      </c>
    </row>
    <row r="52" spans="4:7">
      <c r="E52" s="3452" t="s">
        <v>3492</v>
      </c>
      <c r="F52">
        <f>F51/365/(E43+E44)</f>
        <v>26.311408677401381</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X28" sqref="X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1161</v>
      </c>
      <c r="B2" s="1045">
        <f>项目基本情况!D3</f>
        <v>45631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7" t="s">
        <v>1172</v>
      </c>
      <c r="F5" s="1697" t="s">
        <v>1173</v>
      </c>
      <c r="G5" s="1047" t="s">
        <v>1174</v>
      </c>
      <c r="H5" s="1047" t="s">
        <v>1175</v>
      </c>
      <c r="I5" s="1047" t="s">
        <v>1176</v>
      </c>
      <c r="J5" s="1698" t="s">
        <v>1177</v>
      </c>
      <c r="K5" s="1699" t="s">
        <v>1178</v>
      </c>
      <c r="L5" s="1700" t="s">
        <v>1179</v>
      </c>
      <c r="M5" s="1701" t="s">
        <v>1180</v>
      </c>
      <c r="N5" s="1702" t="s">
        <v>3493</v>
      </c>
      <c r="O5" s="1700" t="s">
        <v>1181</v>
      </c>
      <c r="P5" s="1703" t="s">
        <v>1182</v>
      </c>
      <c r="Q5" s="61" t="s">
        <v>1183</v>
      </c>
      <c r="R5" s="1704" t="s">
        <v>1184</v>
      </c>
      <c r="S5" s="1705" t="s">
        <v>1185</v>
      </c>
      <c r="T5" s="1706" t="s">
        <v>1186</v>
      </c>
      <c r="U5" s="1046" t="s">
        <v>1187</v>
      </c>
      <c r="V5" s="1047" t="s">
        <v>1188</v>
      </c>
      <c r="W5" s="1047" t="s">
        <v>1189</v>
      </c>
      <c r="X5" s="63"/>
      <c r="Y5" s="62" t="s">
        <v>1190</v>
      </c>
      <c r="Z5" s="1707" t="s">
        <v>1187</v>
      </c>
      <c r="AA5" s="1047" t="s">
        <v>1188</v>
      </c>
      <c r="AB5" s="1047" t="s">
        <v>1189</v>
      </c>
      <c r="AC5" s="63"/>
      <c r="AD5" s="63" t="s">
        <v>1190</v>
      </c>
      <c r="AE5" s="1046" t="s">
        <v>1191</v>
      </c>
      <c r="AF5" s="1047" t="s">
        <v>1192</v>
      </c>
      <c r="AG5" s="62" t="s">
        <v>1193</v>
      </c>
      <c r="AH5" s="1046" t="s">
        <v>1194</v>
      </c>
      <c r="AI5" s="1707" t="s">
        <v>1195</v>
      </c>
      <c r="AJ5" s="1707" t="s">
        <v>1196</v>
      </c>
      <c r="AK5" s="1047" t="s">
        <v>1197</v>
      </c>
      <c r="AL5" s="1047" t="s">
        <v>1198</v>
      </c>
      <c r="AM5" s="62" t="s">
        <v>1199</v>
      </c>
      <c r="AN5" s="1708" t="s">
        <v>1200</v>
      </c>
      <c r="AO5" s="1560" t="s">
        <v>1201</v>
      </c>
      <c r="AP5" s="1028"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科研用房</v>
      </c>
      <c r="B6" s="1711" t="str">
        <f>IF(A6=0,"","经营性")</f>
        <v>经营性</v>
      </c>
      <c r="C6" s="1712" t="s">
        <v>3423</v>
      </c>
      <c r="D6" s="858">
        <f>SUMIF(项目基本情况!C$12:I$12,C6,项目基本情况!C$14:I$14)</f>
        <v>50</v>
      </c>
      <c r="E6" s="857">
        <f>IF(B6="","",SUMIF(项目基本情况!C$12:I$12,C6,项目基本情况!C$13:I$13))</f>
        <v>59165</v>
      </c>
      <c r="F6" s="64">
        <f>SUMIF(项目基本情况!C$12:I$12,C6,项目基本情况!C$15:I$15)</f>
        <v>37.07</v>
      </c>
      <c r="G6" s="65">
        <f>IF(ISERROR(ROUND(POWER(1+H6,D6-F6)*(POWER(1+H6,F6)-1)/(POWER(1+H6,D6)-1),3)),0,ROUND(POWER(1+H6,D6-F6)*(POWER(1+H6,F6)-1)/(POWER(1+H6,D6)-1),3))</f>
        <v>0.91600000000000004</v>
      </c>
      <c r="H6" s="732">
        <v>0.05</v>
      </c>
      <c r="I6" s="732">
        <v>0.06</v>
      </c>
      <c r="J6" s="66">
        <v>7.4999999999999997E-2</v>
      </c>
      <c r="K6" s="1030">
        <f>SUMIF('数据-汇总表'!C$19:C$33,A6,'数据-汇总表'!E$19:E$33)</f>
        <v>58476.87</v>
      </c>
      <c r="L6" s="733">
        <f>面积表!F47</f>
        <v>8333</v>
      </c>
      <c r="M6" s="67">
        <f t="shared" ref="M6:M14" si="0">ROUND(K6*L6/10000,0)</f>
        <v>48729</v>
      </c>
      <c r="N6" s="731">
        <v>0.99</v>
      </c>
      <c r="O6" s="67">
        <f>IF($N$5="成新度","——",ROUND(M6*N6,0))</f>
        <v>48242</v>
      </c>
      <c r="P6" s="68">
        <f>IF($N$5="成新度","——",M6-O6)</f>
        <v>487</v>
      </c>
      <c r="Q6" s="734">
        <v>0.2</v>
      </c>
      <c r="R6" s="69">
        <f ca="1">SUMIF('数据-汇总表'!C$19:C$33,A6,'数据-汇总表'!R$19:R$27)</f>
        <v>20455.650000000001</v>
      </c>
      <c r="S6" s="51">
        <f>IF('数据-汇总表'!$I$17="按面积比例",SUMIF('数据-汇总表'!C$19:C$33,A6,'数据-汇总表'!K$19:K$33),SUMIF('数据-汇总表'!C$19:C$33,A6,'数据-汇总表'!N$19:N$33))</f>
        <v>951.04</v>
      </c>
      <c r="T6" s="1170">
        <f>ROUND($L$14*S6/10000,0)</f>
        <v>523</v>
      </c>
      <c r="U6" s="3424">
        <f>ROUND(面积表!K48,1)</f>
        <v>6.4</v>
      </c>
      <c r="V6" s="70">
        <v>0</v>
      </c>
      <c r="W6" s="70">
        <v>0.15</v>
      </c>
      <c r="X6" s="1040"/>
      <c r="Y6" s="71">
        <v>1</v>
      </c>
      <c r="Z6" s="72"/>
      <c r="AA6" s="66"/>
      <c r="AB6" s="66"/>
      <c r="AC6" s="1040"/>
      <c r="AD6" s="73"/>
      <c r="AE6" s="1041">
        <f ca="1">IF(AN6="",0,SUMIF(INDIRECT("'"&amp;AN6&amp;"'"&amp;"!E:E"),$AE$5,INDIRECT("'"&amp;AN6&amp;"'"&amp;"!F:F")))</f>
        <v>37.04</v>
      </c>
      <c r="AF6" s="1346"/>
      <c r="AG6" s="138">
        <f>IF(AF6="",0,AE6-AF6)</f>
        <v>0</v>
      </c>
      <c r="AH6" s="74"/>
      <c r="AI6" s="76">
        <v>365</v>
      </c>
      <c r="AJ6" s="77"/>
      <c r="AK6" s="78">
        <v>1.4999999999999999E-2</v>
      </c>
      <c r="AL6" s="79">
        <v>1.5E-3</v>
      </c>
      <c r="AM6" s="80">
        <v>1.4999999999999999E-2</v>
      </c>
      <c r="AN6" s="1713" t="s">
        <v>3494</v>
      </c>
      <c r="AO6" s="52">
        <f ca="1">SUMIF(INDIRECT("'"&amp;AN6&amp;"'"&amp;"!A:A"),"总价",INDIRECT("'"&amp;AN6&amp;"'"&amp;"!B:B"))</f>
        <v>120731</v>
      </c>
      <c r="AP6" s="1714">
        <f>IF(C6="住宅",K6*L6,0)</f>
        <v>0</v>
      </c>
      <c r="AQ6" s="52">
        <f>ROUND($L$14*$N$14*S6/10000,0)</f>
        <v>518</v>
      </c>
      <c r="AR6" s="52">
        <f>ROUND($L$14*(1-$N$14)*S6/10000,0)</f>
        <v>5</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40"/>
      <c r="Y7" s="71"/>
      <c r="Z7" s="72"/>
      <c r="AA7" s="66"/>
      <c r="AB7" s="66"/>
      <c r="AC7" s="1040"/>
      <c r="AD7" s="73"/>
      <c r="AE7" s="1041">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5"/>
      <c r="V8" s="735"/>
      <c r="W8" s="735"/>
      <c r="X8" s="1040"/>
      <c r="Y8" s="71"/>
      <c r="Z8" s="72"/>
      <c r="AA8" s="66"/>
      <c r="AB8" s="66"/>
      <c r="AC8" s="1040"/>
      <c r="AD8" s="73"/>
      <c r="AE8" s="1041">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40"/>
      <c r="Y9" s="71"/>
      <c r="Z9" s="72"/>
      <c r="AA9" s="66"/>
      <c r="AB9" s="66"/>
      <c r="AC9" s="1040"/>
      <c r="AD9" s="73"/>
      <c r="AE9" s="1041">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40"/>
      <c r="Y10" s="71"/>
      <c r="Z10" s="72"/>
      <c r="AA10" s="66"/>
      <c r="AB10" s="66"/>
      <c r="AC10" s="1040"/>
      <c r="AD10" s="73"/>
      <c r="AE10" s="1041">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40"/>
      <c r="Y11" s="71"/>
      <c r="Z11" s="84"/>
      <c r="AA11" s="66"/>
      <c r="AB11" s="66"/>
      <c r="AC11" s="1040"/>
      <c r="AD11" s="73"/>
      <c r="AE11" s="1041">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40"/>
      <c r="Y12" s="71"/>
      <c r="Z12" s="84"/>
      <c r="AA12" s="66"/>
      <c r="AB12" s="66"/>
      <c r="AC12" s="1040"/>
      <c r="AD12" s="73"/>
      <c r="AE12" s="1041">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40"/>
      <c r="Y13" s="71"/>
      <c r="Z13" s="72"/>
      <c r="AA13" s="66"/>
      <c r="AB13" s="66"/>
      <c r="AC13" s="1040"/>
      <c r="AD13" s="73"/>
      <c r="AE13" s="1041">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9"/>
      <c r="I14" s="1029"/>
      <c r="J14" s="1029"/>
      <c r="K14" s="1030">
        <f>SUMIF('数据-汇总表'!C$19:C$33,A14,'数据-汇总表'!E$19:E$33)</f>
        <v>951.04</v>
      </c>
      <c r="L14" s="82">
        <v>5500</v>
      </c>
      <c r="M14" s="67">
        <f t="shared" si="0"/>
        <v>523</v>
      </c>
      <c r="N14" s="83">
        <f>N6</f>
        <v>0.99</v>
      </c>
      <c r="O14" s="67">
        <f t="shared" si="3"/>
        <v>518</v>
      </c>
      <c r="P14" s="68">
        <f t="shared" si="4"/>
        <v>5</v>
      </c>
      <c r="Q14" s="1033"/>
      <c r="R14" s="69"/>
      <c r="S14" s="51"/>
      <c r="T14" s="1170"/>
      <c r="U14" s="670"/>
      <c r="V14" s="1035"/>
      <c r="W14" s="1035"/>
      <c r="X14" s="1036"/>
      <c r="Y14" s="1037"/>
      <c r="Z14" s="1038"/>
      <c r="AA14" s="1039"/>
      <c r="AB14" s="1039"/>
      <c r="AC14" s="1040"/>
      <c r="AD14" s="1036"/>
      <c r="AE14" s="1041"/>
      <c r="AF14" s="52"/>
      <c r="AG14" s="138"/>
      <c r="AH14" s="1041"/>
      <c r="AI14" s="1355"/>
      <c r="AJ14" s="704"/>
      <c r="AK14" s="1042"/>
      <c r="AL14" s="1043"/>
      <c r="AM14" s="1044"/>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9"/>
      <c r="I15" s="1029"/>
      <c r="J15" s="1029"/>
      <c r="K15" s="1030">
        <f>SUMIF('数据-汇总表'!C$19:C$33,A15,'数据-汇总表'!E$19:E$33)</f>
        <v>0</v>
      </c>
      <c r="L15" s="1031"/>
      <c r="M15" s="67"/>
      <c r="N15" s="1032"/>
      <c r="O15" s="67"/>
      <c r="P15" s="68"/>
      <c r="Q15" s="1033"/>
      <c r="R15" s="69"/>
      <c r="S15" s="51"/>
      <c r="T15" s="1170"/>
      <c r="U15" s="670"/>
      <c r="V15" s="1035"/>
      <c r="W15" s="1035"/>
      <c r="X15" s="1036"/>
      <c r="Y15" s="1037"/>
      <c r="Z15" s="1038"/>
      <c r="AA15" s="1039"/>
      <c r="AB15" s="1039"/>
      <c r="AC15" s="1040"/>
      <c r="AD15" s="1036"/>
      <c r="AE15" s="1041"/>
      <c r="AF15" s="52"/>
      <c r="AG15" s="138"/>
      <c r="AH15" s="1041"/>
      <c r="AI15" s="1355"/>
      <c r="AJ15" s="704"/>
      <c r="AK15" s="1042"/>
      <c r="AL15" s="1043"/>
      <c r="AM15" s="1044"/>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0.91600000000000004</v>
      </c>
      <c r="H16" s="90">
        <f>ROUND(SUMPRODUCT(H6:H13,K6:K13)/SUMPRODUCT((H6:H13&gt;0)*(K6:K13)),3)</f>
        <v>0.05</v>
      </c>
      <c r="I16" s="91"/>
      <c r="J16" s="91"/>
      <c r="K16" s="92">
        <f>SUM(K6:K15)</f>
        <v>59427.91</v>
      </c>
      <c r="L16" s="93">
        <f>ROUND(M16*10000/SUM(K6:K14),0)</f>
        <v>8288</v>
      </c>
      <c r="M16" s="93">
        <f>SUM(M6:M14)</f>
        <v>49252</v>
      </c>
      <c r="N16" s="94">
        <f>ROUND(SUMPRODUCT(M6:M14,N6:N14)/M16,3)</f>
        <v>0.99</v>
      </c>
      <c r="O16" s="93">
        <f>SUM(O6:O14)</f>
        <v>48760</v>
      </c>
      <c r="P16" s="93">
        <f>SUM(P6:P14)</f>
        <v>492</v>
      </c>
      <c r="Q16" s="95">
        <f>ROUND(SUMPRODUCT(Q6:Q13,K6:K13)/SUMPRODUCT((Q6:Q13&gt;0)*(K6:K13)),2)</f>
        <v>0.2</v>
      </c>
      <c r="R16" s="1034">
        <f ca="1">SUM(R6:R13)</f>
        <v>20455.650000000001</v>
      </c>
      <c r="S16" s="96">
        <f>SUM(S6:S13)</f>
        <v>951.04</v>
      </c>
      <c r="T16" s="97">
        <f>IF(SUMIF(T6:T13,"&lt;9E307")=M14,SUMIF(T6:T13,"&lt;9E307"),"有误，请检查")</f>
        <v>523</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1211</v>
      </c>
      <c r="B19" s="103">
        <v>0</v>
      </c>
      <c r="C19" s="2795" t="s">
        <v>2303</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1212</v>
      </c>
      <c r="B20" s="104">
        <v>3</v>
      </c>
      <c r="C20" s="2796" t="s">
        <v>2301</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1213</v>
      </c>
      <c r="B21" s="104">
        <f>B20*N16</f>
        <v>2.9699999999999998</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1215</v>
      </c>
      <c r="B23" s="105">
        <f>B19+B21</f>
        <v>2.9699999999999998</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3.0000000000000249E-2</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1220</v>
      </c>
      <c r="B27" s="107"/>
      <c r="C27" s="2797" t="s">
        <v>2305</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170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 ca="1">成本法!C10</f>
        <v>1010</v>
      </c>
      <c r="C29" s="2798" t="s">
        <v>2294</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0.1</v>
      </c>
      <c r="C33" s="2799" t="s">
        <v>3377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799" t="s">
        <v>2295</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799" t="s">
        <v>2296</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0.03</v>
      </c>
      <c r="C36" s="2799" t="s">
        <v>3378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1230</v>
      </c>
      <c r="B37" s="115">
        <v>0.03</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1231</v>
      </c>
      <c r="B38" s="113">
        <v>0.03</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2312</v>
      </c>
      <c r="B40" s="1078">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1236</v>
      </c>
      <c r="B44" s="119">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1237</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1238</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20">
        <v>0</v>
      </c>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1240</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1244</v>
      </c>
      <c r="B52" s="124">
        <f>SUMIF(A54:A63,B53,B54:B63)</f>
        <v>1.5</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1245</v>
      </c>
      <c r="B53" s="1736" t="s">
        <v>29</v>
      </c>
      <c r="C53" s="2658"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1252</v>
      </c>
      <c r="B59" s="75">
        <f>C59</f>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4"/>
  </cols>
  <sheetData>
    <row r="1" spans="1:29" s="2454" customFormat="1" ht="18.75" thickBot="1">
      <c r="A1" s="3555" t="s">
        <v>2286</v>
      </c>
      <c r="B1" s="3556"/>
      <c r="C1" s="3556"/>
      <c r="D1" s="3556"/>
      <c r="E1" s="3556"/>
      <c r="F1" s="3556"/>
      <c r="G1" s="355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1"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39"/>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39"/>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36" sqref="K3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59427.91</v>
      </c>
      <c r="C1" s="2682"/>
      <c r="D1" s="2682"/>
      <c r="E1" s="2682"/>
      <c r="F1" s="2682"/>
      <c r="G1" s="2683"/>
      <c r="H1" s="2684"/>
      <c r="I1" s="2684"/>
      <c r="J1" s="2684"/>
      <c r="K1" s="2684"/>
    </row>
    <row r="2" spans="1:11" ht="16.5">
      <c r="A2" s="2509" t="s">
        <v>653</v>
      </c>
      <c r="B2" s="2509">
        <f>SUM(C14:C23)</f>
        <v>20455.650000000001</v>
      </c>
      <c r="C2" s="2682"/>
      <c r="D2" s="2682"/>
      <c r="E2" s="2682"/>
      <c r="F2" s="2682"/>
      <c r="G2" s="2683"/>
      <c r="H2" s="2684"/>
      <c r="I2" s="2684"/>
      <c r="J2" s="2684"/>
      <c r="K2" s="2684"/>
    </row>
    <row r="3" spans="1:11" ht="16.5">
      <c r="A3" s="2509" t="s">
        <v>662</v>
      </c>
      <c r="B3" s="2511">
        <f>项目基本情况!D3</f>
        <v>45631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110970</v>
      </c>
      <c r="C5" s="2509">
        <f ca="1">IF(B5=D14,结果表!H102,ROUND(B5*10000/$B$1,0))</f>
        <v>18673</v>
      </c>
      <c r="D5" s="2509">
        <f ca="1">ROUND(B5*10000/$B$2,0)</f>
        <v>54249</v>
      </c>
      <c r="E5" s="2682"/>
      <c r="F5" s="2683"/>
      <c r="G5" s="2683"/>
      <c r="H5" s="2684"/>
      <c r="I5" s="2684"/>
      <c r="J5" s="2684"/>
      <c r="K5" s="2684"/>
    </row>
    <row r="6" spans="1:11" ht="16.5">
      <c r="A6" s="2509" t="s">
        <v>656</v>
      </c>
      <c r="B6" s="2509">
        <f ca="1">SUM(G14:G23)</f>
        <v>110970</v>
      </c>
      <c r="C6" s="2509">
        <f ca="1">IF(B6=G14,结果表!H108,ROUND(B6*10000/$B$1,0))</f>
        <v>18673</v>
      </c>
      <c r="D6" s="2509">
        <f ca="1">ROUND(B6*10000/$B$2,0)</f>
        <v>54249</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SUM(I14:I23)</f>
        <v>0</v>
      </c>
      <c r="C8" s="2509" t="str">
        <f>IF(B8=I14,结果表!H112,ROUND(B8*10000/$B$1,0))</f>
        <v>——</v>
      </c>
      <c r="D8" s="2509">
        <f>ROUND(B8*10000/$B$2,0)</f>
        <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3357</v>
      </c>
      <c r="D10" s="2509" t="s">
        <v>3358</v>
      </c>
      <c r="E10" s="3437"/>
      <c r="F10" s="3441" t="s">
        <v>3359</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59427.91</v>
      </c>
      <c r="C14" s="2515">
        <f>结果表!C118</f>
        <v>20455.650000000001</v>
      </c>
      <c r="D14" s="2515">
        <f ca="1">结果表!H118</f>
        <v>110970</v>
      </c>
      <c r="E14" s="2515">
        <f ca="1">ROUND(D14*10000/B14,0)</f>
        <v>18673</v>
      </c>
      <c r="F14" s="2515">
        <f ca="1">ROUND(D14*10000/C14,0)</f>
        <v>54249</v>
      </c>
      <c r="G14" s="2515">
        <f ca="1">结果表!D122</f>
        <v>110970</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9"/>
      <c r="H15" s="1329"/>
      <c r="I15" s="2516"/>
      <c r="J15" s="2683"/>
      <c r="K15" s="2684"/>
    </row>
    <row r="16" spans="1:11" ht="16.5">
      <c r="A16" s="2514" t="s">
        <v>648</v>
      </c>
      <c r="B16" s="2516"/>
      <c r="C16" s="2516"/>
      <c r="D16" s="2516"/>
      <c r="E16" s="2515" t="e">
        <f t="shared" si="0"/>
        <v>#DIV/0!</v>
      </c>
      <c r="F16" s="2515" t="e">
        <f t="shared" si="1"/>
        <v>#DIV/0!</v>
      </c>
      <c r="G16" s="1329"/>
      <c r="H16" s="1329"/>
      <c r="I16" s="2516"/>
      <c r="J16" s="2684"/>
      <c r="K16" s="2684"/>
    </row>
    <row r="17" spans="1:11" ht="16.5">
      <c r="A17" s="2514" t="s">
        <v>647</v>
      </c>
      <c r="B17" s="2516"/>
      <c r="C17" s="2516"/>
      <c r="D17" s="2516"/>
      <c r="E17" s="2515" t="e">
        <f t="shared" si="0"/>
        <v>#DIV/0!</v>
      </c>
      <c r="F17" s="2515" t="e">
        <f t="shared" si="1"/>
        <v>#DIV/0!</v>
      </c>
      <c r="G17" s="1329"/>
      <c r="H17" s="1329"/>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91" t="str">
        <f>项目基本情况!S2</f>
        <v>北京市通州区宋庄镇尹各庄村新建科研用地房地产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2" t="s">
        <v>1265</v>
      </c>
      <c r="B4" s="1753" t="s">
        <v>1266</v>
      </c>
      <c r="C4" s="1754" t="s">
        <v>3495</v>
      </c>
      <c r="D4" s="1754" t="s">
        <v>3496</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1" t="s">
        <v>1268</v>
      </c>
      <c r="B5" s="3558">
        <v>25</v>
      </c>
      <c r="C5" s="3574"/>
      <c r="D5" s="3594"/>
      <c r="E5" s="131" t="s">
        <v>1269</v>
      </c>
      <c r="F5" s="1755"/>
      <c r="G5" s="1755"/>
      <c r="H5" s="1755"/>
      <c r="I5" s="1371"/>
    </row>
    <row r="6" spans="1:12" ht="12.75">
      <c r="A6" s="3571"/>
      <c r="B6" s="3558"/>
      <c r="C6" s="3575"/>
      <c r="D6" s="3594"/>
      <c r="E6" s="131" t="s">
        <v>1270</v>
      </c>
      <c r="F6" s="1755"/>
      <c r="G6" s="1755"/>
      <c r="H6" s="1755"/>
      <c r="I6" s="1371"/>
    </row>
    <row r="7" spans="1:12" ht="12.75">
      <c r="A7" s="3571"/>
      <c r="B7" s="3558"/>
      <c r="C7" s="3576"/>
      <c r="D7" s="3594"/>
      <c r="E7" s="131" t="s">
        <v>1271</v>
      </c>
      <c r="F7" s="1755"/>
      <c r="G7" s="1755"/>
      <c r="H7" s="1755"/>
      <c r="I7" s="1371"/>
    </row>
    <row r="8" spans="1:12" ht="12.75">
      <c r="A8" s="3571" t="s">
        <v>1272</v>
      </c>
      <c r="B8" s="3558">
        <v>15</v>
      </c>
      <c r="C8" s="3574"/>
      <c r="D8" s="3594"/>
      <c r="E8" s="131" t="s">
        <v>1273</v>
      </c>
      <c r="F8" s="1755"/>
      <c r="G8" s="1755"/>
      <c r="H8" s="1755"/>
      <c r="I8" s="1371"/>
    </row>
    <row r="9" spans="1:12" ht="12.75">
      <c r="A9" s="3571"/>
      <c r="B9" s="3558"/>
      <c r="C9" s="3576"/>
      <c r="D9" s="3594"/>
      <c r="E9" s="131" t="s">
        <v>1274</v>
      </c>
      <c r="F9" s="1755"/>
      <c r="G9" s="1755"/>
      <c r="H9" s="1755"/>
      <c r="I9" s="1371"/>
    </row>
    <row r="10" spans="1:12" ht="12.75">
      <c r="A10" s="3571" t="s">
        <v>1275</v>
      </c>
      <c r="B10" s="3558">
        <v>15</v>
      </c>
      <c r="C10" s="3574"/>
      <c r="D10" s="3594"/>
      <c r="E10" s="131" t="s">
        <v>1276</v>
      </c>
      <c r="F10" s="1755"/>
      <c r="G10" s="1755"/>
      <c r="H10" s="1755"/>
      <c r="I10" s="1371"/>
    </row>
    <row r="11" spans="1:12" ht="12.75">
      <c r="A11" s="3571"/>
      <c r="B11" s="3558"/>
      <c r="C11" s="3576"/>
      <c r="D11" s="3594"/>
      <c r="E11" s="131" t="s">
        <v>1277</v>
      </c>
      <c r="F11" s="1755"/>
      <c r="G11" s="1755"/>
      <c r="H11" s="1755"/>
      <c r="I11" s="1371"/>
    </row>
    <row r="12" spans="1:12" ht="12.75">
      <c r="A12" s="3571" t="s">
        <v>1278</v>
      </c>
      <c r="B12" s="3558">
        <v>15</v>
      </c>
      <c r="C12" s="3574"/>
      <c r="D12" s="3594"/>
      <c r="E12" s="131" t="s">
        <v>1279</v>
      </c>
      <c r="F12" s="1755"/>
      <c r="G12" s="1755"/>
      <c r="H12" s="1755"/>
      <c r="I12" s="1371"/>
    </row>
    <row r="13" spans="1:12" ht="12.75">
      <c r="A13" s="3571"/>
      <c r="B13" s="3558"/>
      <c r="C13" s="3576"/>
      <c r="D13" s="3594"/>
      <c r="E13" s="131" t="s">
        <v>1280</v>
      </c>
      <c r="F13" s="1755"/>
      <c r="G13" s="1755"/>
      <c r="H13" s="1755"/>
      <c r="I13" s="1371"/>
    </row>
    <row r="14" spans="1:12" ht="12.75">
      <c r="A14" s="3571" t="s">
        <v>1281</v>
      </c>
      <c r="B14" s="3558">
        <v>30</v>
      </c>
      <c r="C14" s="3574">
        <v>5</v>
      </c>
      <c r="D14" s="3594">
        <v>5</v>
      </c>
      <c r="E14" s="131" t="s">
        <v>1282</v>
      </c>
      <c r="F14" s="1755"/>
      <c r="G14" s="1755"/>
      <c r="H14" s="1755"/>
      <c r="I14" s="1371"/>
    </row>
    <row r="15" spans="1:12" ht="12.75">
      <c r="A15" s="3571"/>
      <c r="B15" s="3558"/>
      <c r="C15" s="3575"/>
      <c r="D15" s="3594"/>
      <c r="E15" s="131" t="s">
        <v>1283</v>
      </c>
      <c r="F15" s="1755"/>
      <c r="G15" s="1755"/>
      <c r="H15" s="1755"/>
      <c r="I15" s="1371"/>
    </row>
    <row r="16" spans="1:12" ht="12.75">
      <c r="A16" s="3571"/>
      <c r="B16" s="3558"/>
      <c r="C16" s="3576"/>
      <c r="D16" s="3594"/>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81" t="s">
        <v>2131</v>
      </c>
      <c r="F18" s="3582"/>
      <c r="G18" s="3582"/>
      <c r="H18" s="3582"/>
      <c r="I18" s="3582"/>
      <c r="K18" s="302" t="s">
        <v>1289</v>
      </c>
      <c r="L18" s="302">
        <f>IF(C1="",'数据-汇总表'!E3,SUMIF(项目类型,C1,'数据-汇总表'!E17:E26)+SUMIF(项目类型,C1,'数据-汇总表'!I17:I26))</f>
        <v>59427.91</v>
      </c>
      <c r="M18" s="302">
        <f>IF(C1="",'数据-汇总表'!E3,SUMIF(项目类型,C1,'数据-汇总表'!E17:E26))</f>
        <v>59427.91</v>
      </c>
    </row>
    <row r="19" spans="1:36" ht="15">
      <c r="A19" s="1759" t="s">
        <v>1290</v>
      </c>
      <c r="B19" s="1760" t="s">
        <v>1291</v>
      </c>
      <c r="C19" s="134">
        <f ca="1">SUMIF(INDIRECT("'"&amp;C4&amp;"'"&amp;"!A:A"),结果表!B19,INDIRECT("'"&amp;C4&amp;"'"&amp;"!B:B"))</f>
        <v>111802</v>
      </c>
      <c r="D19" s="135">
        <f ca="1">SUMIF(INDIRECT("'"&amp;D4&amp;"'"&amp;"!A:A"),结果表!B19,INDIRECT("'"&amp;D4&amp;"'"&amp;"!B:B"))</f>
        <v>110137</v>
      </c>
      <c r="E19" s="1759" t="s">
        <v>1292</v>
      </c>
      <c r="F19" s="1760" t="s">
        <v>1291</v>
      </c>
      <c r="G19" s="136">
        <f ca="1">ROUND(C19*$C$18+D19*$D$18,0)</f>
        <v>110970</v>
      </c>
      <c r="H19" s="1761" t="s">
        <v>1293</v>
      </c>
      <c r="I19" s="129"/>
      <c r="K19" s="302" t="s">
        <v>1294</v>
      </c>
      <c r="L19" s="302">
        <f>IF(C1="",'数据-汇总表'!D3,SUMIF(项目类型,C1,'数据-汇总表'!D17:D26)+SUMIF(项目类型,C1,'数据-汇总表'!H17:H27))</f>
        <v>20455.650000000001</v>
      </c>
      <c r="M19" s="302">
        <f>IF(C1="",'数据-汇总表'!D3,SUMIF(项目类型,C1,'数据-汇总表'!D17:D26))</f>
        <v>20455.650000000001</v>
      </c>
    </row>
    <row r="20" spans="1:36" ht="15">
      <c r="A20" s="1762"/>
      <c r="B20" s="1026" t="s">
        <v>1295</v>
      </c>
      <c r="C20" s="137">
        <f ca="1">SUMIF(INDIRECT("'"&amp;C4&amp;"'"&amp;"!A:A"),结果表!B20,INDIRECT("'"&amp;C4&amp;"'"&amp;"!B:B"))</f>
        <v>18813</v>
      </c>
      <c r="D20" s="138">
        <f ca="1">SUMIF(INDIRECT("'"&amp;D4&amp;"'"&amp;"!A:A"),结果表!B20,INDIRECT("'"&amp;D4&amp;"'"&amp;"!B:B"))</f>
        <v>18533</v>
      </c>
      <c r="E20" s="1762"/>
      <c r="F20" s="1026" t="s">
        <v>1295</v>
      </c>
      <c r="G20" s="139">
        <f ca="1">ROUND(C20*$C$18+D20*$D$18,0)</f>
        <v>18673</v>
      </c>
      <c r="H20" s="808" t="s">
        <v>1296</v>
      </c>
      <c r="I20" s="129"/>
    </row>
    <row r="21" spans="1:36" ht="15" customHeight="1" thickBot="1">
      <c r="A21" s="828"/>
      <c r="B21" s="1763" t="s">
        <v>1297</v>
      </c>
      <c r="C21" s="719">
        <f ca="1">ROUND(C19*10000/L19,0)</f>
        <v>54656</v>
      </c>
      <c r="D21" s="720">
        <f ca="1">ROUND(D19*10000/L19,0)</f>
        <v>53842</v>
      </c>
      <c r="E21" s="828"/>
      <c r="F21" s="1763" t="s">
        <v>1297</v>
      </c>
      <c r="G21" s="140">
        <f ca="1">ROUND(G19*10000/L19,0)</f>
        <v>54249</v>
      </c>
      <c r="H21" s="1764" t="s">
        <v>1296</v>
      </c>
      <c r="I21" s="129"/>
    </row>
    <row r="22" spans="1:36" ht="15" thickBot="1">
      <c r="A22" s="1686" t="s">
        <v>1298</v>
      </c>
      <c r="B22" s="1765"/>
      <c r="C22" s="1766"/>
      <c r="D22" s="721">
        <f ca="1">IF(C19&lt;D19,D19/C19-1,C19/D19-1)</f>
        <v>1.5117535433142315E-2</v>
      </c>
      <c r="E22" s="129"/>
      <c r="F22" s="129"/>
      <c r="G22" s="129"/>
      <c r="H22" s="129"/>
      <c r="I22" s="129"/>
    </row>
    <row r="23" spans="1:36" ht="13.5" thickBot="1">
      <c r="A23" s="1745"/>
      <c r="B23" s="1745"/>
      <c r="C23" s="1745"/>
      <c r="D23" s="1745"/>
      <c r="E23" s="129"/>
      <c r="F23" s="129"/>
      <c r="G23" s="129"/>
      <c r="H23" s="129"/>
      <c r="I23" s="129"/>
    </row>
    <row r="24" spans="1:36" ht="14.25">
      <c r="A24" s="3565" t="s">
        <v>1299</v>
      </c>
      <c r="B24" s="1760" t="s">
        <v>1291</v>
      </c>
      <c r="C24" s="136">
        <f>IF(B30=0,0,D30)</f>
        <v>0</v>
      </c>
      <c r="D24" s="1767"/>
      <c r="E24" s="129"/>
      <c r="F24" s="129"/>
      <c r="G24" s="129"/>
      <c r="H24" s="129"/>
      <c r="I24" s="129"/>
    </row>
    <row r="25" spans="1:36" ht="14.25">
      <c r="A25" s="3566"/>
      <c r="B25" s="1026"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f ca="1">G19/'数据-汇总表'!F31</f>
        <v>2.0578440166474516</v>
      </c>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110970</v>
      </c>
      <c r="D32" s="1773" t="s">
        <v>3515</v>
      </c>
      <c r="E32" s="129"/>
      <c r="F32" s="129"/>
      <c r="G32" s="129"/>
      <c r="H32" s="129"/>
      <c r="I32" s="129"/>
    </row>
    <row r="33" spans="1:15" ht="15">
      <c r="A33" s="786" t="s">
        <v>1306</v>
      </c>
      <c r="B33" s="1774"/>
      <c r="C33" s="1775" t="s">
        <v>3516</v>
      </c>
      <c r="D33" s="1776" t="s">
        <v>3495</v>
      </c>
      <c r="E33" s="1777" t="s">
        <v>1307</v>
      </c>
      <c r="F33" s="1778" t="str">
        <f>IF(D32="楼面单价","取值（单价）","取值（总价）")</f>
        <v>取值（总价）</v>
      </c>
      <c r="G33" s="129"/>
      <c r="H33" s="129"/>
      <c r="I33" s="129"/>
    </row>
    <row r="34" spans="1:15" ht="15">
      <c r="A34" s="1779"/>
      <c r="B34" s="1780" t="s">
        <v>1308</v>
      </c>
      <c r="C34" s="148">
        <f ca="1">IF(C33="自定义",F34,C32-C35)</f>
        <v>32181</v>
      </c>
      <c r="D34" s="861">
        <f ca="1">IF(C33="自定义",ROUND(C34/C32,3),IF(C33="收益比率",SUMIF(INDIRECT("'"&amp;D33&amp;"'"&amp;"!b:b"),"土地收益比率",INDIRECT("'"&amp;D33&amp;"'"&amp;"!c:c")),SUMIF(INDIRECT("'"&amp;D33&amp;"'"&amp;"!b:b"),"土地成本比率",INDIRECT("'"&amp;D33&amp;"'"&amp;"!c:c"))))</f>
        <v>0.29000000000000004</v>
      </c>
      <c r="E34" s="1781" t="s">
        <v>1309</v>
      </c>
      <c r="F34" s="1328"/>
      <c r="G34" s="129"/>
      <c r="H34" s="129"/>
      <c r="I34" s="129"/>
    </row>
    <row r="35" spans="1:15" ht="15.75" thickBot="1">
      <c r="A35" s="1782"/>
      <c r="B35" s="1783" t="s">
        <v>1310</v>
      </c>
      <c r="C35" s="1168">
        <f ca="1">IF(C33="自定义",F35,ROUND(C32*D35,0))</f>
        <v>78789</v>
      </c>
      <c r="D35" s="1169">
        <f ca="1">IF(C33="自定义",ROUND(C35/C32,3),IF(C33="收益比率",SUMIF(INDIRECT("'"&amp;D33&amp;"'"&amp;"!b:b"),"建筑物收益比率",INDIRECT("'"&amp;D33&amp;"'"&amp;"!c:c")),SUMIF(INDIRECT("'"&amp;D33&amp;"'"&amp;"!b:b"),"建筑物成本比率",INDIRECT("'"&amp;D33&amp;"'"&amp;"!c:c"))))</f>
        <v>0.71</v>
      </c>
      <c r="E35" s="1784" t="s">
        <v>1311</v>
      </c>
      <c r="F35" s="154"/>
      <c r="G35" s="129"/>
      <c r="H35" s="129"/>
      <c r="I35" s="129"/>
    </row>
    <row r="36" spans="1:15" ht="15.75" thickBot="1">
      <c r="A36" s="3585" t="s">
        <v>1312</v>
      </c>
      <c r="B36" s="1785" t="s">
        <v>1313</v>
      </c>
      <c r="C36" s="145"/>
      <c r="D36" s="1786"/>
      <c r="E36" s="1787"/>
      <c r="F36" s="1788"/>
      <c r="G36" s="129"/>
      <c r="H36" s="129"/>
      <c r="I36" s="129"/>
    </row>
    <row r="37" spans="1:15" ht="15.75" thickBot="1">
      <c r="A37" s="3586"/>
      <c r="B37" s="1672" t="s">
        <v>1314</v>
      </c>
      <c r="C37" s="147"/>
      <c r="D37" s="1137"/>
      <c r="E37" s="1137"/>
      <c r="F37" s="1788"/>
      <c r="G37" s="129"/>
      <c r="H37" s="129"/>
      <c r="I37" s="129"/>
    </row>
    <row r="38" spans="1:15" ht="15.75" thickBot="1">
      <c r="A38" s="3587"/>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62" t="s">
        <v>1326</v>
      </c>
      <c r="B45" s="3563"/>
      <c r="C45" s="3564"/>
      <c r="D45" s="155">
        <f ca="1">ROUND(H101*F45,0)</f>
        <v>110970</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4"/>
      <c r="I46" s="159"/>
      <c r="J46" s="2520">
        <v>1</v>
      </c>
      <c r="K46" s="3621" t="s">
        <v>1331</v>
      </c>
      <c r="L46" s="3621"/>
      <c r="M46" s="3641"/>
      <c r="N46" s="3641"/>
      <c r="O46" s="3641"/>
    </row>
    <row r="47" spans="1:15" ht="12" customHeight="1">
      <c r="A47" s="160" t="s">
        <v>1332</v>
      </c>
      <c r="B47" s="161"/>
      <c r="C47" s="162"/>
      <c r="D47" s="1087" t="s">
        <v>1333</v>
      </c>
      <c r="E47" s="302" t="s">
        <v>1334</v>
      </c>
      <c r="F47" s="163" t="s">
        <v>1335</v>
      </c>
      <c r="G47" s="2543" t="s">
        <v>1336</v>
      </c>
      <c r="H47" s="2544"/>
      <c r="I47" s="159"/>
      <c r="J47" s="2520">
        <v>2</v>
      </c>
      <c r="K47" s="3621" t="s">
        <v>1337</v>
      </c>
      <c r="L47" s="3621"/>
      <c r="M47" s="3642">
        <f>'数据-取费表'!B2</f>
        <v>45631</v>
      </c>
      <c r="N47" s="3642"/>
      <c r="O47" s="3642"/>
    </row>
    <row r="48" spans="1:15" ht="25.5">
      <c r="A48" s="3590" t="s">
        <v>1338</v>
      </c>
      <c r="B48" s="3573"/>
      <c r="C48" s="3573"/>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621" t="s">
        <v>1340</v>
      </c>
      <c r="L48" s="3621"/>
      <c r="M48" s="3643">
        <f ca="1">H101</f>
        <v>110970</v>
      </c>
      <c r="N48" s="3643"/>
      <c r="O48" s="3643"/>
    </row>
    <row r="49" spans="1:35" ht="25.5" customHeight="1">
      <c r="A49" s="2331" t="s">
        <v>1341</v>
      </c>
      <c r="B49" s="3557" t="s">
        <v>1342</v>
      </c>
      <c r="C49" s="3557"/>
      <c r="D49" s="1588">
        <v>0</v>
      </c>
      <c r="E49" s="324" t="s">
        <v>1343</v>
      </c>
      <c r="F49" s="2421" t="s">
        <v>28</v>
      </c>
      <c r="G49" s="3627"/>
      <c r="H49" s="2308" t="s">
        <v>2134</v>
      </c>
      <c r="I49" s="2309"/>
      <c r="J49" s="2520">
        <v>4</v>
      </c>
      <c r="K49" s="3621" t="str">
        <f>IF(项目基本情况!E8="房地产抵押价值","房地产抵押价值","抵押担保权已注销时的房地产抵押价值")</f>
        <v>房地产抵押价值</v>
      </c>
      <c r="L49" s="3621"/>
      <c r="M49" s="3643">
        <f ca="1">IF(项目基本情况!E8="房地产抵押价值",H107,H109)</f>
        <v>110970</v>
      </c>
      <c r="N49" s="3643"/>
      <c r="O49" s="3643"/>
    </row>
    <row r="50" spans="1:35" ht="25.5" customHeight="1">
      <c r="A50" s="2548"/>
      <c r="B50" s="3557" t="s">
        <v>1344</v>
      </c>
      <c r="C50" s="3557"/>
      <c r="D50" s="2549"/>
      <c r="E50" s="332"/>
      <c r="F50" s="2421"/>
      <c r="G50" s="3628"/>
      <c r="H50" s="2310" t="s">
        <v>2135</v>
      </c>
      <c r="I50" s="2309"/>
      <c r="J50" s="3640" t="s">
        <v>1345</v>
      </c>
      <c r="K50" s="3640"/>
      <c r="L50" s="3640"/>
      <c r="M50" s="3640"/>
      <c r="N50" s="3640"/>
      <c r="O50" s="3640"/>
    </row>
    <row r="51" spans="1:35" ht="20.45" customHeight="1">
      <c r="A51" s="2550"/>
      <c r="B51" s="3557" t="s">
        <v>1346</v>
      </c>
      <c r="C51" s="3557"/>
      <c r="D51" s="1087"/>
      <c r="E51" s="327"/>
      <c r="F51" s="2421"/>
      <c r="G51" s="3629"/>
      <c r="H51" s="2310" t="s">
        <v>2136</v>
      </c>
      <c r="I51" s="2309"/>
      <c r="J51" s="2521" t="s">
        <v>1347</v>
      </c>
      <c r="K51" s="3621" t="s">
        <v>1348</v>
      </c>
      <c r="L51" s="3621"/>
      <c r="M51" s="2521" t="s">
        <v>1349</v>
      </c>
      <c r="N51" s="2521" t="s">
        <v>1350</v>
      </c>
      <c r="O51" s="2521" t="s">
        <v>1351</v>
      </c>
    </row>
    <row r="52" spans="1:35" ht="24" customHeight="1">
      <c r="A52" s="2333" t="s">
        <v>1352</v>
      </c>
      <c r="B52" s="3557" t="s">
        <v>1353</v>
      </c>
      <c r="C52" s="3557"/>
      <c r="D52" s="1087">
        <f ca="1">ROUND(D45*'数据-取费表'!B41/(1+'数据-取费表'!C42),0)</f>
        <v>5813</v>
      </c>
      <c r="E52" s="2332" t="s">
        <v>1354</v>
      </c>
      <c r="F52" s="2551">
        <f>'数据-取费表'!B41</f>
        <v>5.5000000000000007E-2</v>
      </c>
      <c r="G52" s="2552"/>
      <c r="H52" s="2541"/>
      <c r="I52" s="1805"/>
      <c r="J52" s="2520">
        <v>1</v>
      </c>
      <c r="K52" s="3622" t="s">
        <v>1355</v>
      </c>
      <c r="L52" s="3622"/>
      <c r="M52" s="2522" t="b">
        <f>D48</f>
        <v>0</v>
      </c>
      <c r="N52" s="2520" t="str">
        <f>E48</f>
        <v>销售额×税（费）率</v>
      </c>
      <c r="O52" s="2523">
        <f>F48</f>
        <v>5.5000000000000007E-2</v>
      </c>
    </row>
    <row r="53" spans="1:35" ht="12" customHeight="1">
      <c r="A53" s="2333" t="s">
        <v>1356</v>
      </c>
      <c r="B53" s="3583" t="s">
        <v>2291</v>
      </c>
      <c r="C53" s="3584"/>
      <c r="D53" s="1087">
        <f ca="1">ROUND(D45*'数据-取费表'!B41/(1+'数据-取费表'!C42),0)</f>
        <v>5813</v>
      </c>
      <c r="E53" s="2332" t="s">
        <v>1354</v>
      </c>
      <c r="F53" s="2551">
        <f>'数据-取费表'!B41</f>
        <v>5.5000000000000007E-2</v>
      </c>
      <c r="G53" s="2552"/>
      <c r="H53" s="2541"/>
      <c r="I53" s="1805"/>
      <c r="J53" s="2520">
        <v>2</v>
      </c>
      <c r="K53" s="3622" t="s">
        <v>1357</v>
      </c>
      <c r="L53" s="3622"/>
      <c r="M53" s="2522">
        <f t="shared" ref="M53:O54" ca="1" si="0">D55</f>
        <v>55</v>
      </c>
      <c r="N53" s="2520" t="str">
        <f t="shared" si="0"/>
        <v>销售额×税（费）率</v>
      </c>
      <c r="O53" s="2523" t="str">
        <f t="shared" si="0"/>
        <v>免征</v>
      </c>
    </row>
    <row r="54" spans="1:35" ht="12" customHeight="1">
      <c r="A54" s="2333" t="s">
        <v>1358</v>
      </c>
      <c r="B54" s="3583" t="s">
        <v>2292</v>
      </c>
      <c r="C54" s="3584"/>
      <c r="D54" s="1087">
        <f ca="1">C68</f>
        <v>5813</v>
      </c>
      <c r="E54" s="327" t="s">
        <v>1359</v>
      </c>
      <c r="F54" s="2551">
        <f>'数据-取费表'!B41</f>
        <v>5.5000000000000007E-2</v>
      </c>
      <c r="G54" s="2552"/>
      <c r="H54" s="2553"/>
      <c r="I54" s="1805"/>
      <c r="J54" s="2520">
        <v>3</v>
      </c>
      <c r="K54" s="3622" t="s">
        <v>1360</v>
      </c>
      <c r="L54" s="3622"/>
      <c r="M54" s="2522">
        <f t="shared" ca="1" si="0"/>
        <v>62910</v>
      </c>
      <c r="N54" s="2520" t="str">
        <f t="shared" si="0"/>
        <v>增值额×税（费）率</v>
      </c>
      <c r="O54" s="2524" t="str">
        <f t="shared" si="0"/>
        <v>免征</v>
      </c>
    </row>
    <row r="55" spans="1:35" ht="24" customHeight="1">
      <c r="A55" s="3572" t="s">
        <v>1361</v>
      </c>
      <c r="B55" s="3573"/>
      <c r="C55" s="3573"/>
      <c r="D55" s="2322">
        <f ca="1">IF(H55="个人住宅",0,ROUND(D45*I55,0))</f>
        <v>55</v>
      </c>
      <c r="E55" s="2332" t="s">
        <v>1362</v>
      </c>
      <c r="F55" s="2551" t="str">
        <f>IF(H55="正常",I55,"免征")</f>
        <v>免征</v>
      </c>
      <c r="G55" s="2552"/>
      <c r="H55" s="2547"/>
      <c r="I55" s="165">
        <f>'数据-取费表'!B49</f>
        <v>5.0000000000000001E-4</v>
      </c>
      <c r="J55" s="2520">
        <f>IF(H59="非个人房产","",4)</f>
        <v>4</v>
      </c>
      <c r="K55" s="3622" t="str">
        <f>IF(H59="非个人房产","——","个人所得税")</f>
        <v>个人所得税</v>
      </c>
      <c r="L55" s="3622"/>
      <c r="M55" s="2525">
        <f ca="1">D59</f>
        <v>1057</v>
      </c>
      <c r="N55" s="2038" t="str">
        <f>E59</f>
        <v>差额计税</v>
      </c>
      <c r="O55" s="2526">
        <f>F59</f>
        <v>0.01</v>
      </c>
    </row>
    <row r="56" spans="1:35" ht="24.75">
      <c r="A56" s="3572" t="s">
        <v>1363</v>
      </c>
      <c r="B56" s="3573"/>
      <c r="C56" s="3573"/>
      <c r="D56" s="2322">
        <f ca="1">IF(H56="个人住宅",D57,D58)</f>
        <v>62910</v>
      </c>
      <c r="E56" s="2332" t="s">
        <v>1364</v>
      </c>
      <c r="F56" s="2551" t="str">
        <f>IF(H56="正常",F58,"免征")</f>
        <v>免征</v>
      </c>
      <c r="G56" s="2554" t="s">
        <v>1365</v>
      </c>
      <c r="H56" s="2555"/>
      <c r="I56" s="1806"/>
      <c r="J56" s="2520" t="str">
        <f>IF(项目基本情况!K6="上海银行",IF(J55="",4,J55+1),"")</f>
        <v/>
      </c>
      <c r="K56" s="3645" t="str">
        <f>IF(项目基本情况!K6="上海银行","其他处置费用","")</f>
        <v/>
      </c>
      <c r="L56" s="3646"/>
      <c r="M56" s="2522" t="str">
        <f>IF(项目基本情况!K6="上海银行",M69,"")</f>
        <v/>
      </c>
      <c r="N56" s="3645" t="str">
        <f>IF(项目基本情况!K6="上海银行","包含处置中涉及的律师、诉讼、拍卖、评估等费用","")</f>
        <v/>
      </c>
      <c r="O56" s="3648"/>
    </row>
    <row r="57" spans="1:35" ht="12.75">
      <c r="A57" s="2333" t="s">
        <v>1341</v>
      </c>
      <c r="B57" s="3583" t="s">
        <v>1366</v>
      </c>
      <c r="C57" s="3584"/>
      <c r="D57" s="1588">
        <v>0</v>
      </c>
      <c r="E57" s="324" t="s">
        <v>1343</v>
      </c>
      <c r="F57" s="302"/>
      <c r="G57" s="2552"/>
      <c r="H57" s="2556"/>
      <c r="I57" s="1806"/>
      <c r="J57" s="3622">
        <f>IF(AND(J55="",J56=""),4,IF(项目基本情况!K6="上海银行",结果表!J56+1,结果表!J55+1))</f>
        <v>5</v>
      </c>
      <c r="K57" s="3622" t="s">
        <v>1367</v>
      </c>
      <c r="L57" s="2527" t="s">
        <v>1368</v>
      </c>
      <c r="M57" s="2528"/>
      <c r="N57" s="2529">
        <f ca="1">SUMIF(M52:M56,"&lt;9e307")</f>
        <v>64022</v>
      </c>
      <c r="O57" s="2530"/>
      <c r="P57" s="2686">
        <f ca="1">N57/M49</f>
        <v>0.57693070199152929</v>
      </c>
    </row>
    <row r="58" spans="1:35" ht="24.75">
      <c r="A58" s="2333" t="s">
        <v>1352</v>
      </c>
      <c r="B58" s="3583" t="s">
        <v>1369</v>
      </c>
      <c r="C58" s="3557"/>
      <c r="D58" s="2322">
        <f ca="1">IF(H58="转让取得",C81,C97)</f>
        <v>62910</v>
      </c>
      <c r="E58" s="2332" t="s">
        <v>1364</v>
      </c>
      <c r="F58" s="302" t="s">
        <v>28</v>
      </c>
      <c r="G58" s="2552"/>
      <c r="H58" s="2555"/>
      <c r="I58" s="1806"/>
      <c r="J58" s="3622"/>
      <c r="K58" s="3622"/>
      <c r="L58" s="2527" t="s">
        <v>1370</v>
      </c>
      <c r="M58" s="2531"/>
      <c r="N58" s="2532" t="str">
        <f ca="1">NUMBERSTRING(INT(N57*10000),2)&amp;"元整"</f>
        <v>陆亿肆仟零贰拾贰万元整</v>
      </c>
      <c r="O58" s="2533"/>
    </row>
    <row r="59" spans="1:35" ht="24.75" thickBot="1">
      <c r="A59" s="3625" t="s">
        <v>1371</v>
      </c>
      <c r="B59" s="3626"/>
      <c r="C59" s="3626"/>
      <c r="D59" s="2557">
        <f ca="1">IF(H59="非个人房产","——",IF(H59="个人住宅（满五唯一有凭证）",0,IF(H59="个人其他（无凭证）",ROUND(D45*F59,0),ROUND(C67*F59,0))))</f>
        <v>1057</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2137</v>
      </c>
      <c r="J59" s="3623">
        <f>J57+1</f>
        <v>6</v>
      </c>
      <c r="K59" s="3622" t="s">
        <v>1372</v>
      </c>
      <c r="L59" s="2520" t="s">
        <v>1368</v>
      </c>
      <c r="M59" s="2534"/>
      <c r="N59" s="2535">
        <f ca="1">M49-N57</f>
        <v>46948</v>
      </c>
      <c r="O59" s="2536"/>
    </row>
    <row r="60" spans="1:35" ht="12" customHeight="1">
      <c r="A60" s="1807"/>
      <c r="B60" s="1745"/>
      <c r="C60" s="1745"/>
      <c r="D60" s="1745"/>
      <c r="E60" s="1576"/>
      <c r="F60" s="1806"/>
      <c r="G60" s="1806"/>
      <c r="H60" s="1808"/>
      <c r="I60" s="129"/>
      <c r="J60" s="3624"/>
      <c r="K60" s="3622"/>
      <c r="L60" s="2527" t="s">
        <v>1370</v>
      </c>
      <c r="M60" s="2531"/>
      <c r="N60" s="2532" t="str">
        <f ca="1">NUMBERSTRING(INT(N59*10000),2)&amp;"元整"</f>
        <v>肆亿陆仟玖佰肆拾捌万元整</v>
      </c>
      <c r="O60" s="2533"/>
    </row>
    <row r="61" spans="1:35" ht="13.5" thickBot="1">
      <c r="A61" s="3570" t="s">
        <v>1373</v>
      </c>
      <c r="B61" s="3570"/>
      <c r="C61" s="3570"/>
      <c r="D61" s="3570"/>
      <c r="E61" s="3570"/>
      <c r="F61" s="1806"/>
      <c r="G61" s="1806"/>
      <c r="H61" s="1808"/>
      <c r="I61" s="129"/>
      <c r="J61" s="2520">
        <f>J59+1</f>
        <v>7</v>
      </c>
      <c r="K61" s="3622" t="s">
        <v>1374</v>
      </c>
      <c r="L61" s="3622"/>
      <c r="M61" s="2537"/>
      <c r="N61" s="2538">
        <f ca="1">ROUND(N59*10000/'数据-汇总表'!E3,0)</f>
        <v>7900</v>
      </c>
      <c r="O61" s="2539"/>
    </row>
    <row r="62" spans="1:35" ht="12.75">
      <c r="A62" s="3588" t="s">
        <v>1375</v>
      </c>
      <c r="B62" s="3589"/>
      <c r="C62" s="2019"/>
      <c r="D62" s="2019" t="s">
        <v>1376</v>
      </c>
      <c r="E62" s="166" t="s">
        <v>1377</v>
      </c>
      <c r="F62" s="1806"/>
      <c r="G62" s="1806"/>
      <c r="H62" s="1808"/>
      <c r="I62" s="129"/>
    </row>
    <row r="63" spans="1:35" ht="12.75">
      <c r="A63" s="173" t="s">
        <v>330</v>
      </c>
      <c r="B63" s="167" t="s">
        <v>1378</v>
      </c>
      <c r="C63" s="2561">
        <f ca="1">ROUND((C64+C65)/(1+'数据-取费表'!C42),0)</f>
        <v>105686</v>
      </c>
      <c r="D63" s="167"/>
      <c r="E63" s="168"/>
      <c r="F63" s="1806"/>
      <c r="G63" s="1806"/>
      <c r="H63" s="1808"/>
      <c r="I63" s="129"/>
      <c r="J63" s="3647" t="s">
        <v>1379</v>
      </c>
      <c r="K63" s="1330" t="s">
        <v>1380</v>
      </c>
      <c r="L63" s="1330">
        <f ca="1">IF(M49&gt;10000,M49*0.5%,IF(AND(M49&gt;1000,M49&lt;=10000),M49*1%,IF(AND(M49&gt;100,M49&lt;=1000),M49*3%,IF(AND(M49&gt;10,M49&lt;=100),M49*5%,M49*8%))))</f>
        <v>554.85</v>
      </c>
      <c r="M63" s="302">
        <f ca="1">ROUND(L63,1)</f>
        <v>554.9</v>
      </c>
      <c r="N63" s="2540"/>
      <c r="Z63" s="1750"/>
      <c r="AI63" s="1751"/>
    </row>
    <row r="64" spans="1:35" ht="14.25" customHeight="1">
      <c r="A64" s="169" t="s">
        <v>325</v>
      </c>
      <c r="B64" s="170" t="s">
        <v>1381</v>
      </c>
      <c r="C64" s="2562">
        <f ca="1">D45</f>
        <v>110970</v>
      </c>
      <c r="D64" s="170" t="s">
        <v>26</v>
      </c>
      <c r="E64" s="172"/>
      <c r="F64" s="1806"/>
      <c r="G64" s="1806"/>
      <c r="H64" s="1808"/>
      <c r="I64" s="129"/>
      <c r="J64" s="3647"/>
      <c r="K64" s="1330" t="s">
        <v>1382</v>
      </c>
      <c r="L64" s="1330">
        <f ca="1">IF(M49&gt;2000,M49*0.5%,IF(AND(M49&gt;1000,M49&lt;=2000),M49*0.6%,IF(AND(M49&gt;500,M49&lt;=1000),M49*0.7%,IF(AND(M49&gt;200,M49&lt;=500),M49*0.8%,IF(AND(M49&gt;100,M49&lt;=200),M49*0.9%,IF(AND(M49&gt;50,M49&lt;=100),M49*1%,IF(AND(M49&gt;20,M49&lt;=50),M49*1.5%,IF(AND(M49&gt;10,M49&lt;=20),M49*2%,IF(AND(M49&gt;1,M49&lt;=10),M49*2.5%)))))))))</f>
        <v>554.85</v>
      </c>
      <c r="M64" s="302">
        <f t="shared" ref="M64:M65" ca="1" si="1">ROUND(L64,1)</f>
        <v>554.9</v>
      </c>
      <c r="N64" s="2541" t="s">
        <v>1383</v>
      </c>
      <c r="Z64" s="1750"/>
      <c r="AI64" s="1751"/>
    </row>
    <row r="65" spans="1:35" ht="14.25" customHeight="1">
      <c r="A65" s="169" t="s">
        <v>326</v>
      </c>
      <c r="B65" s="170" t="s">
        <v>1384</v>
      </c>
      <c r="C65" s="2563"/>
      <c r="D65" s="170"/>
      <c r="E65" s="172"/>
      <c r="F65" s="1806"/>
      <c r="G65" s="1806"/>
      <c r="H65" s="1808"/>
      <c r="I65" s="129"/>
      <c r="J65" s="3647"/>
      <c r="K65" s="1330" t="s">
        <v>1385</v>
      </c>
      <c r="L65" s="1330">
        <f ca="1">IF(M49&gt;1000,M49*0.1%,IF(AND(M49&gt;500,M49&lt;=1000),M49*0.5%,IF(AND(M49&gt;50,M49&lt;=500),M49*1%,IF(AND(M49&gt;1,M49&lt;=50),M49*1.5%))))</f>
        <v>110.97</v>
      </c>
      <c r="M65" s="302">
        <f t="shared" ca="1" si="1"/>
        <v>111</v>
      </c>
      <c r="N65" s="2541" t="s">
        <v>1383</v>
      </c>
      <c r="Z65" s="1750"/>
      <c r="AI65" s="1751"/>
    </row>
    <row r="66" spans="1:35" ht="14.25" customHeight="1">
      <c r="A66" s="173" t="s">
        <v>327</v>
      </c>
      <c r="B66" s="174" t="s">
        <v>1386</v>
      </c>
      <c r="C66" s="2564"/>
      <c r="D66" s="174" t="s">
        <v>26</v>
      </c>
      <c r="E66" s="1336" t="s">
        <v>671</v>
      </c>
      <c r="F66" s="1806"/>
      <c r="G66" s="1806"/>
      <c r="H66" s="1808"/>
      <c r="I66" s="129"/>
      <c r="J66" s="3647"/>
      <c r="K66" s="1330" t="s">
        <v>1387</v>
      </c>
      <c r="L66" s="1330">
        <f ca="1">M49*0.5%</f>
        <v>554.85</v>
      </c>
      <c r="M66" s="302">
        <f ca="1">IF(L66&gt;0.5,0.5,ROUND(L66,0))</f>
        <v>0.5</v>
      </c>
      <c r="N66" s="2541" t="s">
        <v>1388</v>
      </c>
      <c r="Z66" s="1750"/>
      <c r="AI66" s="1751"/>
    </row>
    <row r="67" spans="1:35" ht="14.25" customHeight="1">
      <c r="A67" s="173" t="s">
        <v>328</v>
      </c>
      <c r="B67" s="174" t="s">
        <v>1389</v>
      </c>
      <c r="C67" s="2565">
        <f ca="1">C63-C66</f>
        <v>105686</v>
      </c>
      <c r="D67" s="170" t="s">
        <v>26</v>
      </c>
      <c r="E67" s="172"/>
      <c r="F67" s="1806"/>
      <c r="G67" s="1806"/>
      <c r="H67" s="1808"/>
      <c r="I67" s="129"/>
      <c r="J67" s="3647"/>
      <c r="K67" s="1330" t="s">
        <v>1390</v>
      </c>
      <c r="L67" s="1330">
        <f ca="1">IF(M49&gt;=10000,(8.25+(M49-10000)*0.01%),IF(AND(M49&gt;=8000,M49&lt;10000),(7.85+(M49-8000)*0.02%),IF(AND(M49&gt;=5000,M49&lt;8000),(6.65+(M49-5000)*0.04%),IF(AND(M49&gt;=2000,M49&lt;5000),(4.25+(PM49-2000)*0.08%),IF(AND(M49&gt;=1000,M49&lt;2000),(2.75+(M49-1000)*0.15%),IF(AND(M49&gt;=100,M49&lt;1000),(0.5+(M49-100)*0.25%),IF(AND(M49&gt;0,M49&lt;100),M49*0.5%)))))))</f>
        <v>18.347000000000001</v>
      </c>
      <c r="M67" s="302">
        <f ca="1">ROUND(L67*0.9,1)</f>
        <v>16.5</v>
      </c>
      <c r="N67" s="2540"/>
      <c r="Z67" s="1750"/>
      <c r="AI67" s="1751"/>
    </row>
    <row r="68" spans="1:35" ht="14.25" customHeight="1" thickBot="1">
      <c r="A68" s="176" t="s">
        <v>329</v>
      </c>
      <c r="B68" s="177" t="s">
        <v>1391</v>
      </c>
      <c r="C68" s="2566">
        <f ca="1">IF(C67&lt;=0,0,ROUND(C67*D68,0))</f>
        <v>5813</v>
      </c>
      <c r="D68" s="2567">
        <f>'数据-取费表'!B41</f>
        <v>5.5000000000000007E-2</v>
      </c>
      <c r="E68" s="178"/>
      <c r="F68" s="1806"/>
      <c r="G68" s="1806"/>
      <c r="H68" s="1808"/>
      <c r="I68" s="129"/>
      <c r="J68" s="3647"/>
      <c r="K68" s="1330" t="s">
        <v>1392</v>
      </c>
      <c r="L68" s="1330">
        <f ca="1">IF(M49&gt;10000,M49*0.5%,IF(AND(M49&gt;5000,M49&lt;=10000),M49*1%,IF(AND(M49&gt;1000,M49&lt;=5000),M49*2%,IF(AND(M49&gt;200,M49&lt;=1000),M49*3%,M49*5%))))</f>
        <v>554.85</v>
      </c>
      <c r="M68" s="302">
        <f ca="1">ROUND(L68,1)</f>
        <v>554.9</v>
      </c>
      <c r="N68" s="2540"/>
      <c r="Z68" s="1750"/>
      <c r="AI68" s="1751"/>
    </row>
    <row r="69" spans="1:35" s="1770" customFormat="1" ht="16.5" customHeight="1">
      <c r="A69" s="1809"/>
      <c r="B69" s="1810"/>
      <c r="C69" s="1811"/>
      <c r="D69" s="1812"/>
      <c r="E69" s="1813"/>
      <c r="F69" s="1576"/>
      <c r="G69" s="1576"/>
      <c r="H69" s="1575"/>
      <c r="I69" s="1745"/>
      <c r="J69" s="3647"/>
      <c r="K69" s="1330" t="s">
        <v>1393</v>
      </c>
      <c r="L69" s="1330"/>
      <c r="M69" s="302">
        <f ca="1">ROUND(SUM(M63:M68),0)</f>
        <v>1793</v>
      </c>
      <c r="N69" s="2542">
        <f ca="1">M69/M49</f>
        <v>1.6157520050464089E-2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9" t="s">
        <v>1394</v>
      </c>
      <c r="B70" s="3610"/>
      <c r="C70" s="3610"/>
      <c r="D70" s="3610"/>
      <c r="E70" s="3610"/>
      <c r="F70" s="3610"/>
      <c r="G70" s="3610"/>
      <c r="H70" s="3610"/>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8" t="s">
        <v>1375</v>
      </c>
      <c r="B71" s="3589"/>
      <c r="C71" s="2019"/>
      <c r="D71" s="2019" t="s">
        <v>1376</v>
      </c>
      <c r="E71" s="179" t="s">
        <v>1377</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105686</v>
      </c>
      <c r="D72" s="170" t="s">
        <v>26</v>
      </c>
      <c r="E72" s="2329"/>
      <c r="F72" s="2328"/>
      <c r="G72" s="2328"/>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528</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583" t="s">
        <v>1402</v>
      </c>
      <c r="F76" s="3557"/>
      <c r="G76" s="3557"/>
      <c r="H76" s="360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528</v>
      </c>
      <c r="D78" s="2574">
        <f>'数据-取费表'!B43</f>
        <v>5.000000000000001E-3</v>
      </c>
      <c r="E78" s="3567" t="s">
        <v>1406</v>
      </c>
      <c r="F78" s="3568"/>
      <c r="G78" s="3568"/>
      <c r="H78" s="357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105158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199.16287878787878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62910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9" t="s">
        <v>1410</v>
      </c>
      <c r="B83" s="3610"/>
      <c r="C83" s="3610"/>
      <c r="D83" s="3610"/>
      <c r="E83" s="3610"/>
      <c r="F83" s="3610"/>
      <c r="G83" s="3610"/>
      <c r="H83" s="361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8" t="s">
        <v>1375</v>
      </c>
      <c r="B84" s="358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105686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528</v>
      </c>
      <c r="D86" s="2578"/>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5"/>
      <c r="G88" s="194" t="s">
        <v>1414</v>
      </c>
      <c r="H88" s="1822"/>
      <c r="I88" s="1819"/>
      <c r="J88" s="2518"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5"/>
      <c r="G90" s="3649" t="s">
        <v>2129</v>
      </c>
      <c r="H90" s="3650"/>
      <c r="I90" s="1819"/>
      <c r="J90" s="2518"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567" t="s">
        <v>1419</v>
      </c>
      <c r="F91" s="3568"/>
      <c r="G91" s="356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567" t="s">
        <v>1422</v>
      </c>
      <c r="F92" s="3568"/>
      <c r="G92" s="3568"/>
      <c r="H92" s="3577"/>
      <c r="I92" s="1819"/>
      <c r="J92" s="2519"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528</v>
      </c>
      <c r="D93" s="2574">
        <f>'数据-取费表'!B43</f>
        <v>5.000000000000001E-3</v>
      </c>
      <c r="E93" s="3567" t="s">
        <v>1406</v>
      </c>
      <c r="F93" s="3568"/>
      <c r="G93" s="3568"/>
      <c r="H93" s="357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578" t="s">
        <v>1426</v>
      </c>
      <c r="F94" s="3579"/>
      <c r="G94" s="3579"/>
      <c r="H94" s="358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105158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199.16287878787878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62910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2" t="str">
        <f>C4</f>
        <v>成本法</v>
      </c>
      <c r="D101" s="2583" t="str">
        <f>D4</f>
        <v>假设开发法</v>
      </c>
      <c r="E101" s="3644" t="s">
        <v>1431</v>
      </c>
      <c r="F101" s="3601"/>
      <c r="G101" s="1825" t="s">
        <v>1432</v>
      </c>
      <c r="H101" s="2592">
        <f ca="1">H118</f>
        <v>110970</v>
      </c>
      <c r="I101" s="129"/>
    </row>
    <row r="102" spans="1:35" ht="18.75" customHeight="1">
      <c r="A102" s="3603" t="s">
        <v>1433</v>
      </c>
      <c r="B102" s="2581" t="s">
        <v>1432</v>
      </c>
      <c r="C102" s="2582">
        <f ca="1">IF(D32="楼面单价",ROUND(C19,0),C19)</f>
        <v>111802</v>
      </c>
      <c r="D102" s="2583">
        <f ca="1">IF(D32="楼面单价",ROUND(D19,0),D19)</f>
        <v>110137</v>
      </c>
      <c r="E102" s="3644"/>
      <c r="F102" s="3601"/>
      <c r="G102" s="1825" t="s">
        <v>1434</v>
      </c>
      <c r="H102" s="2552">
        <f ca="1">I118</f>
        <v>18673</v>
      </c>
      <c r="I102" s="129"/>
    </row>
    <row r="103" spans="1:35" ht="42.75" customHeight="1">
      <c r="A103" s="3603"/>
      <c r="B103" s="2581" t="s">
        <v>1434</v>
      </c>
      <c r="C103" s="2584">
        <f ca="1">C20</f>
        <v>18813</v>
      </c>
      <c r="D103" s="2585">
        <f ca="1">D20</f>
        <v>18533</v>
      </c>
      <c r="E103" s="3638" t="s">
        <v>1435</v>
      </c>
      <c r="F103" s="3639"/>
      <c r="G103" s="1826" t="s">
        <v>1436</v>
      </c>
      <c r="H103" s="2592">
        <f>IF(D36="正常操作",H104+H105+H106,H105+H106)</f>
        <v>0</v>
      </c>
      <c r="I103" s="129"/>
    </row>
    <row r="104" spans="1:35" ht="18.75" customHeight="1">
      <c r="A104" s="3603" t="s">
        <v>1437</v>
      </c>
      <c r="B104" s="2586" t="s">
        <v>1432</v>
      </c>
      <c r="C104" s="2587">
        <f ca="1">H118</f>
        <v>110970</v>
      </c>
      <c r="D104" s="2588"/>
      <c r="E104" s="1672" t="s">
        <v>1438</v>
      </c>
      <c r="F104" s="1664"/>
      <c r="G104" s="1826" t="s">
        <v>1436</v>
      </c>
      <c r="H104" s="2593">
        <f>IF(D36="同一抵押权人同一抵押物续贷",C36&amp;"（续贷，未扣减，详见特别提示）",C36)</f>
        <v>0</v>
      </c>
      <c r="I104" s="129"/>
    </row>
    <row r="105" spans="1:35" ht="18.75" customHeight="1" thickBot="1">
      <c r="A105" s="3604"/>
      <c r="B105" s="2589" t="s">
        <v>1434</v>
      </c>
      <c r="C105" s="2590">
        <f ca="1">I118</f>
        <v>18673</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00" t="str">
        <f>IF(项目基本情况!E8="已注销","——","3.房地产抵押价值")</f>
        <v>3.房地产抵押价值</v>
      </c>
      <c r="F107" s="3601"/>
      <c r="G107" s="1825" t="s">
        <v>1432</v>
      </c>
      <c r="H107" s="2592">
        <f ca="1">IF(E107="——","——",H101-H103)</f>
        <v>110970</v>
      </c>
      <c r="I107" s="129"/>
    </row>
    <row r="108" spans="1:35" ht="18.75" customHeight="1">
      <c r="A108" s="129"/>
      <c r="B108" s="129"/>
      <c r="C108" s="129"/>
      <c r="D108" s="129"/>
      <c r="E108" s="3600"/>
      <c r="F108" s="3601"/>
      <c r="G108" s="1825" t="s">
        <v>1434</v>
      </c>
      <c r="H108" s="2552">
        <f ca="1">IF(H107=H101,H102,ROUND(H107*10000/'数据-汇总表'!E3,0))</f>
        <v>18673</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5" t="s">
        <v>1432</v>
      </c>
      <c r="H109" s="2595" t="str">
        <f>IF(E109="——","——",H101-H105-H106)</f>
        <v>——</v>
      </c>
      <c r="I109" s="129"/>
    </row>
    <row r="110" spans="1:35" ht="18.75" customHeight="1">
      <c r="A110" s="129"/>
      <c r="B110" s="129"/>
      <c r="C110" s="129"/>
      <c r="D110" s="129"/>
      <c r="E110" s="3600"/>
      <c r="F110" s="3601"/>
      <c r="G110" s="1825" t="s">
        <v>1434</v>
      </c>
      <c r="H110" s="2552"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5" t="s">
        <v>1432</v>
      </c>
      <c r="H111" s="2592" t="str">
        <f>IF(E111="——","——",N59)</f>
        <v>——</v>
      </c>
      <c r="I111" s="129"/>
    </row>
    <row r="112" spans="1:35" ht="18.75" customHeight="1" thickBot="1">
      <c r="A112" s="129"/>
      <c r="B112" s="129"/>
      <c r="C112" s="129"/>
      <c r="D112" s="129"/>
      <c r="E112" s="3633"/>
      <c r="F112" s="3634"/>
      <c r="G112" s="1828" t="s">
        <v>1434</v>
      </c>
      <c r="H112" s="2596" t="str">
        <f>IF(E111="——","——",N61)</f>
        <v>——</v>
      </c>
      <c r="I112" s="129"/>
    </row>
    <row r="113" spans="1:27" ht="18.75" customHeight="1">
      <c r="A113" s="129"/>
      <c r="B113" s="129"/>
      <c r="C113" s="129"/>
      <c r="D113" s="129"/>
      <c r="E113" s="3605" t="s">
        <v>1440</v>
      </c>
      <c r="F113" s="3605"/>
      <c r="G113" s="3605"/>
      <c r="H113" s="3605"/>
      <c r="I113" s="129"/>
    </row>
    <row r="114" spans="1:27" ht="3.75" customHeight="1">
      <c r="A114" s="1745"/>
      <c r="B114" s="1745"/>
      <c r="C114" s="1745"/>
      <c r="D114" s="1745"/>
      <c r="E114" s="1807"/>
      <c r="F114" s="1807"/>
      <c r="G114" s="1807"/>
      <c r="H114" s="1807"/>
      <c r="I114" s="1745"/>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7" t="s">
        <v>1449</v>
      </c>
      <c r="E117" s="2327" t="s">
        <v>1450</v>
      </c>
      <c r="F117" s="2327" t="s">
        <v>1449</v>
      </c>
      <c r="G117" s="2327" t="s">
        <v>1451</v>
      </c>
      <c r="H117" s="2327" t="s">
        <v>1449</v>
      </c>
      <c r="I117" s="2327" t="s">
        <v>1451</v>
      </c>
    </row>
    <row r="118" spans="1:27" ht="24.75" customHeight="1">
      <c r="A118" s="2597" t="str">
        <f>项目基本情况!S2</f>
        <v>北京市通州区宋庄镇尹各庄村新建科研用地房地产</v>
      </c>
      <c r="B118" s="2327">
        <f>M18</f>
        <v>59427.91</v>
      </c>
      <c r="C118" s="2327">
        <f>M19</f>
        <v>20455.650000000001</v>
      </c>
      <c r="D118" s="2327">
        <f ca="1">ROUND(IF(D32="总价",C34,E118*B118/10000),0)</f>
        <v>32181</v>
      </c>
      <c r="E118" s="2327">
        <f ca="1">ROUND(IF(C33="自定义",IF(D32="楼面单价",C34,D118*10000/B118),I118-G118),0)</f>
        <v>5415</v>
      </c>
      <c r="F118" s="2327">
        <f ca="1">ROUND(IF(D32="总价",C35,G118*B118/10000),0)</f>
        <v>78789</v>
      </c>
      <c r="G118" s="2327">
        <f ca="1">ROUND(IF(D32="楼面单价",C35,F118*10000/B118),0)</f>
        <v>13258</v>
      </c>
      <c r="H118" s="2327">
        <f ca="1">ROUND(IF(D32="总价",C32,I118*B118/10000),0)</f>
        <v>110970</v>
      </c>
      <c r="I118" s="2327">
        <f ca="1">ROUND(IF(D32="楼面单价",C32,H118*10000/B118),0)</f>
        <v>18673</v>
      </c>
    </row>
    <row r="119" spans="1:27" ht="18.75" customHeight="1">
      <c r="A119" s="3571" t="s">
        <v>1452</v>
      </c>
      <c r="B119" s="3571"/>
      <c r="C119" s="3571"/>
      <c r="D119" s="3611" t="str">
        <f ca="1">NUMBERSTRING(INT(D118*10000),2)&amp;"元整"</f>
        <v>叁亿贰仟壹佰捌拾壹万元整</v>
      </c>
      <c r="E119" s="3613"/>
      <c r="F119" s="3611" t="str">
        <f ca="1">NUMBERSTRING(INT(F118*10000),2)&amp;"元整"</f>
        <v>柒亿捌仟柒佰捌拾玖万元整</v>
      </c>
      <c r="G119" s="3613"/>
      <c r="H119" s="3611" t="str">
        <f ca="1">NUMBERSTRING(INT(H118*10000),2)&amp;"元整"</f>
        <v>壹拾壹亿零玖佰柒拾万元整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110970</v>
      </c>
      <c r="E122" s="3636"/>
      <c r="F122" s="3636"/>
      <c r="G122" s="3636"/>
      <c r="H122" s="3636"/>
      <c r="I122" s="3637"/>
      <c r="AA122" s="725"/>
    </row>
    <row r="123" spans="1:27" ht="18.75" customHeight="1">
      <c r="A123" s="3571" t="s">
        <v>1452</v>
      </c>
      <c r="B123" s="3571"/>
      <c r="C123" s="3571"/>
      <c r="D123" s="3611" t="str">
        <f ca="1">NUMBERSTRING(INT(D122*10000),2)&amp;"元整"</f>
        <v>壹拾壹亿零玖佰柒拾万元整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北京市通州区宋庄镇尹各庄村新建科研用地房地产抵押价值预评估</v>
      </c>
      <c r="C37" s="3468"/>
      <c r="D37" s="3468"/>
      <c r="E37" s="3468"/>
      <c r="F37" s="3468"/>
      <c r="G37" s="3468"/>
      <c r="H37" s="3468"/>
      <c r="I37" s="3468"/>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111802</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18813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22191</v>
      </c>
      <c r="D5" s="211" t="s">
        <v>1469</v>
      </c>
      <c r="E5" s="212" t="s">
        <v>1470</v>
      </c>
      <c r="F5" s="212" t="s">
        <v>1471</v>
      </c>
      <c r="G5" s="213"/>
    </row>
    <row r="6" spans="1:9" s="214" customFormat="1" ht="13.5" customHeight="1">
      <c r="A6" s="778" t="s">
        <v>1472</v>
      </c>
      <c r="B6" s="215" t="s">
        <v>1473</v>
      </c>
      <c r="C6" s="216">
        <f>基准地价修正!B2</f>
        <v>20554</v>
      </c>
      <c r="D6" s="217"/>
      <c r="E6" s="218"/>
      <c r="F6" s="218"/>
      <c r="G6" s="219"/>
    </row>
    <row r="7" spans="1:9" s="214" customFormat="1" ht="13.5" customHeight="1">
      <c r="A7" s="778" t="s">
        <v>1474</v>
      </c>
      <c r="B7" s="215" t="s">
        <v>1475</v>
      </c>
      <c r="C7" s="220">
        <f>ROUND(C6*F7,0)</f>
        <v>627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1010</v>
      </c>
      <c r="D8" s="222"/>
      <c r="E8" s="220"/>
      <c r="F8" s="221"/>
      <c r="G8" s="1854" t="s">
        <v>3512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t="s">
        <v>3513</v>
      </c>
      <c r="H9" s="1135"/>
      <c r="I9" s="1856" t="s">
        <v>1479</v>
      </c>
    </row>
    <row r="10" spans="1:9" s="214" customFormat="1" ht="13.5" customHeight="1">
      <c r="A10" s="779" t="s">
        <v>356</v>
      </c>
      <c r="B10" s="224" t="s">
        <v>1480</v>
      </c>
      <c r="C10" s="225">
        <f ca="1">ROUND(D10*E10/10000,0)</f>
        <v>1010</v>
      </c>
      <c r="D10" s="845">
        <f ca="1">IF(B1="",'数据-汇总表'!E6,IF(INDIRECT("'数据-取费表'!c"&amp;$G$1)="住宅",INDIRECT("'数据-取费表'!s"&amp;$G$1),INDIRECT("'数据-取费表'!k"&amp;$G$1)+INDIRECT("'数据-取费表'!s"&amp;$G$1)))</f>
        <v>59427.91</v>
      </c>
      <c r="E10" s="225">
        <f>'数据-取费表'!B28</f>
        <v>170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59427.91</v>
      </c>
      <c r="E19" s="211">
        <f>'数据-取费表'!B31</f>
        <v>200</v>
      </c>
      <c r="F19" s="231"/>
      <c r="G19" s="1854" t="s">
        <v>3514</v>
      </c>
    </row>
    <row r="20" spans="1:7" s="214" customFormat="1" ht="13.5" customHeight="1">
      <c r="A20" s="255" t="s">
        <v>1493</v>
      </c>
      <c r="B20" s="210" t="s">
        <v>1494</v>
      </c>
      <c r="C20" s="232">
        <f ca="1">ROUND((C5+C19)*F20,0)</f>
        <v>666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2137</v>
      </c>
      <c r="D22" s="235">
        <f ca="1">C26</f>
        <v>1.4E-3</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2106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31</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4526</v>
      </c>
      <c r="D27" s="235">
        <f ca="1">C29</f>
        <v>5.8999999999999999E-3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4526</v>
      </c>
      <c r="D28" s="235"/>
      <c r="E28" s="236"/>
      <c r="F28" s="246"/>
      <c r="G28" s="247"/>
    </row>
    <row r="29" spans="1:7" s="214" customFormat="1" ht="13.5" customHeight="1">
      <c r="A29" s="780" t="s">
        <v>347</v>
      </c>
      <c r="B29" s="248" t="s">
        <v>1517</v>
      </c>
      <c r="C29" s="238">
        <f ca="1">ROUND(C21*F27*'数据-取费表'!B21/'数据-取费表'!B20,4)</f>
        <v>5.8999999999999999E-3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32429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56276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48760</v>
      </c>
      <c r="D34" s="217"/>
      <c r="E34" s="220"/>
      <c r="F34" s="257">
        <f ca="1">IF('数据-取费表'!B24=0,1,IF(B1="",'数据-取费表'!N16,INDIRECT("'数据-取费表'!n"&amp;$G$1)))</f>
        <v>0.99</v>
      </c>
      <c r="G34" s="219" t="s">
        <v>1526</v>
      </c>
    </row>
    <row r="35" spans="1:7" ht="13.5" customHeight="1">
      <c r="A35" s="780" t="s">
        <v>351</v>
      </c>
      <c r="B35" s="215" t="s">
        <v>1527</v>
      </c>
      <c r="C35" s="220">
        <f ca="1">ROUND(C34*F35,0)</f>
        <v>4876</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1177</v>
      </c>
      <c r="D37" s="217">
        <f ca="1">D19</f>
        <v>59427.91</v>
      </c>
      <c r="E37" s="249">
        <f>'数据-取费表'!B35</f>
        <v>200</v>
      </c>
      <c r="F37" s="259"/>
      <c r="G37" s="261" t="s">
        <v>1532</v>
      </c>
    </row>
    <row r="38" spans="1:7" ht="13.5" customHeight="1">
      <c r="A38" s="780" t="s">
        <v>354</v>
      </c>
      <c r="B38" s="215" t="s">
        <v>1533</v>
      </c>
      <c r="C38" s="220">
        <f ca="1">ROUND(C34*F38,0)</f>
        <v>1463</v>
      </c>
      <c r="D38" s="220"/>
      <c r="E38" s="220"/>
      <c r="F38" s="259">
        <f>'数据-取费表'!B36</f>
        <v>0.03</v>
      </c>
      <c r="G38" s="219" t="s">
        <v>1528</v>
      </c>
    </row>
    <row r="39" spans="1:7" s="214" customFormat="1" ht="13.5" customHeight="1">
      <c r="A39" s="255" t="s">
        <v>1534</v>
      </c>
      <c r="B39" s="210" t="s">
        <v>1535</v>
      </c>
      <c r="C39" s="232">
        <f ca="1">ROUND(C33*F20,0)</f>
        <v>1688</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2688</v>
      </c>
      <c r="D41" s="235">
        <f ca="1">C44</f>
        <v>1.4E-3</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2610</v>
      </c>
      <c r="D42" s="238"/>
      <c r="E42" s="238"/>
      <c r="F42" s="239"/>
      <c r="G42" s="3651" t="s">
        <v>1544</v>
      </c>
    </row>
    <row r="43" spans="1:7" ht="13.5" customHeight="1">
      <c r="A43" s="780" t="s">
        <v>347</v>
      </c>
      <c r="B43" s="215" t="s">
        <v>1545</v>
      </c>
      <c r="C43" s="238">
        <f ca="1">ROUND(IF('数据-取费表'!B22&lt;=1,C39*F22*'数据-取费表'!B21/2,C39*(POWER((1+F22),'数据-取费表'!B21/2)-1)),0)</f>
        <v>78</v>
      </c>
      <c r="D43" s="238"/>
      <c r="E43" s="238"/>
      <c r="F43" s="239"/>
      <c r="G43" s="3652"/>
    </row>
    <row r="44" spans="1:7" ht="13.5" customHeight="1">
      <c r="A44" s="780" t="s">
        <v>348</v>
      </c>
      <c r="B44" s="215" t="s">
        <v>1546</v>
      </c>
      <c r="C44" s="238">
        <f ca="1">ROUND(IF('数据-取费表'!B22&lt;=1,C40*F22*'数据-取费表'!B21/2,C40*(POWER((1+F22),'数据-取费表'!B21/2)-1)),4)</f>
        <v>1.4E-3</v>
      </c>
      <c r="D44" s="238"/>
      <c r="E44" s="238"/>
      <c r="F44" s="239"/>
      <c r="G44" s="3653"/>
    </row>
    <row r="45" spans="1:7" s="214" customFormat="1" ht="13.5" customHeight="1">
      <c r="A45" s="255" t="s">
        <v>1547</v>
      </c>
      <c r="B45" s="244" t="s">
        <v>1513</v>
      </c>
      <c r="C45" s="245">
        <f ca="1">C46</f>
        <v>11593</v>
      </c>
      <c r="D45" s="235">
        <f ca="1">C47</f>
        <v>6.0000000000000001E-3</v>
      </c>
      <c r="E45" s="236" t="s">
        <v>1539</v>
      </c>
      <c r="F45" s="246">
        <f ca="1">F27</f>
        <v>0.2</v>
      </c>
      <c r="G45" s="247" t="s">
        <v>1548</v>
      </c>
    </row>
    <row r="46" spans="1:7" s="214" customFormat="1" ht="13.5" customHeight="1">
      <c r="A46" s="780" t="s">
        <v>346</v>
      </c>
      <c r="B46" s="248" t="s">
        <v>1549</v>
      </c>
      <c r="C46" s="249">
        <f ca="1">ROUND((C33+C39)*F27,0)</f>
        <v>11593</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79373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79373</v>
      </c>
      <c r="D51" s="232"/>
      <c r="E51" s="232"/>
      <c r="F51" s="264"/>
      <c r="G51" s="234" t="s">
        <v>1560</v>
      </c>
    </row>
    <row r="52" spans="1:7" s="208" customFormat="1" ht="16.5" thickBot="1">
      <c r="A52" s="265" t="s">
        <v>1561</v>
      </c>
      <c r="B52" s="266"/>
      <c r="C52" s="267">
        <f ca="1">C31+C51</f>
        <v>111802</v>
      </c>
      <c r="D52" s="266"/>
      <c r="E52" s="266"/>
      <c r="F52" s="266"/>
      <c r="G52" s="268"/>
    </row>
    <row r="55" spans="1:7" ht="15">
      <c r="B55" s="270" t="s">
        <v>1562</v>
      </c>
      <c r="C55" s="271"/>
    </row>
    <row r="56" spans="1:7">
      <c r="B56" s="273" t="s">
        <v>802</v>
      </c>
      <c r="C56" s="275">
        <f ca="1">1-C57</f>
        <v>0.29000000000000004</v>
      </c>
    </row>
    <row r="57" spans="1:7">
      <c r="B57" s="273" t="s">
        <v>803</v>
      </c>
      <c r="C57" s="274">
        <f ca="1">ROUND(C51/C52,3)</f>
        <v>0.71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61" t="str">
        <f>IF(ISERROR(FIND("住宅",B1)),"非住宅","住宅")</f>
        <v>非住宅</v>
      </c>
    </row>
    <row r="2" spans="1:8" s="200" customFormat="1" ht="18" customHeight="1">
      <c r="A2" s="201" t="s">
        <v>1462</v>
      </c>
      <c r="B2" s="3420">
        <f ca="1">ROUND(IF(D2="——",C52/10000,C52/10000-E2),4)</f>
        <v>83424.925399999993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14038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10102745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10102745</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10102745</v>
      </c>
      <c r="D10" s="845">
        <f ca="1">IF(B1="",'数据-汇总表'!E6,IF(INDIRECT("'数据-取费表'!c"&amp;$G$1)="住宅",INDIRECT("'数据-取费表'!s"&amp;$G$1),INDIRECT("'数据-取费表'!k"&amp;$G$1)+INDIRECT("'数据-取费表'!s"&amp;$G$1)))</f>
        <v>59427.91</v>
      </c>
      <c r="E10" s="225">
        <f>'数据-取费表'!B28</f>
        <v>170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11885582</v>
      </c>
      <c r="D19" s="849">
        <f ca="1">D9+D10</f>
        <v>59427.91</v>
      </c>
      <c r="E19" s="211">
        <f>'数据-取费表'!B31</f>
        <v>200</v>
      </c>
      <c r="F19" s="231"/>
      <c r="G19" s="1854"/>
    </row>
    <row r="20" spans="1:7" s="214" customFormat="1" ht="13.5" customHeight="1">
      <c r="A20" s="255" t="s">
        <v>1574</v>
      </c>
      <c r="B20" s="210" t="s">
        <v>1575</v>
      </c>
      <c r="C20" s="232">
        <f ca="1">ROUND((C5+C19)*F20,0)</f>
        <v>659650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5">
        <f ca="1">ROUND(SUM(C23:C25),0)</f>
        <v>2139871</v>
      </c>
      <c r="D22" s="235">
        <f ca="1">C26</f>
        <v>1.4E-3</v>
      </c>
      <c r="E22" s="236" t="s">
        <v>1579</v>
      </c>
      <c r="F22" s="237">
        <f ca="1">'数据-取费表'!B40</f>
        <v>3.1E-2</v>
      </c>
      <c r="G22" s="234" t="str">
        <f>IF('数据-取费表'!B22&lt;=1,"单利计息","复利计息")</f>
        <v>复利计息</v>
      </c>
    </row>
    <row r="23" spans="1:7" s="214" customFormat="1" ht="13.5" customHeight="1">
      <c r="A23" s="780" t="s">
        <v>1472</v>
      </c>
      <c r="B23" s="215" t="s">
        <v>1583</v>
      </c>
      <c r="C23" s="1126">
        <f ca="1">ROUND(IF('数据-取费表'!B22&lt;=1,C5*F22*'数据-取费表'!B22,C5*(POWER((1+F22),'数据-取费表'!B22)-1)),0)</f>
        <v>968982</v>
      </c>
      <c r="D23" s="238"/>
      <c r="E23" s="238"/>
      <c r="F23" s="239"/>
      <c r="G23" s="240" t="s">
        <v>1584</v>
      </c>
    </row>
    <row r="24" spans="1:7" s="214" customFormat="1" ht="13.5" customHeight="1">
      <c r="A24" s="780" t="s">
        <v>1474</v>
      </c>
      <c r="B24" s="215" t="s">
        <v>1585</v>
      </c>
      <c r="C24" s="1126">
        <f ca="1">ROUND(IF('数据-取费表'!B22&lt;=1,C19*F22*('数据-取费表'!B19/2+'数据-取费表'!B20),C19*(POWER((1+F22),('数据-取费表'!B19/2+'数据-取费表'!B20))-1)),0)</f>
        <v>1139979</v>
      </c>
      <c r="D24" s="238"/>
      <c r="E24" s="238"/>
      <c r="F24" s="239"/>
      <c r="G24" s="240" t="s">
        <v>1586</v>
      </c>
    </row>
    <row r="25" spans="1:7" s="214" customFormat="1" ht="24">
      <c r="A25" s="780" t="s">
        <v>1476</v>
      </c>
      <c r="B25" s="215" t="s">
        <v>1587</v>
      </c>
      <c r="C25" s="1126">
        <f ca="1">ROUND(IF('数据-取费表'!B22&lt;=1,C20*F22*'数据-取费表'!B22/2,C20*(POWER((1+F22),'数据-取费表'!B22/2)-1)),0)</f>
        <v>30910</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4529595</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4529595</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32209891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568431462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492518478</v>
      </c>
      <c r="D34" s="217"/>
      <c r="E34" s="220"/>
      <c r="F34" s="257"/>
      <c r="G34" s="219"/>
    </row>
    <row r="35" spans="1:7" ht="13.5" customHeight="1">
      <c r="A35" s="780" t="s">
        <v>351</v>
      </c>
      <c r="B35" s="215" t="s">
        <v>1527</v>
      </c>
      <c r="C35" s="220">
        <f ca="1">ROUND(C34*F35,0)</f>
        <v>49251848</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11885582</v>
      </c>
      <c r="D37" s="217">
        <f ca="1">D19</f>
        <v>59427.91</v>
      </c>
      <c r="E37" s="249">
        <f>'数据-取费表'!B35</f>
        <v>200</v>
      </c>
      <c r="F37" s="259"/>
      <c r="G37" s="261"/>
    </row>
    <row r="38" spans="1:7" ht="13.5" customHeight="1">
      <c r="A38" s="780" t="s">
        <v>354</v>
      </c>
      <c r="B38" s="215" t="s">
        <v>1533</v>
      </c>
      <c r="C38" s="220">
        <f ca="1">ROUND(C34*F38,0)</f>
        <v>14775554</v>
      </c>
      <c r="D38" s="220"/>
      <c r="E38" s="220"/>
      <c r="F38" s="259">
        <f>'数据-取费表'!B36</f>
        <v>0.03</v>
      </c>
      <c r="G38" s="219" t="s">
        <v>1528</v>
      </c>
    </row>
    <row r="39" spans="1:7" s="214" customFormat="1" ht="13.5" customHeight="1">
      <c r="A39" s="255" t="s">
        <v>1534</v>
      </c>
      <c r="B39" s="210" t="s">
        <v>1535</v>
      </c>
      <c r="C39" s="232">
        <f ca="1">ROUND(C33*F20,0)</f>
        <v>17052944</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27434941</v>
      </c>
      <c r="D41" s="235">
        <f ca="1">C44</f>
        <v>1.4E-3</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26635865</v>
      </c>
      <c r="D42" s="238"/>
      <c r="E42" s="238"/>
      <c r="F42" s="239"/>
      <c r="G42" s="3651" t="s">
        <v>1591</v>
      </c>
    </row>
    <row r="43" spans="1:7" ht="13.5" customHeight="1">
      <c r="A43" s="780" t="s">
        <v>347</v>
      </c>
      <c r="B43" s="215" t="s">
        <v>1545</v>
      </c>
      <c r="C43" s="238">
        <f ca="1">ROUND(IF('数据-取费表'!B22&lt;=1,C39*F22*'数据-取费表'!B20/2,C39*(POWER((1+F22),'数据-取费表'!B20/2)-1)),0)</f>
        <v>799076</v>
      </c>
      <c r="D43" s="238"/>
      <c r="E43" s="238"/>
      <c r="F43" s="239"/>
      <c r="G43" s="3652"/>
    </row>
    <row r="44" spans="1:7" ht="13.5" customHeight="1">
      <c r="A44" s="780" t="s">
        <v>348</v>
      </c>
      <c r="B44" s="215" t="s">
        <v>1546</v>
      </c>
      <c r="C44" s="238">
        <f ca="1">ROUND(IF('数据-取费表'!B22&lt;=1,C40*F22*'数据-取费表'!B20/2,C40*(POWER((1+F22),'数据-取费表'!B20/2)-1)),4)</f>
        <v>1.4E-3</v>
      </c>
      <c r="D44" s="238"/>
      <c r="E44" s="238"/>
      <c r="F44" s="239"/>
      <c r="G44" s="3653"/>
    </row>
    <row r="45" spans="1:7" s="214" customFormat="1" ht="13.5" customHeight="1">
      <c r="A45" s="255" t="s">
        <v>1547</v>
      </c>
      <c r="B45" s="244" t="s">
        <v>1513</v>
      </c>
      <c r="C45" s="245">
        <f ca="1">C46</f>
        <v>117096881</v>
      </c>
      <c r="D45" s="235">
        <f ca="1">C47</f>
        <v>6.0000000000000001E-3</v>
      </c>
      <c r="E45" s="236" t="s">
        <v>1539</v>
      </c>
      <c r="F45" s="246">
        <f ca="1">F27</f>
        <v>0.2</v>
      </c>
      <c r="G45" s="247" t="s">
        <v>1548</v>
      </c>
    </row>
    <row r="46" spans="1:7" s="214" customFormat="1" ht="13.5" customHeight="1">
      <c r="A46" s="780" t="s">
        <v>346</v>
      </c>
      <c r="B46" s="248" t="s">
        <v>1549</v>
      </c>
      <c r="C46" s="249">
        <f ca="1">ROUND((C33+C39)*F27,0)</f>
        <v>117096881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802039363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802039363</v>
      </c>
      <c r="D51" s="232"/>
      <c r="E51" s="232"/>
      <c r="F51" s="264"/>
      <c r="G51" s="234" t="s">
        <v>1560</v>
      </c>
    </row>
    <row r="52" spans="1:7" s="208" customFormat="1" ht="16.5" thickBot="1">
      <c r="A52" s="265" t="s">
        <v>1561</v>
      </c>
      <c r="B52" s="266"/>
      <c r="C52" s="267">
        <f ca="1">C31+C51</f>
        <v>834249254</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Normal="70" zoomScaleSheetLayoutView="100" workbookViewId="0">
      <selection activeCell="F36" sqref="F3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89"/>
      <c r="C1" s="1190"/>
      <c r="D1" s="1188"/>
      <c r="E1" s="2802"/>
      <c r="F1" s="2802"/>
      <c r="G1" s="2667"/>
      <c r="H1" s="2802"/>
      <c r="I1" s="2802"/>
      <c r="J1" s="2802"/>
      <c r="K1" s="2803">
        <f>MATCH(C1,'数据-取费表'!A6:A16,0)+5</f>
        <v>7</v>
      </c>
    </row>
    <row r="2" spans="1:33" ht="18" customHeight="1">
      <c r="A2" s="201" t="s">
        <v>1462</v>
      </c>
      <c r="B2" s="204">
        <f ca="1">C32</f>
        <v>110137</v>
      </c>
      <c r="C2" s="276" t="s">
        <v>1595</v>
      </c>
      <c r="D2" s="276"/>
      <c r="E2" s="2802"/>
      <c r="F2" s="2802"/>
      <c r="G2" s="2802"/>
      <c r="H2" s="2802"/>
      <c r="I2" s="2802"/>
      <c r="J2" s="2802"/>
      <c r="K2" s="2802"/>
    </row>
    <row r="3" spans="1:33" ht="18" customHeight="1" thickBot="1">
      <c r="A3" s="203" t="s">
        <v>1464</v>
      </c>
      <c r="B3" s="204">
        <f ca="1">ROUND(B2*10000/IF(C1="",'数据-汇总表'!E3,INDIRECT("'数据-取费表'!K"&amp;$K$1)),0)</f>
        <v>18533</v>
      </c>
      <c r="C3" s="276" t="s">
        <v>1596</v>
      </c>
      <c r="D3" s="276"/>
      <c r="E3" s="2802"/>
      <c r="F3" s="2802"/>
      <c r="G3" s="2802"/>
      <c r="H3" s="2802"/>
      <c r="I3" s="2802"/>
      <c r="J3" s="2802"/>
      <c r="K3" s="2802"/>
    </row>
    <row r="4" spans="1:33" s="785" customFormat="1" ht="16.5" customHeight="1">
      <c r="A4" s="782" t="s">
        <v>1597</v>
      </c>
      <c r="B4" s="783"/>
      <c r="C4" s="824">
        <f ca="1">SUM(C8:K8)</f>
        <v>120731</v>
      </c>
      <c r="D4" s="783"/>
      <c r="E4" s="783"/>
      <c r="F4" s="783"/>
      <c r="G4" s="783"/>
      <c r="H4" s="783"/>
      <c r="I4" s="783"/>
      <c r="J4" s="783"/>
      <c r="K4" s="784"/>
    </row>
    <row r="5" spans="1:33" s="789" customFormat="1" ht="15">
      <c r="A5" s="786" t="s">
        <v>1598</v>
      </c>
      <c r="B5" s="787" t="s">
        <v>1599</v>
      </c>
      <c r="C5" s="1858" t="s">
        <v>3420</v>
      </c>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3807">
        <f ca="1">收益法!B3</f>
        <v>20646</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58476.87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f ca="1">收益法!B2</f>
        <v>120731</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492</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1613</v>
      </c>
      <c r="C12" s="21">
        <f ca="1">ROUND(C11*F12,0)</f>
        <v>49</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12</v>
      </c>
      <c r="D14" s="846">
        <f ca="1">IF(C1="",'数据-汇总表'!E3,INDIRECT("'数据-取费表'!K"&amp;$K$1)+INDIRECT("'数据-取费表'!S"&amp;$K$1))</f>
        <v>59427.91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15</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568</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59427.91</v>
      </c>
      <c r="E17" s="21">
        <f>'数据-取费表'!B32</f>
        <v>0</v>
      </c>
      <c r="F17" s="806"/>
      <c r="G17" s="131" t="s">
        <v>1623</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0"/>
      <c r="H18" s="1185"/>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7"/>
      <c r="I19" s="809"/>
      <c r="J19" s="809"/>
      <c r="K19" s="810"/>
    </row>
    <row r="20" spans="1:33" s="803" customFormat="1" ht="13.5" customHeight="1">
      <c r="A20" s="800" t="s">
        <v>361</v>
      </c>
      <c r="B20" s="801" t="s">
        <v>1627</v>
      </c>
      <c r="C20" s="21">
        <f ca="1">ROUND(D20*E20/10000,0)</f>
        <v>1010</v>
      </c>
      <c r="D20" s="846">
        <f ca="1">IF(C1="",'数据-汇总表'!E6,IF(INDIRECT("'数据-取费表'!c"&amp;$K$1)="住宅",INDIRECT("'数据-取费表'!s"&amp;$K$1),INDIRECT("'数据-取费表'!k"&amp;$K$1)+INDIRECT("'数据-取费表'!s"&amp;$K$1)))</f>
        <v>59427.91</v>
      </c>
      <c r="E20" s="21">
        <f>'数据-取费表'!B28</f>
        <v>170</v>
      </c>
      <c r="F20" s="804"/>
      <c r="G20" s="12"/>
      <c r="H20" s="809"/>
      <c r="I20" s="809"/>
      <c r="J20" s="809"/>
      <c r="K20" s="810"/>
    </row>
    <row r="21" spans="1:33" s="803" customFormat="1" ht="13.5" customHeight="1">
      <c r="A21" s="790" t="s">
        <v>357</v>
      </c>
      <c r="B21" s="813" t="s">
        <v>1628</v>
      </c>
      <c r="C21" s="814">
        <f ca="1">C16+C17+C18</f>
        <v>568</v>
      </c>
      <c r="D21" s="815"/>
      <c r="E21" s="281"/>
      <c r="F21" s="281"/>
      <c r="G21" s="131" t="s">
        <v>1629</v>
      </c>
      <c r="H21" s="807"/>
      <c r="I21" s="807"/>
      <c r="J21" s="807"/>
      <c r="K21" s="808"/>
    </row>
    <row r="22" spans="1:33" s="803" customFormat="1" ht="13.5" customHeight="1">
      <c r="A22" s="790" t="s">
        <v>1601</v>
      </c>
      <c r="B22" s="813" t="s">
        <v>1630</v>
      </c>
      <c r="C22" s="814">
        <f ca="1">ROUND(C21*F22,0)</f>
        <v>17</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36</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3809">
        <f ca="1">C27</f>
        <v>0.28000000000000003</v>
      </c>
      <c r="D25" s="280">
        <f ca="1">C26</f>
        <v>8.9999999999999998E-4</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8.9999999999999998E-4</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3808">
        <f ca="1">ROUND(IF('数据-取费表'!B22&lt;=1,(C21+C22+C23)*F25*'数据-取费表'!B24/2,(C21+C22+C23)*(POWER((1+F25),'数据-取费表'!B24/2)-1)),2)</f>
        <v>0.28000000000000003</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124</v>
      </c>
      <c r="D28" s="280">
        <f ca="1">C29</f>
        <v>2.0999999999999999E-3</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2.0999999999999999E-3</v>
      </c>
      <c r="D29" s="284"/>
      <c r="E29" s="285"/>
      <c r="F29" s="290"/>
      <c r="G29" s="131" t="s">
        <v>1644</v>
      </c>
      <c r="H29" s="807"/>
      <c r="I29" s="807"/>
      <c r="J29" s="807"/>
      <c r="K29" s="808"/>
    </row>
    <row r="30" spans="1:33" s="291" customFormat="1" ht="13.5" customHeight="1">
      <c r="A30" s="800" t="s">
        <v>359</v>
      </c>
      <c r="B30" s="822" t="s">
        <v>1645</v>
      </c>
      <c r="C30" s="292">
        <f ca="1">ROUND((C21+C22+C23)*F28,0)</f>
        <v>124</v>
      </c>
      <c r="D30" s="284"/>
      <c r="E30" s="285"/>
      <c r="F30" s="290"/>
      <c r="G30" s="131"/>
      <c r="H30" s="807"/>
      <c r="I30" s="807"/>
      <c r="J30" s="807"/>
      <c r="K30" s="808"/>
    </row>
    <row r="31" spans="1:33" s="803" customFormat="1" ht="13.5" customHeight="1" thickBot="1">
      <c r="A31" s="1864" t="s">
        <v>1646</v>
      </c>
      <c r="B31" s="833" t="s">
        <v>1647</v>
      </c>
      <c r="C31" s="834">
        <f ca="1">ROUND(C4*F31/(1+'数据-取费表'!C42),0)</f>
        <v>6324</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110137</v>
      </c>
      <c r="D32" s="829"/>
      <c r="E32" s="829"/>
      <c r="F32" s="829"/>
      <c r="G32" s="831" t="s">
        <v>1650</v>
      </c>
      <c r="H32" s="829"/>
      <c r="I32" s="829"/>
      <c r="J32" s="829"/>
      <c r="K32" s="832"/>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3" sqref="H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3420</v>
      </c>
      <c r="D1" s="1360" t="s">
        <v>3517</v>
      </c>
      <c r="E1" s="1361" t="s">
        <v>678</v>
      </c>
      <c r="F1" s="1062">
        <f ca="1">J53</f>
        <v>37.04</v>
      </c>
      <c r="G1" s="1376">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120731</v>
      </c>
      <c r="C2" s="1385" t="s">
        <v>805</v>
      </c>
      <c r="D2" s="1385"/>
      <c r="E2" s="1386"/>
      <c r="F2" s="1387"/>
      <c r="G2" s="2702"/>
      <c r="H2" s="2691"/>
      <c r="I2" s="2691"/>
      <c r="J2" s="2691"/>
      <c r="K2" s="2692"/>
      <c r="L2" s="2691"/>
      <c r="M2" s="2691"/>
    </row>
    <row r="3" spans="1:37" ht="18" customHeight="1" thickBot="1">
      <c r="A3" s="1388" t="s">
        <v>806</v>
      </c>
      <c r="B3" s="1389">
        <f ca="1">IF(ISERROR(B2*10000/F43),0,ROUND(B2*10000/F43,0))</f>
        <v>20646</v>
      </c>
      <c r="C3" s="1385" t="s">
        <v>807</v>
      </c>
      <c r="D3" s="1385"/>
      <c r="E3" s="1386"/>
      <c r="F3" s="1387"/>
      <c r="G3" s="2702"/>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11626</v>
      </c>
      <c r="D5" s="1362" t="s">
        <v>693</v>
      </c>
      <c r="E5" s="1071"/>
      <c r="F5" s="1072"/>
      <c r="G5" s="1382"/>
      <c r="H5" s="299">
        <v>1</v>
      </c>
      <c r="I5" s="300" t="s">
        <v>692</v>
      </c>
      <c r="J5" s="1070">
        <f ca="1">J6+J10+J12</f>
        <v>0</v>
      </c>
      <c r="K5" s="1362" t="s">
        <v>693</v>
      </c>
      <c r="L5" s="1071"/>
      <c r="M5" s="1072"/>
    </row>
    <row r="6" spans="1:37" ht="18" customHeight="1">
      <c r="A6" s="1069" t="s">
        <v>398</v>
      </c>
      <c r="B6" s="3656" t="s">
        <v>694</v>
      </c>
      <c r="C6" s="1074">
        <f ca="1">ROUND(F6*F8*F7*(1-F9)/10000,0)</f>
        <v>11611</v>
      </c>
      <c r="D6" s="155" t="s">
        <v>2109</v>
      </c>
      <c r="E6" s="302" t="s">
        <v>696</v>
      </c>
      <c r="F6" s="303">
        <f ca="1">INDIRECT("'数据-取费表'!u"&amp;$G$1)</f>
        <v>6.4</v>
      </c>
      <c r="G6" s="1382"/>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58476.87</v>
      </c>
      <c r="G7" s="1382"/>
      <c r="H7" s="304"/>
      <c r="I7" s="3657"/>
      <c r="J7" s="306"/>
      <c r="K7" s="307"/>
      <c r="L7" s="302" t="s">
        <v>697</v>
      </c>
      <c r="M7" s="303">
        <f ca="1">F7</f>
        <v>58476.87</v>
      </c>
    </row>
    <row r="8" spans="1:37" ht="18" customHeight="1">
      <c r="A8" s="304"/>
      <c r="B8" s="3657"/>
      <c r="C8" s="306"/>
      <c r="D8" s="307"/>
      <c r="E8" s="302" t="s">
        <v>698</v>
      </c>
      <c r="F8" s="303">
        <f ca="1">INDIRECT("'数据-取费表'!ai"&amp;$G$1)</f>
        <v>365</v>
      </c>
      <c r="G8" s="1382"/>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0.15</v>
      </c>
      <c r="G9" s="1382"/>
      <c r="H9" s="304"/>
      <c r="I9" s="3658"/>
      <c r="J9" s="306"/>
      <c r="K9" s="307"/>
      <c r="L9" s="313" t="s">
        <v>699</v>
      </c>
      <c r="M9" s="314">
        <f ca="1">INDIRECT("'数据-取费表'!ab"&amp;$G$1)</f>
        <v>0</v>
      </c>
    </row>
    <row r="10" spans="1:37" ht="18" customHeight="1">
      <c r="A10" s="1069" t="s">
        <v>402</v>
      </c>
      <c r="B10" s="1363" t="s">
        <v>700</v>
      </c>
      <c r="C10" s="316">
        <f ca="1">ROUND(IF(F10="押一",C6/12*F11,IF(F10="押二",C6/12*2*F11,IF(F10="押三",C6/12*3*F11,C11*F11))),0)</f>
        <v>15</v>
      </c>
      <c r="D10" s="1364" t="s">
        <v>2117</v>
      </c>
      <c r="E10" s="313" t="s">
        <v>701</v>
      </c>
      <c r="F10" s="1114" t="s">
        <v>3497</v>
      </c>
      <c r="G10" s="1382"/>
      <c r="H10" s="1069" t="s">
        <v>402</v>
      </c>
      <c r="I10" s="1363" t="s">
        <v>700</v>
      </c>
      <c r="J10" s="301">
        <f ca="1">ROUND(IF(M10="押一",J6/12*M11,IF(M10="押二",J6/12*2*M11,IF(M10="押三",J6/12*3*M11,J11*M11))),0)</f>
        <v>0</v>
      </c>
      <c r="K10" s="1364" t="s">
        <v>2116</v>
      </c>
      <c r="L10" s="313" t="s">
        <v>701</v>
      </c>
      <c r="M10" s="1114"/>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80205</v>
      </c>
      <c r="D13" s="1081" t="s">
        <v>705</v>
      </c>
      <c r="E13" s="1081" t="s">
        <v>706</v>
      </c>
      <c r="F13" s="1082">
        <f ca="1">INDIRECT("'数据-取费表'!y"&amp;$G$1)</f>
        <v>1</v>
      </c>
      <c r="G13" s="1382"/>
      <c r="H13" s="1079">
        <v>2</v>
      </c>
      <c r="I13" s="1080" t="s">
        <v>704</v>
      </c>
      <c r="J13" s="1068">
        <f ca="1">ROUND(J14*J15,0)</f>
        <v>0</v>
      </c>
      <c r="K13" s="1087" t="s">
        <v>705</v>
      </c>
      <c r="L13" s="1390"/>
      <c r="M13" s="1391"/>
    </row>
    <row r="14" spans="1:37" ht="18" customHeight="1">
      <c r="A14" s="982" t="s">
        <v>397</v>
      </c>
      <c r="B14" s="302" t="s">
        <v>707</v>
      </c>
      <c r="C14" s="318">
        <f ca="1">INDIRECT("'数据-取费表'!m"&amp;$G$1)+INDIRECT("'数据-取费表'!t"&amp;$G$1)</f>
        <v>49252</v>
      </c>
      <c r="D14" s="1343" t="s">
        <v>708</v>
      </c>
      <c r="E14" s="1340"/>
      <c r="F14" s="319"/>
      <c r="G14" s="1382"/>
      <c r="H14" s="982" t="s">
        <v>398</v>
      </c>
      <c r="I14" s="302" t="s">
        <v>709</v>
      </c>
      <c r="J14" s="21">
        <f ca="1">C29</f>
        <v>80205</v>
      </c>
      <c r="K14" s="12"/>
      <c r="L14" s="807"/>
      <c r="M14" s="808"/>
    </row>
    <row r="15" spans="1:37" s="1395" customFormat="1" ht="18" customHeight="1" thickBot="1">
      <c r="A15" s="982" t="s">
        <v>399</v>
      </c>
      <c r="B15" s="302" t="s">
        <v>710</v>
      </c>
      <c r="C15" s="21">
        <f ca="1">ROUND(C14*F15,0)</f>
        <v>4925</v>
      </c>
      <c r="D15" s="320" t="s">
        <v>711</v>
      </c>
      <c r="E15" s="320" t="s">
        <v>712</v>
      </c>
      <c r="F15" s="321">
        <f>'数据-取费表'!B33</f>
        <v>0.1</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9" t="s">
        <v>393</v>
      </c>
      <c r="I16" s="1080" t="s">
        <v>714</v>
      </c>
      <c r="J16" s="310">
        <f ca="1">ROUND(J17+J22+J23+J24,0)</f>
        <v>1206</v>
      </c>
      <c r="K16" s="1087" t="s">
        <v>715</v>
      </c>
      <c r="L16" s="1088"/>
      <c r="M16" s="1072"/>
    </row>
    <row r="17" spans="1:37" s="1395" customFormat="1" ht="18" customHeight="1">
      <c r="A17" s="982" t="s">
        <v>681</v>
      </c>
      <c r="B17" s="302" t="s">
        <v>716</v>
      </c>
      <c r="C17" s="21">
        <f ca="1">ROUND(F17*(F43+INDIRECT("'数据-取费表'!S"&amp;$G$1))/10000,0)</f>
        <v>1189</v>
      </c>
      <c r="D17" s="302" t="s">
        <v>717</v>
      </c>
      <c r="E17" s="302" t="s">
        <v>718</v>
      </c>
      <c r="F17" s="23">
        <f>'数据-取费表'!B35</f>
        <v>200</v>
      </c>
      <c r="G17" s="1394"/>
      <c r="H17" s="982" t="s">
        <v>398</v>
      </c>
      <c r="I17" s="302" t="s">
        <v>719</v>
      </c>
      <c r="J17" s="2314">
        <f ca="1">ROUND(IF(AND(项目基本情况!B11="自然人",项目基本情况!B10="北京市"),J6*M17/(1+'数据-取费表'!C42),J18+J19+J20),2)</f>
        <v>3.07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1478</v>
      </c>
      <c r="D18" s="302" t="s">
        <v>711</v>
      </c>
      <c r="E18" s="302" t="s">
        <v>712</v>
      </c>
      <c r="F18" s="322">
        <f>'数据-取费表'!B36</f>
        <v>0.03</v>
      </c>
      <c r="G18" s="1394"/>
      <c r="H18" s="982"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56844</v>
      </c>
      <c r="D19" s="131" t="s">
        <v>726</v>
      </c>
      <c r="E19" s="1358"/>
      <c r="F19" s="23"/>
      <c r="G19" s="1382"/>
      <c r="H19" s="982"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2" t="s">
        <v>402</v>
      </c>
      <c r="B20" s="302" t="s">
        <v>728</v>
      </c>
      <c r="C20" s="21">
        <f ca="1">ROUND(C19*F20,0)</f>
        <v>1705</v>
      </c>
      <c r="D20" s="323" t="s">
        <v>729</v>
      </c>
      <c r="E20" s="302" t="s">
        <v>712</v>
      </c>
      <c r="F20" s="322">
        <f>'数据-取费表'!B37</f>
        <v>0.03</v>
      </c>
      <c r="G20" s="1394"/>
      <c r="H20" s="982" t="s">
        <v>680</v>
      </c>
      <c r="I20" s="155" t="s">
        <v>730</v>
      </c>
      <c r="J20" s="22">
        <f ca="1">ROUND(M20*M21/10000,2)</f>
        <v>3.07</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0.03</v>
      </c>
      <c r="G21" s="1394"/>
      <c r="H21" s="326"/>
      <c r="I21" s="311"/>
      <c r="J21" s="26"/>
      <c r="K21" s="327"/>
      <c r="L21" s="302" t="s">
        <v>736</v>
      </c>
      <c r="M21" s="303">
        <f ca="1">INDIRECT("'数据-取费表'!r"&amp;$G$1)</f>
        <v>20455.650000000001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1203.08</v>
      </c>
      <c r="K22" s="1342" t="s">
        <v>739</v>
      </c>
      <c r="L22" s="302" t="s">
        <v>712</v>
      </c>
      <c r="M22" s="328">
        <f ca="1">INDIRECT("'数据-取费表'!Ak"&amp;$G$1)</f>
        <v>1.4999999999999999E-2</v>
      </c>
    </row>
    <row r="23" spans="1:37" s="1395" customFormat="1" ht="18" customHeight="1">
      <c r="A23" s="982" t="s">
        <v>397</v>
      </c>
      <c r="B23" s="302" t="s">
        <v>740</v>
      </c>
      <c r="C23" s="21">
        <f ca="1">IF('数据-取费表'!B22&lt;=1,ROUND(C19*F24*F23/2,0)+ROUND(C20*F24*F23/2,0),ROUND(C19*(POWER((1+F24),F23/2)-1),0)+ROUND(C20*(POWER((1+F24),F23/2)-1),0))</f>
        <v>2744</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4"/>
      <c r="H24" s="1089" t="s">
        <v>684</v>
      </c>
      <c r="I24" s="1090" t="s">
        <v>728</v>
      </c>
      <c r="J24" s="1091">
        <f ca="1">ROUND(J5*M24,2)</f>
        <v>0</v>
      </c>
      <c r="K24" s="1092" t="s">
        <v>748</v>
      </c>
      <c r="L24" s="1090" t="s">
        <v>744</v>
      </c>
      <c r="M24" s="1086">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9" t="s">
        <v>394</v>
      </c>
      <c r="I25" s="1094" t="s">
        <v>752</v>
      </c>
      <c r="J25" s="310">
        <f ca="1">J5-J16</f>
        <v>-1206</v>
      </c>
      <c r="K25" s="1095" t="s">
        <v>753</v>
      </c>
      <c r="L25" s="1096"/>
      <c r="M25" s="1097"/>
    </row>
    <row r="26" spans="1:37">
      <c r="A26" s="982" t="s">
        <v>397</v>
      </c>
      <c r="B26" s="302" t="s">
        <v>754</v>
      </c>
      <c r="C26" s="21">
        <f ca="1">ROUND((C19+C20)*F26,0)</f>
        <v>11710</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80205</v>
      </c>
      <c r="D29" s="1092"/>
      <c r="E29" s="1090"/>
      <c r="F29" s="1093"/>
      <c r="G29" s="1394"/>
      <c r="H29" s="334" t="s">
        <v>396</v>
      </c>
      <c r="I29" s="335" t="s">
        <v>768</v>
      </c>
      <c r="J29" s="336">
        <f ca="1">ROUND(J26/(1+F40)^F41,0)</f>
        <v>0</v>
      </c>
      <c r="K29" s="337" t="s">
        <v>769</v>
      </c>
      <c r="L29" s="338"/>
      <c r="M29" s="339">
        <f ca="1">INDIRECT("'数据-取费表'!k"&amp;$G$1)</f>
        <v>58476.87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3436</v>
      </c>
      <c r="D30" s="1087" t="s">
        <v>715</v>
      </c>
      <c r="E30" s="1088"/>
      <c r="F30" s="1072"/>
      <c r="G30" s="1382"/>
      <c r="H30" s="2693"/>
      <c r="I30" s="1396"/>
      <c r="J30" s="1397"/>
      <c r="K30" s="2472"/>
      <c r="L30" s="2694"/>
      <c r="M30" s="2695"/>
    </row>
    <row r="31" spans="1:37" ht="18" customHeight="1">
      <c r="A31" s="982" t="s">
        <v>398</v>
      </c>
      <c r="B31" s="302" t="s">
        <v>719</v>
      </c>
      <c r="C31" s="2314">
        <f ca="1">ROUND(IF(AND(项目基本情况!B11="自然人",项目基本情况!B10="北京市"),C6*F31/(1+'数据-取费表'!C42),C32+C33+C34),2)</f>
        <v>1938.24</v>
      </c>
      <c r="D31" s="1343" t="s">
        <v>720</v>
      </c>
      <c r="E31" s="1342" t="s">
        <v>770</v>
      </c>
      <c r="F31" s="2313" t="str">
        <f>IF(项目基本情况!B11="企业","——",IF(M47="住宅",IF(F6*F7*F8/12/(1+'数据-取费表'!F30)&gt;100000,4%,2.5%),IF(F6*F7*F8/12/(1+'数据-取费表'!F30)&gt;100000,12%,7%)))</f>
        <v>——</v>
      </c>
      <c r="G31" s="1382"/>
      <c r="H31" s="2804" t="s">
        <v>2308</v>
      </c>
      <c r="I31" s="1396"/>
      <c r="J31" s="1397"/>
      <c r="K31" s="2472"/>
      <c r="L31" s="2694"/>
      <c r="M31" s="2695"/>
    </row>
    <row r="32" spans="1:37" ht="18" customHeight="1">
      <c r="A32" s="982" t="s">
        <v>397</v>
      </c>
      <c r="B32" s="302" t="s">
        <v>723</v>
      </c>
      <c r="C32" s="21">
        <f ca="1">IF(项目基本情况!B11="自然人","——",ROUND(C6*F32/(1+'数据-取费表'!C42),2))</f>
        <v>608.20000000000005</v>
      </c>
      <c r="D32" s="1342" t="s">
        <v>724</v>
      </c>
      <c r="E32" s="302" t="s">
        <v>712</v>
      </c>
      <c r="F32" s="331">
        <f>'数据-取费表'!B41</f>
        <v>5.5000000000000007E-2</v>
      </c>
      <c r="G32" s="1382"/>
      <c r="H32" s="2693"/>
      <c r="I32" s="1396"/>
      <c r="J32" s="1397"/>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1326.97</v>
      </c>
      <c r="D33" s="1368" t="s">
        <v>3337</v>
      </c>
      <c r="E33" s="302" t="s">
        <v>712</v>
      </c>
      <c r="F33" s="322">
        <f>IF(D33="按票据","——",IF(D33="按租金收入计税",'数据-取费表'!B51,'数据-取费表'!B50))</f>
        <v>0.12</v>
      </c>
      <c r="G33" s="1382"/>
      <c r="H33" s="2696"/>
      <c r="I33" s="1396"/>
      <c r="J33" s="1397"/>
      <c r="K33" s="2697"/>
      <c r="L33" s="2696"/>
      <c r="M33" s="2696"/>
    </row>
    <row r="34" spans="1:18" ht="18" customHeight="1">
      <c r="A34" s="1069" t="s">
        <v>680</v>
      </c>
      <c r="B34" s="155" t="s">
        <v>730</v>
      </c>
      <c r="C34" s="22">
        <f ca="1">IF(项目基本情况!B11="自然人","——",ROUND(F34*F35/10000,2))</f>
        <v>3.07</v>
      </c>
      <c r="D34" s="324" t="s">
        <v>731</v>
      </c>
      <c r="E34" s="302" t="s">
        <v>732</v>
      </c>
      <c r="F34" s="325">
        <f>'数据-取费表'!B52</f>
        <v>1.5</v>
      </c>
      <c r="G34" s="1382"/>
      <c r="H34" s="2693"/>
      <c r="I34" s="1396"/>
      <c r="J34" s="1397"/>
      <c r="K34" s="2698"/>
      <c r="L34" s="2699"/>
      <c r="M34" s="2699"/>
    </row>
    <row r="35" spans="1:18" ht="18" customHeight="1">
      <c r="A35" s="1103"/>
      <c r="B35" s="1101"/>
      <c r="C35" s="26"/>
      <c r="D35" s="327"/>
      <c r="E35" s="302" t="s">
        <v>736</v>
      </c>
      <c r="F35" s="303">
        <f ca="1">INDIRECT("'数据-取费表'!r"&amp;$G$1)</f>
        <v>20455.650000000001</v>
      </c>
      <c r="G35" s="1382"/>
      <c r="H35" s="2693"/>
      <c r="I35" s="1396"/>
      <c r="J35" s="1397"/>
      <c r="K35" s="2697"/>
      <c r="L35" s="2696"/>
      <c r="M35" s="2696"/>
    </row>
    <row r="36" spans="1:18" ht="18" customHeight="1">
      <c r="A36" s="1102" t="s">
        <v>402</v>
      </c>
      <c r="B36" s="302" t="s">
        <v>738</v>
      </c>
      <c r="C36" s="21">
        <f ca="1">ROUND(C29*F36,2)</f>
        <v>1203.08</v>
      </c>
      <c r="D36" s="1342" t="s">
        <v>771</v>
      </c>
      <c r="E36" s="302" t="s">
        <v>712</v>
      </c>
      <c r="F36" s="328">
        <f ca="1">INDIRECT("'数据-取费表'!Ak"&amp;$G$1)</f>
        <v>1.4999999999999999E-2</v>
      </c>
      <c r="G36" s="1382"/>
      <c r="H36" s="2696"/>
      <c r="I36" s="1396"/>
      <c r="J36" s="1397"/>
      <c r="K36" s="2541"/>
      <c r="L36" s="2696"/>
      <c r="M36" s="2696"/>
    </row>
    <row r="37" spans="1:18" ht="18" customHeight="1">
      <c r="A37" s="982" t="s">
        <v>437</v>
      </c>
      <c r="B37" s="302" t="s">
        <v>742</v>
      </c>
      <c r="C37" s="21">
        <f ca="1">ROUND(C13*F37,2)</f>
        <v>120.31</v>
      </c>
      <c r="D37" s="1342" t="s">
        <v>743</v>
      </c>
      <c r="E37" s="302" t="s">
        <v>744</v>
      </c>
      <c r="F37" s="330">
        <f ca="1">INDIRECT("'数据-取费表'!Al"&amp;$G$1)</f>
        <v>1.5E-3</v>
      </c>
      <c r="G37" s="1382"/>
      <c r="H37" s="2696"/>
      <c r="I37" s="1396"/>
      <c r="J37" s="1397"/>
      <c r="K37" s="2541"/>
      <c r="L37" s="2696"/>
      <c r="M37" s="2696"/>
    </row>
    <row r="38" spans="1:18" ht="18" customHeight="1" thickBot="1">
      <c r="A38" s="1089" t="s">
        <v>684</v>
      </c>
      <c r="B38" s="1090" t="s">
        <v>728</v>
      </c>
      <c r="C38" s="1091">
        <f ca="1">ROUND(C5*F38,2)</f>
        <v>174.39</v>
      </c>
      <c r="D38" s="1092" t="s">
        <v>748</v>
      </c>
      <c r="E38" s="1090" t="s">
        <v>744</v>
      </c>
      <c r="F38" s="1086">
        <f ca="1">INDIRECT("'数据-取费表'!Am"&amp;$G$1)</f>
        <v>1.4999999999999999E-2</v>
      </c>
      <c r="G38" s="1382"/>
      <c r="H38" s="2696"/>
      <c r="I38" s="1396"/>
      <c r="J38" s="1397"/>
      <c r="K38" s="2700"/>
      <c r="L38" s="2696"/>
      <c r="M38" s="2696"/>
    </row>
    <row r="39" spans="1:18" ht="24.6" customHeight="1" thickTop="1">
      <c r="A39" s="1079" t="s">
        <v>394</v>
      </c>
      <c r="B39" s="1094" t="s">
        <v>772</v>
      </c>
      <c r="C39" s="310">
        <f ca="1">C5-C30</f>
        <v>8190</v>
      </c>
      <c r="D39" s="1095" t="s">
        <v>773</v>
      </c>
      <c r="E39" s="1096"/>
      <c r="F39" s="1097"/>
      <c r="G39" s="1382"/>
      <c r="H39" s="2696"/>
      <c r="I39" s="1396"/>
      <c r="J39" s="1397"/>
      <c r="K39" s="2700"/>
      <c r="L39" s="2696"/>
      <c r="M39" s="2696"/>
    </row>
    <row r="40" spans="1:18" ht="18" customHeight="1">
      <c r="A40" s="299" t="s">
        <v>395</v>
      </c>
      <c r="B40" s="300" t="s">
        <v>774</v>
      </c>
      <c r="C40" s="301">
        <f ca="1">ROUND(C39*(1-((1+F42)/(1+F40))^F41)/(F40-F42),0)</f>
        <v>120731</v>
      </c>
      <c r="D40" s="324" t="s">
        <v>758</v>
      </c>
      <c r="E40" s="302" t="s">
        <v>759</v>
      </c>
      <c r="F40" s="312">
        <f ca="1">INDIRECT("'数据-取费表'!I"&amp;$G$1)</f>
        <v>0.06</v>
      </c>
      <c r="G40" s="1382"/>
      <c r="H40" s="1459"/>
      <c r="I40" s="1396"/>
      <c r="J40" s="1397"/>
      <c r="K40" s="2700"/>
      <c r="L40" s="1459"/>
      <c r="M40" s="1459"/>
    </row>
    <row r="41" spans="1:18" ht="18" customHeight="1">
      <c r="A41" s="304"/>
      <c r="B41" s="305"/>
      <c r="C41" s="306"/>
      <c r="D41" s="332" t="s">
        <v>775</v>
      </c>
      <c r="E41" s="302" t="s">
        <v>763</v>
      </c>
      <c r="F41" s="333">
        <f ca="1">IF(INDIRECT("'数据-取费表'!af"&amp;$G$1)=0,INDIRECT("'数据-取费表'!ae"&amp;$G$1),INDIRECT("'数据-取费表'!af"&amp;$G$1))</f>
        <v>37.04</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f ca="1">ROUND(C40*10000/F43,0)</f>
        <v>20646</v>
      </c>
      <c r="D43" s="337" t="s">
        <v>777</v>
      </c>
      <c r="E43" s="338" t="s">
        <v>778</v>
      </c>
      <c r="F43" s="339">
        <f ca="1">INDIRECT("'数据-取费表'!k"&amp;$G$1)</f>
        <v>58476.87</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1" t="s">
        <v>808</v>
      </c>
      <c r="P45" s="1459"/>
      <c r="Q45" s="1459"/>
      <c r="R45" s="1459"/>
    </row>
    <row r="46" spans="1:18" s="1382" customFormat="1" ht="13.5" thickBot="1">
      <c r="A46" s="1402" t="s">
        <v>809</v>
      </c>
      <c r="C46" s="1403">
        <f ca="1">C68-C40</f>
        <v>-140278</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5" t="s">
        <v>689</v>
      </c>
      <c r="D47" s="978" t="s">
        <v>690</v>
      </c>
      <c r="E47" s="1058" t="s">
        <v>691</v>
      </c>
      <c r="F47" s="1059"/>
      <c r="G47" s="722"/>
      <c r="I47" s="1412" t="s">
        <v>815</v>
      </c>
      <c r="J47" s="1413" t="s">
        <v>3498</v>
      </c>
      <c r="K47" s="1414" t="s">
        <v>816</v>
      </c>
      <c r="L47" s="1415">
        <f ca="1">INDIRECT("'数据-取费表'!d"&amp;$G$1)</f>
        <v>50</v>
      </c>
      <c r="M47" s="1378" t="str">
        <f>IF(ISNUMBER(FIND("住宅",C1)),"住宅","非住宅")</f>
        <v>非住宅</v>
      </c>
      <c r="O47" s="1416" t="s">
        <v>403</v>
      </c>
      <c r="P47" s="1417" t="s">
        <v>817</v>
      </c>
      <c r="Q47" s="1418">
        <f ca="1">C40+J29</f>
        <v>120731</v>
      </c>
      <c r="R47" s="1418" t="s">
        <v>818</v>
      </c>
    </row>
    <row r="48" spans="1:18" s="1382" customFormat="1" ht="28.5" thickBot="1">
      <c r="A48" s="1108" t="s">
        <v>438</v>
      </c>
      <c r="B48" s="300" t="s">
        <v>692</v>
      </c>
      <c r="C48" s="1357">
        <f ca="1">C49+C53+C55</f>
        <v>0</v>
      </c>
      <c r="D48" s="1110"/>
      <c r="E48" s="1111"/>
      <c r="F48" s="962"/>
      <c r="G48" s="722"/>
      <c r="H48" s="723"/>
      <c r="I48" s="1419" t="s">
        <v>819</v>
      </c>
      <c r="J48" s="1420" t="s">
        <v>3499</v>
      </c>
      <c r="K48" s="1421" t="s">
        <v>820</v>
      </c>
      <c r="L48" s="1422">
        <f ca="1">INDIRECT("'数据-取费表'!f"&amp;$G$1)</f>
        <v>37.07</v>
      </c>
      <c r="O48" s="1416" t="s">
        <v>404</v>
      </c>
      <c r="P48" s="1417" t="s">
        <v>821</v>
      </c>
      <c r="Q48" s="1418" t="str">
        <f ca="1">J60</f>
        <v>0</v>
      </c>
      <c r="R48" s="1418" t="s">
        <v>822</v>
      </c>
    </row>
    <row r="49" spans="1:18" s="1382" customFormat="1" ht="13.5" thickBot="1">
      <c r="A49" s="975" t="s">
        <v>439</v>
      </c>
      <c r="B49" s="1369" t="s">
        <v>779</v>
      </c>
      <c r="C49" s="1112">
        <f ca="1">ROUND(F49*F51*F50*(1-F52)/10000,0)</f>
        <v>0</v>
      </c>
      <c r="D49" s="1055" t="s">
        <v>2110</v>
      </c>
      <c r="E49" s="1370" t="s">
        <v>780</v>
      </c>
      <c r="F49" s="1060"/>
      <c r="G49" s="1423"/>
      <c r="H49" s="723"/>
      <c r="I49" s="1419" t="s">
        <v>823</v>
      </c>
      <c r="J49" s="1424">
        <v>2025</v>
      </c>
      <c r="K49" s="1421" t="s">
        <v>824</v>
      </c>
      <c r="L49" s="1425"/>
      <c r="O49" s="1426" t="s">
        <v>405</v>
      </c>
      <c r="P49" s="1417" t="s">
        <v>825</v>
      </c>
      <c r="Q49" s="1418">
        <f ca="1">C29</f>
        <v>80205</v>
      </c>
      <c r="R49" s="1418" t="s">
        <v>818</v>
      </c>
    </row>
    <row r="50" spans="1:18" s="1382" customFormat="1" ht="13.5" thickBot="1">
      <c r="A50" s="976"/>
      <c r="B50" s="979"/>
      <c r="C50" s="1116"/>
      <c r="D50" s="953"/>
      <c r="E50" s="1056" t="s">
        <v>697</v>
      </c>
      <c r="F50" s="1057">
        <f ca="1">F7</f>
        <v>58476.87</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365</v>
      </c>
      <c r="I51" s="1430" t="s">
        <v>829</v>
      </c>
      <c r="J51" s="1431">
        <f>IF(J49="",J50,J49+J50-YEAR('数据-取费表'!B2))</f>
        <v>61</v>
      </c>
      <c r="K51" s="1432" t="s">
        <v>830</v>
      </c>
      <c r="L51" s="1433">
        <f ca="1">ROUND(-PV(INDIRECT("'数据-取费表'!h"&amp;$G$1),J51,(C39-C13*C76),0),0)</f>
        <v>41275</v>
      </c>
      <c r="M51" s="1434"/>
      <c r="O51" s="1426" t="s">
        <v>407</v>
      </c>
      <c r="P51" s="1417" t="s">
        <v>831</v>
      </c>
      <c r="Q51" s="1429">
        <f>J52</f>
        <v>0.08</v>
      </c>
      <c r="R51" s="1418"/>
    </row>
    <row r="52" spans="1:18" s="1382" customFormat="1" ht="13.5" thickBot="1">
      <c r="A52" s="977"/>
      <c r="B52" s="979"/>
      <c r="C52" s="980"/>
      <c r="D52" s="953"/>
      <c r="E52" s="981" t="s">
        <v>699</v>
      </c>
      <c r="F52" s="1054"/>
      <c r="I52" s="1435" t="s">
        <v>832</v>
      </c>
      <c r="J52" s="1436">
        <v>0.08</v>
      </c>
      <c r="K52" s="1435" t="s">
        <v>833</v>
      </c>
      <c r="L52" s="1436"/>
      <c r="O52" s="1426" t="s">
        <v>408</v>
      </c>
      <c r="P52" s="1417" t="s">
        <v>834</v>
      </c>
      <c r="Q52" s="1418">
        <f ca="1">J53</f>
        <v>37.04</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37.04</v>
      </c>
      <c r="K53" s="3654" t="s">
        <v>837</v>
      </c>
      <c r="L53" s="3655"/>
      <c r="O53" s="1416" t="s">
        <v>409</v>
      </c>
      <c r="P53" s="1417" t="s">
        <v>838</v>
      </c>
      <c r="Q53" s="1418">
        <f ca="1">Q47+Q48</f>
        <v>120731</v>
      </c>
      <c r="R53" s="1418" t="s">
        <v>410</v>
      </c>
    </row>
    <row r="54" spans="1:18" s="1382" customFormat="1" ht="13.5" thickBot="1">
      <c r="A54" s="1151"/>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80205</v>
      </c>
      <c r="D56" s="1445"/>
      <c r="E56" s="1446"/>
      <c r="F56" s="1438"/>
      <c r="I56" s="1447" t="s">
        <v>842</v>
      </c>
      <c r="J56" s="1448" t="s">
        <v>3419</v>
      </c>
      <c r="K56" s="1419" t="s">
        <v>843</v>
      </c>
      <c r="L56" s="1422" t="str">
        <f ca="1">IF(L48&lt;J51,"——",L48-J53)</f>
        <v>——</v>
      </c>
      <c r="O56" s="1416" t="s">
        <v>403</v>
      </c>
      <c r="P56" s="1417" t="s">
        <v>817</v>
      </c>
      <c r="Q56" s="1418">
        <f ca="1">C40+J29</f>
        <v>120731</v>
      </c>
      <c r="R56" s="1418" t="s">
        <v>818</v>
      </c>
    </row>
    <row r="57" spans="1:18" s="1382" customFormat="1" ht="24.75" thickBot="1">
      <c r="A57" s="1449"/>
      <c r="B57" s="950" t="s">
        <v>767</v>
      </c>
      <c r="C57" s="238">
        <f ca="1">C29</f>
        <v>80205</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1326</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3</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3337</v>
      </c>
      <c r="E61" s="950"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785</v>
      </c>
      <c r="C62" s="22">
        <f ca="1">IF(项目基本情况!B11="自然人","——",ROUND(F62*F63/10000,2))</f>
        <v>3.07</v>
      </c>
      <c r="D62" s="965" t="s">
        <v>786</v>
      </c>
      <c r="E62" s="950" t="s">
        <v>787</v>
      </c>
      <c r="F62" s="325">
        <f t="shared" si="0"/>
        <v>1.5</v>
      </c>
      <c r="I62" s="1460" t="s">
        <v>858</v>
      </c>
      <c r="J62" s="1461" t="s">
        <v>859</v>
      </c>
      <c r="K62" s="1461" t="s">
        <v>860</v>
      </c>
      <c r="L62" s="1461" t="s">
        <v>861</v>
      </c>
      <c r="M62" s="1462" t="s">
        <v>862</v>
      </c>
      <c r="O62" s="1416" t="s">
        <v>409</v>
      </c>
      <c r="P62" s="1417" t="s">
        <v>863</v>
      </c>
      <c r="Q62" s="1418">
        <f ca="1">Q56+Q57</f>
        <v>120731</v>
      </c>
      <c r="R62" s="1418" t="s">
        <v>410</v>
      </c>
    </row>
    <row r="63" spans="1:18" s="1382" customFormat="1" ht="13.5" thickBot="1">
      <c r="A63" s="326"/>
      <c r="B63" s="956"/>
      <c r="C63" s="26"/>
      <c r="D63" s="966"/>
      <c r="E63" s="950" t="s">
        <v>788</v>
      </c>
      <c r="F63" s="303">
        <f t="shared" ca="1" si="0"/>
        <v>20455.650000000001</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1203.08</v>
      </c>
      <c r="D64" s="964" t="s">
        <v>791</v>
      </c>
      <c r="E64" s="950"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120.31</v>
      </c>
      <c r="D65" s="964" t="s">
        <v>743</v>
      </c>
      <c r="E65" s="950" t="s">
        <v>744</v>
      </c>
      <c r="F65" s="330">
        <f t="shared" ca="1" si="0"/>
        <v>1.5E-3</v>
      </c>
      <c r="I65" s="1460" t="s">
        <v>867</v>
      </c>
      <c r="J65" s="1461">
        <v>40</v>
      </c>
      <c r="K65" s="1461">
        <v>30</v>
      </c>
      <c r="L65" s="1461">
        <v>50</v>
      </c>
      <c r="M65" s="1463">
        <v>0.02</v>
      </c>
      <c r="O65" s="1416" t="s">
        <v>403</v>
      </c>
      <c r="P65" s="1417" t="s">
        <v>868</v>
      </c>
      <c r="Q65" s="1418">
        <f ca="1">C40+J29</f>
        <v>120731</v>
      </c>
      <c r="R65" s="1418" t="s">
        <v>818</v>
      </c>
    </row>
    <row r="66" spans="1:18" s="1382" customFormat="1" ht="16.5" thickBot="1">
      <c r="A66" s="982" t="s">
        <v>793</v>
      </c>
      <c r="B66" s="950" t="s">
        <v>728</v>
      </c>
      <c r="C66" s="21">
        <f ca="1">ROUND(C48*F66,2)</f>
        <v>0</v>
      </c>
      <c r="D66" s="964" t="s">
        <v>794</v>
      </c>
      <c r="E66" s="950" t="s">
        <v>712</v>
      </c>
      <c r="F66" s="312">
        <f t="shared" ca="1" si="0"/>
        <v>1.4999999999999999E-2</v>
      </c>
      <c r="O66" s="1416" t="s">
        <v>404</v>
      </c>
      <c r="P66" s="1417" t="s">
        <v>846</v>
      </c>
      <c r="Q66" s="1418">
        <f ca="1">L60</f>
        <v>0</v>
      </c>
      <c r="R66" s="1418" t="s">
        <v>869</v>
      </c>
    </row>
    <row r="67" spans="1:18" s="1382" customFormat="1" ht="16.5" thickBot="1">
      <c r="A67" s="957" t="s">
        <v>394</v>
      </c>
      <c r="B67" s="967" t="s">
        <v>752</v>
      </c>
      <c r="C67" s="316">
        <f ca="1">C48-C58</f>
        <v>-1326</v>
      </c>
      <c r="D67" s="963" t="s">
        <v>753</v>
      </c>
      <c r="E67" s="968"/>
      <c r="F67" s="969"/>
      <c r="O67" s="1426" t="s">
        <v>405</v>
      </c>
      <c r="P67" s="1417" t="s">
        <v>850</v>
      </c>
      <c r="Q67" s="1464">
        <f ca="1">L51</f>
        <v>41275</v>
      </c>
      <c r="R67" s="1418" t="s">
        <v>870</v>
      </c>
    </row>
    <row r="68" spans="1:18" s="1382" customFormat="1" ht="16.5" thickBot="1">
      <c r="A68" s="947" t="s">
        <v>395</v>
      </c>
      <c r="B68" s="948" t="s">
        <v>774</v>
      </c>
      <c r="C68" s="301">
        <f ca="1">ROUND(C67*(1-((1+F70)/(1+F68))^F69)/(F68-F70),0)</f>
        <v>-19547</v>
      </c>
      <c r="D68" s="965" t="s">
        <v>758</v>
      </c>
      <c r="E68" s="950" t="s">
        <v>759</v>
      </c>
      <c r="F68" s="312">
        <f ca="1">F40</f>
        <v>0.06</v>
      </c>
      <c r="O68" s="1426" t="s">
        <v>406</v>
      </c>
      <c r="P68" s="1465" t="s">
        <v>871</v>
      </c>
      <c r="Q68" s="1418">
        <f ca="1">ROUND(Q69-Q70*Q71,0)</f>
        <v>2175</v>
      </c>
      <c r="R68" s="1418" t="s">
        <v>414</v>
      </c>
    </row>
    <row r="69" spans="1:18" s="1382" customFormat="1" ht="13.5" thickBot="1">
      <c r="A69" s="951"/>
      <c r="B69" s="952"/>
      <c r="C69" s="306"/>
      <c r="D69" s="970" t="s">
        <v>762</v>
      </c>
      <c r="E69" s="950" t="s">
        <v>763</v>
      </c>
      <c r="F69" s="333">
        <f ca="1">F41</f>
        <v>37.04</v>
      </c>
      <c r="O69" s="1426" t="s">
        <v>411</v>
      </c>
      <c r="P69" s="1465" t="s">
        <v>872</v>
      </c>
      <c r="Q69" s="1418">
        <f ca="1">C39</f>
        <v>8190</v>
      </c>
      <c r="R69" s="1418" t="s">
        <v>818</v>
      </c>
    </row>
    <row r="70" spans="1:18" s="1382" customFormat="1" ht="13.5" thickBot="1">
      <c r="A70" s="954"/>
      <c r="B70" s="955"/>
      <c r="C70" s="310"/>
      <c r="D70" s="966"/>
      <c r="E70" s="950" t="s">
        <v>766</v>
      </c>
      <c r="F70" s="1054"/>
      <c r="O70" s="1426" t="s">
        <v>412</v>
      </c>
      <c r="P70" s="1465" t="s">
        <v>873</v>
      </c>
      <c r="Q70" s="1418">
        <f ca="1">C13</f>
        <v>80205</v>
      </c>
      <c r="R70" s="1418" t="s">
        <v>818</v>
      </c>
    </row>
    <row r="71" spans="1:18" s="1382" customFormat="1" ht="13.5" thickBot="1">
      <c r="A71" s="971" t="s">
        <v>396</v>
      </c>
      <c r="B71" s="972" t="s">
        <v>776</v>
      </c>
      <c r="C71" s="336">
        <f ca="1">ROUND(C68*10000/F71,0)</f>
        <v>-3343</v>
      </c>
      <c r="D71" s="973" t="s">
        <v>777</v>
      </c>
      <c r="E71" s="974" t="s">
        <v>778</v>
      </c>
      <c r="F71" s="339">
        <f ca="1">F43</f>
        <v>58476.87</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6015</v>
      </c>
      <c r="D75" s="1382"/>
      <c r="E75" s="1382"/>
      <c r="F75" s="1382"/>
      <c r="K75" s="1400"/>
      <c r="L75" s="1382"/>
      <c r="O75" s="1416" t="s">
        <v>409</v>
      </c>
      <c r="P75" s="1417" t="s">
        <v>838</v>
      </c>
      <c r="Q75" s="1418">
        <f ca="1">Q65+Q66</f>
        <v>120731</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0.26600000000000001</v>
      </c>
    </row>
    <row r="80" spans="1:18">
      <c r="B80" s="340" t="s">
        <v>800</v>
      </c>
      <c r="C80" s="274">
        <f ca="1">ROUND(C75/C39,3)</f>
        <v>0.73399999999999999</v>
      </c>
    </row>
    <row r="81" spans="2:3">
      <c r="B81" s="270" t="s">
        <v>801</v>
      </c>
      <c r="C81" s="238"/>
    </row>
    <row r="82" spans="2:3">
      <c r="B82" s="273" t="s">
        <v>802</v>
      </c>
      <c r="C82" s="275">
        <f ca="1">1-C83</f>
        <v>0.33599999999999997</v>
      </c>
    </row>
    <row r="83" spans="2:3">
      <c r="B83" s="273" t="s">
        <v>803</v>
      </c>
      <c r="C83" s="274">
        <f ca="1">ROUND(C13/C40,3)</f>
        <v>0.66400000000000003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2">
        <f ca="1">J53</f>
        <v>0</v>
      </c>
      <c r="G1" s="1376">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1" t="e">
        <f ca="1">ROUND(D2/10000,4)</f>
        <v>#DIV/0!</v>
      </c>
      <c r="C2" s="1385" t="s">
        <v>879</v>
      </c>
      <c r="D2" s="1469" t="e">
        <f ca="1">C40+J29+L46</f>
        <v>#DIV/0!</v>
      </c>
      <c r="E2" s="1386" t="s">
        <v>880</v>
      </c>
      <c r="F2" s="1387"/>
      <c r="G2" s="2702"/>
      <c r="H2" s="2691"/>
      <c r="I2" s="2691"/>
      <c r="J2" s="2691"/>
      <c r="K2" s="2692"/>
      <c r="L2" s="2691"/>
      <c r="M2" s="2691"/>
    </row>
    <row r="3" spans="1:37" ht="18" customHeight="1" thickBot="1">
      <c r="A3" s="1388" t="s">
        <v>881</v>
      </c>
      <c r="B3" s="1389">
        <f ca="1">IF(ISERROR(D2/F43),0,ROUND(D2/F43,0))</f>
        <v>0</v>
      </c>
      <c r="C3" s="1385" t="s">
        <v>882</v>
      </c>
      <c r="D3" s="1385"/>
      <c r="E3" s="1386"/>
      <c r="F3" s="1387"/>
      <c r="G3" s="2702"/>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70">
        <f ca="1">C6+C10+C12</f>
        <v>0</v>
      </c>
      <c r="D5" s="1362" t="s">
        <v>889</v>
      </c>
      <c r="E5" s="1071"/>
      <c r="F5" s="1072"/>
      <c r="G5" s="1382"/>
      <c r="H5" s="299">
        <v>1</v>
      </c>
      <c r="I5" s="300" t="s">
        <v>888</v>
      </c>
      <c r="J5" s="1070">
        <f ca="1">J6+J10+J12</f>
        <v>0</v>
      </c>
      <c r="K5" s="1362" t="s">
        <v>889</v>
      </c>
      <c r="L5" s="1071"/>
      <c r="M5" s="1072"/>
    </row>
    <row r="6" spans="1:37" ht="18" customHeight="1">
      <c r="A6" s="1069" t="s">
        <v>398</v>
      </c>
      <c r="B6" s="3656" t="s">
        <v>694</v>
      </c>
      <c r="C6" s="1074">
        <f ca="1">ROUND(F6*F8*F7*(1-F9),0)</f>
        <v>0</v>
      </c>
      <c r="D6" s="155" t="s">
        <v>2106</v>
      </c>
      <c r="E6" s="302" t="s">
        <v>696</v>
      </c>
      <c r="F6" s="303">
        <f ca="1">INDIRECT("'数据-取费表'!u"&amp;$G$1)</f>
        <v>0</v>
      </c>
      <c r="G6" s="1382"/>
      <c r="H6" s="1069" t="s">
        <v>398</v>
      </c>
      <c r="I6" s="3656" t="s">
        <v>694</v>
      </c>
      <c r="J6" s="301">
        <f ca="1">ROUND(M6*M8*M7*(1-M9),0)</f>
        <v>0</v>
      </c>
      <c r="K6" s="1374"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2"/>
      <c r="H7" s="304"/>
      <c r="I7" s="3657"/>
      <c r="J7" s="306"/>
      <c r="K7" s="307"/>
      <c r="L7" s="302" t="s">
        <v>697</v>
      </c>
      <c r="M7" s="303">
        <f ca="1">F7</f>
        <v>0</v>
      </c>
    </row>
    <row r="8" spans="1:37" ht="18" customHeight="1">
      <c r="A8" s="304"/>
      <c r="B8" s="3657"/>
      <c r="C8" s="306"/>
      <c r="D8" s="307"/>
      <c r="E8" s="302" t="s">
        <v>698</v>
      </c>
      <c r="F8" s="303">
        <f ca="1">INDIRECT("'数据-取费表'!ai"&amp;$G$1)</f>
        <v>0</v>
      </c>
      <c r="G8" s="1382"/>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2"/>
      <c r="H9" s="304"/>
      <c r="I9" s="3658"/>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2116</v>
      </c>
      <c r="E10" s="313" t="s">
        <v>701</v>
      </c>
      <c r="F10" s="1114"/>
      <c r="G10" s="1382"/>
      <c r="H10" s="1069" t="s">
        <v>402</v>
      </c>
      <c r="I10" s="1363" t="s">
        <v>700</v>
      </c>
      <c r="J10" s="301">
        <f ca="1">ROUND(IF(M10="押一",J6/12*M11,IF(M10="押二",J6/12*2*M11,IF(M10="押三",J6/12*3*M11,J11*M11))),0)</f>
        <v>0</v>
      </c>
      <c r="K10" s="1375" t="s">
        <v>2118</v>
      </c>
      <c r="L10" s="313" t="s">
        <v>701</v>
      </c>
      <c r="M10" s="1114"/>
    </row>
    <row r="11" spans="1:37" ht="18" customHeight="1">
      <c r="A11" s="308"/>
      <c r="B11" s="1365" t="s">
        <v>890</v>
      </c>
      <c r="C11" s="959"/>
      <c r="D11" s="307"/>
      <c r="E11" s="313" t="s">
        <v>702</v>
      </c>
      <c r="F11" s="314">
        <f ca="1">'数据-取费表'!B39</f>
        <v>1.4999999999999999E-2</v>
      </c>
      <c r="G11" s="1382"/>
      <c r="H11" s="1077"/>
      <c r="I11" s="1365" t="s">
        <v>891</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2"/>
      <c r="H13" s="1079">
        <v>2</v>
      </c>
      <c r="I13" s="1080" t="s">
        <v>704</v>
      </c>
      <c r="J13" s="1068">
        <f ca="1">ROUND(J14*J15,0)</f>
        <v>0</v>
      </c>
      <c r="K13" s="1087" t="s">
        <v>705</v>
      </c>
      <c r="L13" s="1390"/>
      <c r="M13" s="1391"/>
    </row>
    <row r="14" spans="1:37" ht="18" customHeight="1">
      <c r="A14" s="982" t="s">
        <v>397</v>
      </c>
      <c r="B14" s="302" t="s">
        <v>707</v>
      </c>
      <c r="C14" s="318">
        <f ca="1">ROUND(INDIRECT("'数据-取费表'!l"&amp;$G$1)*F43+'数据-取费表'!L14*INDIRECT("'数据-取费表'!S"&amp;$G$1),0)</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0.1</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9" t="s">
        <v>393</v>
      </c>
      <c r="I16" s="1080" t="s">
        <v>714</v>
      </c>
      <c r="J16" s="310">
        <f ca="1">ROUND(J17+J22+J23+J24,0)</f>
        <v>0</v>
      </c>
      <c r="K16" s="1087" t="s">
        <v>715</v>
      </c>
      <c r="L16" s="1088"/>
      <c r="M16" s="1072"/>
    </row>
    <row r="17" spans="1:37" s="1395" customFormat="1" ht="18" customHeight="1">
      <c r="A17" s="982" t="s">
        <v>681</v>
      </c>
      <c r="B17" s="302" t="s">
        <v>716</v>
      </c>
      <c r="C17" s="21">
        <f ca="1">ROUND(F17*(F43+INDIRECT("'数据-取费表'!S"&amp;$G$1)),0)</f>
        <v>0</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0.03</v>
      </c>
      <c r="G18" s="1394"/>
      <c r="H18" s="982"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0.03</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4"/>
      <c r="H24" s="1089" t="s">
        <v>684</v>
      </c>
      <c r="I24" s="1090" t="s">
        <v>728</v>
      </c>
      <c r="J24" s="1091">
        <f ca="1">ROUND(J5*M24,0)</f>
        <v>0</v>
      </c>
      <c r="K24" s="1092" t="s">
        <v>748</v>
      </c>
      <c r="L24" s="1090" t="s">
        <v>744</v>
      </c>
      <c r="M24" s="1086">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0</v>
      </c>
      <c r="D29" s="1092"/>
      <c r="E29" s="1090"/>
      <c r="F29" s="1093"/>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0</v>
      </c>
      <c r="D30" s="1087" t="s">
        <v>715</v>
      </c>
      <c r="E30" s="1088"/>
      <c r="F30" s="1072"/>
      <c r="G30" s="1382"/>
      <c r="H30" s="2693"/>
      <c r="I30" s="1396"/>
      <c r="J30" s="1397"/>
      <c r="K30" s="2472"/>
      <c r="L30" s="2694"/>
      <c r="M30" s="2695"/>
    </row>
    <row r="31" spans="1:37" ht="18" customHeight="1">
      <c r="A31" s="982"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2308</v>
      </c>
      <c r="I31" s="1396"/>
      <c r="J31" s="1397"/>
      <c r="K31" s="2472"/>
      <c r="L31" s="2694"/>
      <c r="M31" s="2695"/>
    </row>
    <row r="32" spans="1:37" ht="18" customHeight="1">
      <c r="A32" s="982" t="s">
        <v>397</v>
      </c>
      <c r="B32" s="302" t="s">
        <v>723</v>
      </c>
      <c r="C32" s="21">
        <f ca="1">IF(项目基本情况!B11="自然人","——",ROUND(C6*F32/(1+'数据-取费表'!C42),0))</f>
        <v>0</v>
      </c>
      <c r="D32" s="1342" t="s">
        <v>724</v>
      </c>
      <c r="E32" s="302" t="s">
        <v>712</v>
      </c>
      <c r="F32" s="331">
        <f>'数据-取费表'!B41</f>
        <v>5.5000000000000007E-2</v>
      </c>
      <c r="G32" s="1382"/>
      <c r="H32" s="2693"/>
      <c r="I32" s="1396"/>
      <c r="J32" s="1397"/>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8" t="s">
        <v>3337</v>
      </c>
      <c r="E33" s="302" t="s">
        <v>712</v>
      </c>
      <c r="F33" s="322">
        <f>IF(D33="按票据","——",IF(D33="按租金收入计税",'数据-取费表'!B51,'数据-取费表'!B50))</f>
        <v>0.12</v>
      </c>
      <c r="G33" s="1382"/>
      <c r="H33" s="2696"/>
      <c r="I33" s="1396"/>
      <c r="J33" s="1397"/>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2"/>
      <c r="H34" s="2693"/>
      <c r="I34" s="1396"/>
      <c r="J34" s="1397"/>
      <c r="K34" s="2698"/>
      <c r="L34" s="2699"/>
      <c r="M34" s="2699"/>
    </row>
    <row r="35" spans="1:18" ht="18" customHeight="1">
      <c r="A35" s="1103"/>
      <c r="B35" s="1101"/>
      <c r="C35" s="26"/>
      <c r="D35" s="327"/>
      <c r="E35" s="302" t="s">
        <v>736</v>
      </c>
      <c r="F35" s="303">
        <f ca="1">INDIRECT("'数据-取费表'!r"&amp;$G$1)</f>
        <v>0</v>
      </c>
      <c r="G35" s="1382"/>
      <c r="H35" s="2693"/>
      <c r="I35" s="1396"/>
      <c r="J35" s="1397"/>
      <c r="K35" s="2697"/>
      <c r="L35" s="2696"/>
      <c r="M35" s="2696"/>
    </row>
    <row r="36" spans="1:18" ht="18" customHeight="1">
      <c r="A36" s="1102" t="s">
        <v>402</v>
      </c>
      <c r="B36" s="302" t="s">
        <v>738</v>
      </c>
      <c r="C36" s="21">
        <f ca="1">ROUND(C29*F36,0)</f>
        <v>0</v>
      </c>
      <c r="D36" s="1342" t="s">
        <v>771</v>
      </c>
      <c r="E36" s="302" t="s">
        <v>712</v>
      </c>
      <c r="F36" s="328">
        <f ca="1">INDIRECT("'数据-取费表'!Ak"&amp;$G$1)</f>
        <v>0</v>
      </c>
      <c r="G36" s="1382"/>
      <c r="H36" s="2696"/>
      <c r="I36" s="1396"/>
      <c r="J36" s="1397"/>
      <c r="K36" s="2541"/>
      <c r="L36" s="2696"/>
      <c r="M36" s="2696"/>
    </row>
    <row r="37" spans="1:18" ht="18" customHeight="1">
      <c r="A37" s="982" t="s">
        <v>437</v>
      </c>
      <c r="B37" s="302" t="s">
        <v>742</v>
      </c>
      <c r="C37" s="21">
        <f ca="1">ROUND(C13*F37,0)</f>
        <v>0</v>
      </c>
      <c r="D37" s="1342" t="s">
        <v>743</v>
      </c>
      <c r="E37" s="302" t="s">
        <v>744</v>
      </c>
      <c r="F37" s="330">
        <f ca="1">INDIRECT("'数据-取费表'!Al"&amp;$G$1)</f>
        <v>0</v>
      </c>
      <c r="G37" s="1382"/>
      <c r="H37" s="2696"/>
      <c r="I37" s="1396"/>
      <c r="J37" s="1397"/>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2"/>
      <c r="H38" s="2696"/>
      <c r="I38" s="1396"/>
      <c r="J38" s="1397"/>
      <c r="K38" s="2700"/>
      <c r="L38" s="2696"/>
      <c r="M38" s="2696"/>
    </row>
    <row r="39" spans="1:18" ht="24.6" customHeight="1" thickTop="1">
      <c r="A39" s="1079" t="s">
        <v>394</v>
      </c>
      <c r="B39" s="1094" t="s">
        <v>772</v>
      </c>
      <c r="C39" s="310">
        <f ca="1">C5-C30</f>
        <v>0</v>
      </c>
      <c r="D39" s="1095" t="s">
        <v>773</v>
      </c>
      <c r="E39" s="1096"/>
      <c r="F39" s="1097"/>
      <c r="G39" s="1382"/>
      <c r="H39" s="2696"/>
      <c r="I39" s="1396"/>
      <c r="J39" s="1397"/>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0"/>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3353</v>
      </c>
      <c r="B45" s="1398"/>
      <c r="C45" s="1470" t="e">
        <f ca="1">ROUND((C68-C40)/10000,4)</f>
        <v>#DIV/0!</v>
      </c>
      <c r="D45" s="3428" t="s">
        <v>3354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978" t="s">
        <v>689</v>
      </c>
      <c r="D47" s="978" t="s">
        <v>690</v>
      </c>
      <c r="E47" s="1058" t="s">
        <v>691</v>
      </c>
      <c r="F47" s="1059"/>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2">
        <f ca="1">ROUND(F49*F51*F50*(1-F52),0)</f>
        <v>0</v>
      </c>
      <c r="D49" s="1055" t="s">
        <v>695</v>
      </c>
      <c r="E49" s="1370" t="s">
        <v>780</v>
      </c>
      <c r="F49" s="1060"/>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980"/>
      <c r="D50" s="953"/>
      <c r="E50" s="1056" t="s">
        <v>697</v>
      </c>
      <c r="F50" s="1057">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0</v>
      </c>
      <c r="K53" s="3654" t="s">
        <v>837</v>
      </c>
      <c r="L53" s="3655"/>
      <c r="O53" s="1416" t="s">
        <v>409</v>
      </c>
      <c r="P53" s="1417" t="s">
        <v>838</v>
      </c>
      <c r="Q53" s="1418" t="e">
        <f ca="1">Q47+Q48</f>
        <v>#DIV/0!</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3337</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ROUND(C48*F66,0)</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4"/>
      <c r="O70" s="1426" t="s">
        <v>412</v>
      </c>
      <c r="P70" s="1465" t="s">
        <v>873</v>
      </c>
      <c r="Q70" s="1418">
        <f ca="1">C13</f>
        <v>0</v>
      </c>
      <c r="R70" s="1418" t="s">
        <v>818</v>
      </c>
    </row>
    <row r="71" spans="1:18" s="1382" customFormat="1" ht="13.5" thickBot="1">
      <c r="A71" s="971" t="s">
        <v>396</v>
      </c>
      <c r="B71" s="972" t="s">
        <v>776</v>
      </c>
      <c r="C71" s="336" t="e">
        <f ca="1">ROUND(C68/F71,0)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3" t="s">
        <v>2317</v>
      </c>
      <c r="B2" s="2839" t="e">
        <f>IF(D2="——",C40,C40+E2)</f>
        <v>#DIV/0!</v>
      </c>
      <c r="C2" s="2840" t="s">
        <v>2318</v>
      </c>
      <c r="D2" s="3439" t="s">
        <v>3360</v>
      </c>
      <c r="E2" s="3440"/>
      <c r="F2" s="2842"/>
      <c r="G2" s="2843"/>
      <c r="H2" s="2844"/>
      <c r="I2" s="2845"/>
      <c r="J2" s="3665" t="s">
        <v>2319</v>
      </c>
      <c r="K2" s="3666"/>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667" t="s">
        <v>2329</v>
      </c>
      <c r="K3" s="3668"/>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667" t="s">
        <v>2331</v>
      </c>
      <c r="K4" s="3668"/>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673" t="s">
        <v>2335</v>
      </c>
      <c r="B6" s="3674"/>
      <c r="C6" s="3675"/>
      <c r="D6" s="2866"/>
      <c r="E6" s="2867"/>
      <c r="F6" s="2868"/>
      <c r="G6" s="2869"/>
      <c r="H6" s="2844"/>
      <c r="I6" s="2845"/>
      <c r="J6" s="3659">
        <v>1</v>
      </c>
      <c r="K6" s="3660"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659"/>
      <c r="K7" s="3661"/>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676" t="s">
        <v>2349</v>
      </c>
      <c r="C8" s="3677"/>
      <c r="D8" s="2885" t="s">
        <v>2350</v>
      </c>
      <c r="E8" s="2886" t="s">
        <v>2351</v>
      </c>
      <c r="F8" s="2887" t="s">
        <v>2352</v>
      </c>
      <c r="G8" s="2888"/>
      <c r="H8" s="2844"/>
      <c r="I8" s="2845"/>
      <c r="J8" s="3659"/>
      <c r="K8" s="3661"/>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676" t="s">
        <v>2355</v>
      </c>
      <c r="C9" s="3677"/>
      <c r="D9" s="2885">
        <f>ROUND(D6*E9,0)</f>
        <v>0</v>
      </c>
      <c r="E9" s="2889"/>
      <c r="F9" s="2890" t="s">
        <v>2356</v>
      </c>
      <c r="G9" s="2869"/>
      <c r="H9" s="2844"/>
      <c r="I9" s="2845"/>
      <c r="J9" s="3659"/>
      <c r="K9" s="3661"/>
      <c r="L9" s="2879" t="s">
        <v>2357</v>
      </c>
      <c r="M9" s="2880"/>
      <c r="N9" s="2856"/>
      <c r="O9" s="2881"/>
      <c r="P9" s="2881"/>
      <c r="Q9" s="2882">
        <v>365</v>
      </c>
      <c r="R9" s="2883">
        <f t="shared" si="0"/>
        <v>0</v>
      </c>
      <c r="S9" s="2837"/>
      <c r="T9" s="2837"/>
      <c r="U9" s="2837"/>
      <c r="V9" s="2845"/>
    </row>
    <row r="10" spans="1:22" s="2849" customFormat="1" ht="13.15" customHeight="1">
      <c r="A10" s="2884">
        <v>2</v>
      </c>
      <c r="B10" s="3676" t="s">
        <v>2358</v>
      </c>
      <c r="C10" s="3677"/>
      <c r="D10" s="2885">
        <f>ROUND(D6*E10,0)</f>
        <v>0</v>
      </c>
      <c r="E10" s="2889"/>
      <c r="F10" s="2890" t="s">
        <v>2359</v>
      </c>
      <c r="G10" s="2869"/>
      <c r="H10" s="2844"/>
      <c r="I10" s="2845"/>
      <c r="J10" s="3659"/>
      <c r="K10" s="3661"/>
      <c r="L10" s="2879" t="s">
        <v>2360</v>
      </c>
      <c r="M10" s="2880"/>
      <c r="N10" s="2856"/>
      <c r="O10" s="2881"/>
      <c r="P10" s="2881"/>
      <c r="Q10" s="2882">
        <v>365</v>
      </c>
      <c r="R10" s="2883">
        <f t="shared" si="0"/>
        <v>0</v>
      </c>
      <c r="S10" s="2837"/>
      <c r="T10" s="2837"/>
      <c r="U10" s="2837"/>
      <c r="V10" s="2845"/>
    </row>
    <row r="11" spans="1:22" s="2849" customFormat="1" ht="13.15" customHeight="1">
      <c r="A11" s="2884">
        <v>3</v>
      </c>
      <c r="B11" s="3676" t="s">
        <v>2361</v>
      </c>
      <c r="C11" s="3677"/>
      <c r="D11" s="2885">
        <f>D12+D14+D15+D16</f>
        <v>0</v>
      </c>
      <c r="E11" s="2891" t="e">
        <f>D11/D6</f>
        <v>#DIV/0!</v>
      </c>
      <c r="F11" s="2887"/>
      <c r="G11" s="2888"/>
      <c r="H11" s="2844"/>
      <c r="I11" s="2845"/>
      <c r="J11" s="3659"/>
      <c r="K11" s="3661"/>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669" t="s">
        <v>2364</v>
      </c>
      <c r="C12" s="3670"/>
      <c r="D12" s="2893">
        <f>ROUND(D13*1.2%*(1-30%),0)</f>
        <v>0</v>
      </c>
      <c r="E12" s="2894">
        <v>1.2E-2</v>
      </c>
      <c r="F12" s="2887" t="s">
        <v>2365</v>
      </c>
      <c r="G12" s="2888"/>
      <c r="H12" s="2844"/>
      <c r="I12" s="2845"/>
      <c r="J12" s="3659"/>
      <c r="K12" s="3661"/>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659"/>
      <c r="K13" s="3661"/>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669" t="s">
        <v>2370</v>
      </c>
      <c r="C14" s="3670"/>
      <c r="D14" s="2893">
        <f>ROUND(E14*B5/10000,0)</f>
        <v>0</v>
      </c>
      <c r="E14" s="2882"/>
      <c r="F14" s="2887" t="s">
        <v>2371</v>
      </c>
      <c r="G14" s="2888"/>
      <c r="H14" s="2844"/>
      <c r="I14" s="2845"/>
      <c r="J14" s="3659"/>
      <c r="K14" s="3662"/>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669" t="s">
        <v>2374</v>
      </c>
      <c r="C15" s="3670"/>
      <c r="D15" s="2893">
        <f>ROUND(D6*E15,0)</f>
        <v>0</v>
      </c>
      <c r="E15" s="2894">
        <v>5.5E-2</v>
      </c>
      <c r="F15" s="2887" t="s">
        <v>2375</v>
      </c>
      <c r="G15" s="2869"/>
      <c r="H15" s="2844"/>
      <c r="I15" s="2845"/>
      <c r="J15" s="3659">
        <v>2</v>
      </c>
      <c r="K15" s="3660"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669" t="s">
        <v>2383</v>
      </c>
      <c r="C16" s="3670"/>
      <c r="D16" s="2904">
        <f>D6*E16</f>
        <v>0</v>
      </c>
      <c r="E16" s="2905"/>
      <c r="F16" s="2890" t="s">
        <v>2384</v>
      </c>
      <c r="G16" s="2869"/>
      <c r="H16" s="2844"/>
      <c r="I16" s="2845"/>
      <c r="J16" s="3659"/>
      <c r="K16" s="3661"/>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671" t="s">
        <v>2386</v>
      </c>
      <c r="C17" s="3672"/>
      <c r="D17" s="2907">
        <f>ROUND(D6*E17,0)</f>
        <v>0</v>
      </c>
      <c r="E17" s="2908"/>
      <c r="F17" s="2909" t="s">
        <v>2387</v>
      </c>
      <c r="G17" s="2869"/>
      <c r="H17" s="2844"/>
      <c r="I17" s="2845"/>
      <c r="J17" s="3659"/>
      <c r="K17" s="3661"/>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659"/>
      <c r="K18" s="3661"/>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659"/>
      <c r="K19" s="3662"/>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59">
        <v>3</v>
      </c>
      <c r="K20" s="3660"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659"/>
      <c r="K21" s="3661"/>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659"/>
      <c r="K22" s="3661"/>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659"/>
      <c r="K23" s="3661"/>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659"/>
      <c r="K24" s="3662"/>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663">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66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665" t="s">
        <v>2319</v>
      </c>
      <c r="K32" s="3666"/>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667" t="s">
        <v>2329</v>
      </c>
      <c r="K33" s="3668"/>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667" t="s">
        <v>2331</v>
      </c>
      <c r="K34" s="366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659">
        <v>1</v>
      </c>
      <c r="K36" s="3660"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659"/>
      <c r="K37" s="3661"/>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59"/>
      <c r="K38" s="3661"/>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659"/>
      <c r="K39" s="3661"/>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659"/>
      <c r="K40" s="3662"/>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3">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66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3"/>
      <c r="G1" s="1487"/>
      <c r="H1" s="1487"/>
      <c r="I1" s="1487"/>
      <c r="J1" s="1487"/>
      <c r="K1" s="1487"/>
      <c r="L1" s="1487"/>
      <c r="M1" s="1487"/>
      <c r="N1" s="1487"/>
      <c r="O1" s="1487"/>
      <c r="P1" s="1487"/>
      <c r="Q1" s="1487"/>
      <c r="R1" s="1487"/>
      <c r="S1" s="1487"/>
    </row>
    <row r="2" spans="1:22" ht="15.75">
      <c r="A2" s="1868" t="s">
        <v>1462</v>
      </c>
      <c r="B2" s="1869">
        <f ca="1">SUMIF(B6:B13,"&lt;&gt;#ref!",B6:B13)</f>
        <v>120731</v>
      </c>
      <c r="C2" s="1870" t="s">
        <v>1651</v>
      </c>
      <c r="D2" s="1871" t="s">
        <v>1652</v>
      </c>
      <c r="E2" s="2604">
        <f>SUM(E6:E13)</f>
        <v>59427.91</v>
      </c>
      <c r="F2" s="2703"/>
      <c r="G2" s="1487"/>
      <c r="H2" s="1487"/>
      <c r="I2" s="1487"/>
      <c r="J2" s="1487"/>
      <c r="K2" s="1487"/>
      <c r="L2" s="1487"/>
      <c r="M2" s="1487"/>
      <c r="N2" s="1487"/>
      <c r="O2" s="1487"/>
      <c r="P2" s="1487"/>
      <c r="Q2" s="1487"/>
      <c r="R2" s="1487"/>
      <c r="S2" s="1487"/>
    </row>
    <row r="3" spans="1:22" ht="15.75">
      <c r="A3" s="1868" t="s">
        <v>686</v>
      </c>
      <c r="B3" s="2598">
        <f ca="1">ROUND(B2*10000/E2,0)</f>
        <v>20316</v>
      </c>
      <c r="C3" s="1870" t="s">
        <v>1659</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600" t="s">
        <v>1653</v>
      </c>
      <c r="B5" s="3678" t="s">
        <v>1654</v>
      </c>
      <c r="C5" s="3679"/>
      <c r="D5" s="2704"/>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120731</v>
      </c>
      <c r="C6" s="1870" t="s">
        <v>1651</v>
      </c>
      <c r="D6" s="2705"/>
      <c r="E6" s="2603">
        <f>IF(OR(A6=0,F6="否"),0,'数据-取费表'!K6+'数据-取费表'!S6)</f>
        <v>59427.91</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5"/>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5"/>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5"/>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5"/>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5"/>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5"/>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6"/>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7"/>
      <c r="H2" s="907"/>
      <c r="I2" s="907"/>
      <c r="J2" s="907"/>
      <c r="K2" s="1882"/>
      <c r="L2" s="2709"/>
      <c r="M2" s="2710"/>
      <c r="N2" s="2710"/>
      <c r="O2" s="2710"/>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59427.91</v>
      </c>
      <c r="E3" s="907"/>
      <c r="F3" s="1886"/>
      <c r="G3" s="907"/>
      <c r="H3" s="907"/>
      <c r="I3" s="907"/>
      <c r="J3" s="907"/>
      <c r="K3" s="1882"/>
      <c r="L3" s="2709"/>
      <c r="M3" s="2710"/>
      <c r="N3" s="2710"/>
      <c r="O3" s="2710"/>
      <c r="P3" s="1883"/>
      <c r="Q3" s="1884"/>
      <c r="R3" s="1884"/>
      <c r="S3" s="1884"/>
      <c r="T3" s="1884"/>
      <c r="U3" s="1884"/>
      <c r="V3" s="1884"/>
      <c r="W3" s="1884"/>
      <c r="X3" s="1884"/>
      <c r="Y3" s="1884"/>
      <c r="Z3" s="1884"/>
      <c r="AA3" s="1884"/>
      <c r="AB3" s="1884"/>
      <c r="AC3" s="1061"/>
    </row>
    <row r="4" spans="1:29" ht="15">
      <c r="A4" s="355" t="s">
        <v>1666</v>
      </c>
      <c r="B4" s="356"/>
      <c r="C4" s="3698" t="s">
        <v>1667</v>
      </c>
      <c r="D4" s="3699"/>
      <c r="E4" s="3700" t="s">
        <v>1668</v>
      </c>
      <c r="F4" s="3701"/>
      <c r="G4" s="3698" t="s">
        <v>1669</v>
      </c>
      <c r="H4" s="3699"/>
      <c r="I4" s="3698" t="s">
        <v>1670</v>
      </c>
      <c r="J4" s="3699"/>
      <c r="K4" s="1887" t="s">
        <v>1671</v>
      </c>
      <c r="L4" s="2711"/>
      <c r="M4" s="2712"/>
      <c r="N4" s="2712"/>
      <c r="O4" s="2712"/>
      <c r="P4" s="3702" t="s">
        <v>1672</v>
      </c>
      <c r="Q4" s="3703"/>
      <c r="R4" s="3708" t="s">
        <v>1668</v>
      </c>
      <c r="S4" s="3709"/>
      <c r="T4" s="3708" t="s">
        <v>1669</v>
      </c>
      <c r="U4" s="3709"/>
      <c r="V4" s="3714" t="s">
        <v>1670</v>
      </c>
      <c r="W4" s="3714"/>
      <c r="X4" s="1353"/>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88"/>
      <c r="L5" s="2711"/>
      <c r="M5" s="2712"/>
      <c r="N5" s="2712"/>
      <c r="O5" s="2712"/>
      <c r="P5" s="3704"/>
      <c r="Q5" s="3705"/>
      <c r="R5" s="3710"/>
      <c r="S5" s="3711"/>
      <c r="T5" s="3710"/>
      <c r="U5" s="3711"/>
      <c r="V5" s="3714"/>
      <c r="W5" s="3714"/>
      <c r="X5" s="1353"/>
      <c r="Y5" s="3710"/>
      <c r="Z5" s="3711"/>
      <c r="AA5" s="3696"/>
      <c r="AB5" s="3696"/>
      <c r="AC5" s="3696"/>
    </row>
    <row r="6" spans="1:29" ht="15.75" thickBot="1">
      <c r="A6" s="360"/>
      <c r="B6" s="361"/>
      <c r="C6" s="3715" t="s">
        <v>1677</v>
      </c>
      <c r="D6" s="3716"/>
      <c r="E6" s="3722" t="s">
        <v>1677</v>
      </c>
      <c r="F6" s="3723"/>
      <c r="G6" s="3715" t="s">
        <v>1677</v>
      </c>
      <c r="H6" s="3716"/>
      <c r="I6" s="3715" t="s">
        <v>1677</v>
      </c>
      <c r="J6" s="3716"/>
      <c r="K6" s="1888" t="s">
        <v>1678</v>
      </c>
      <c r="L6" s="2711"/>
      <c r="M6" s="2712"/>
      <c r="N6" s="2712"/>
      <c r="O6" s="2712"/>
      <c r="P6" s="3706"/>
      <c r="Q6" s="3707"/>
      <c r="R6" s="3710"/>
      <c r="S6" s="3711"/>
      <c r="T6" s="3712"/>
      <c r="U6" s="3713"/>
      <c r="V6" s="3714"/>
      <c r="W6" s="3714"/>
      <c r="X6" s="1353"/>
      <c r="Y6" s="3712"/>
      <c r="Z6" s="3713"/>
      <c r="AA6" s="3697"/>
      <c r="AB6" s="3697"/>
      <c r="AC6" s="3697"/>
    </row>
    <row r="7" spans="1:29" s="108" customFormat="1" ht="15.75" thickBot="1">
      <c r="A7" s="362" t="s">
        <v>1679</v>
      </c>
      <c r="B7" s="363"/>
      <c r="C7" s="364">
        <f>'数据-取费表'!B2</f>
        <v>45631</v>
      </c>
      <c r="D7" s="365">
        <v>100</v>
      </c>
      <c r="E7" s="366"/>
      <c r="F7" s="367">
        <f>SUMIF(58:58,YEAR(E7)&amp;"-"&amp;MONTH(E7),59:59)</f>
        <v>0</v>
      </c>
      <c r="G7" s="366"/>
      <c r="H7" s="365">
        <f>SUMIF(58:58,YEAR(G7)&amp;"-"&amp;MONTH(G7),59:59)</f>
        <v>0</v>
      </c>
      <c r="I7" s="366"/>
      <c r="J7" s="365">
        <f>SUMIF(58:58,YEAR(I7)&amp;"-"&amp;MONTH(I7),59:59)</f>
        <v>0</v>
      </c>
      <c r="K7" s="1889"/>
      <c r="L7" s="2713"/>
      <c r="M7" s="2714"/>
      <c r="N7" s="2714"/>
      <c r="O7" s="2714"/>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3"/>
      <c r="M8" s="2714"/>
      <c r="N8" s="2714"/>
      <c r="O8" s="2714"/>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3"/>
      <c r="M9" s="2714"/>
      <c r="N9" s="2714"/>
      <c r="O9" s="2714"/>
      <c r="P9" s="3694" t="s">
        <v>1686</v>
      </c>
      <c r="Q9" s="1341"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9"/>
      <c r="L10" s="2715"/>
      <c r="M10" s="2716"/>
      <c r="N10" s="2716"/>
      <c r="O10" s="2716"/>
      <c r="P10" s="3694"/>
      <c r="Q10" s="1341"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4"/>
      <c r="Q11" s="1341"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694"/>
      <c r="Q12" s="1341">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694"/>
      <c r="Q13" s="1341">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694"/>
      <c r="Q14" s="1341">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2" t="s">
        <v>1691</v>
      </c>
      <c r="Q15" s="1350" t="str">
        <f t="shared" si="6"/>
        <v>居住社区成熟度</v>
      </c>
      <c r="R15" s="705" t="s">
        <v>18</v>
      </c>
      <c r="S15" s="706">
        <f t="shared" si="0"/>
        <v>100</v>
      </c>
      <c r="T15" s="705" t="s">
        <v>18</v>
      </c>
      <c r="U15" s="706">
        <f t="shared" si="1"/>
        <v>100</v>
      </c>
      <c r="V15" s="705" t="s">
        <v>18</v>
      </c>
      <c r="W15" s="706">
        <f t="shared" si="2"/>
        <v>100</v>
      </c>
      <c r="X15" s="1353"/>
      <c r="Y15" s="368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8"/>
      <c r="M16" s="2712"/>
      <c r="N16" s="2712"/>
      <c r="O16" s="2712"/>
      <c r="P16" s="3693"/>
      <c r="Q16" s="1350"/>
      <c r="R16" s="705"/>
      <c r="S16" s="706"/>
      <c r="T16" s="705"/>
      <c r="U16" s="706"/>
      <c r="V16" s="705"/>
      <c r="W16" s="706"/>
      <c r="X16" s="1353"/>
      <c r="Y16" s="3686"/>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3"/>
      <c r="Q17" s="1350" t="str">
        <f>B17</f>
        <v>交通便捷度</v>
      </c>
      <c r="R17" s="705" t="s">
        <v>18</v>
      </c>
      <c r="S17" s="706">
        <f>F17</f>
        <v>100</v>
      </c>
      <c r="T17" s="705" t="s">
        <v>18</v>
      </c>
      <c r="U17" s="706">
        <f>H17</f>
        <v>100</v>
      </c>
      <c r="V17" s="705" t="s">
        <v>18</v>
      </c>
      <c r="W17" s="706">
        <f>J17</f>
        <v>100</v>
      </c>
      <c r="X17" s="1353"/>
      <c r="Y17" s="368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8"/>
      <c r="M18" s="2712"/>
      <c r="N18" s="2712"/>
      <c r="O18" s="2712"/>
      <c r="P18" s="3693"/>
      <c r="Q18" s="1350"/>
      <c r="R18" s="705"/>
      <c r="S18" s="706"/>
      <c r="T18" s="705"/>
      <c r="U18" s="706"/>
      <c r="V18" s="705"/>
      <c r="W18" s="706"/>
      <c r="X18" s="1353"/>
      <c r="Y18" s="3686"/>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3"/>
      <c r="Q19" s="1350" t="str">
        <f>B19</f>
        <v>公共配套设施</v>
      </c>
      <c r="R19" s="705" t="s">
        <v>18</v>
      </c>
      <c r="S19" s="706">
        <f>F19</f>
        <v>100</v>
      </c>
      <c r="T19" s="705" t="s">
        <v>18</v>
      </c>
      <c r="U19" s="706">
        <f>H19</f>
        <v>100</v>
      </c>
      <c r="V19" s="705" t="s">
        <v>18</v>
      </c>
      <c r="W19" s="706">
        <f>J19</f>
        <v>100</v>
      </c>
      <c r="X19" s="1353"/>
      <c r="Y19" s="368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8"/>
      <c r="M20" s="2712"/>
      <c r="N20" s="2712"/>
      <c r="O20" s="2712"/>
      <c r="P20" s="3693"/>
      <c r="Q20" s="1350"/>
      <c r="R20" s="705"/>
      <c r="S20" s="706"/>
      <c r="T20" s="705"/>
      <c r="U20" s="706"/>
      <c r="V20" s="705"/>
      <c r="W20" s="706"/>
      <c r="X20" s="1353"/>
      <c r="Y20" s="3686"/>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3"/>
      <c r="Q21" s="1350" t="str">
        <f>B21</f>
        <v>基础设施水平</v>
      </c>
      <c r="R21" s="705" t="s">
        <v>14</v>
      </c>
      <c r="S21" s="706">
        <f>F21</f>
        <v>100</v>
      </c>
      <c r="T21" s="705" t="s">
        <v>14</v>
      </c>
      <c r="U21" s="706">
        <f>H21</f>
        <v>100</v>
      </c>
      <c r="V21" s="705" t="s">
        <v>14</v>
      </c>
      <c r="W21" s="706">
        <f>J21</f>
        <v>100</v>
      </c>
      <c r="X21" s="1353"/>
      <c r="Y21" s="368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8"/>
      <c r="M22" s="2712"/>
      <c r="N22" s="2712"/>
      <c r="O22" s="2712"/>
      <c r="P22" s="3693"/>
      <c r="Q22" s="1350"/>
      <c r="R22" s="705"/>
      <c r="S22" s="706"/>
      <c r="T22" s="705"/>
      <c r="U22" s="706"/>
      <c r="V22" s="705"/>
      <c r="W22" s="706"/>
      <c r="X22" s="1353"/>
      <c r="Y22" s="3686"/>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3"/>
      <c r="Q23" s="1350" t="str">
        <f>B23</f>
        <v>自然及人文环境</v>
      </c>
      <c r="R23" s="705" t="s">
        <v>18</v>
      </c>
      <c r="S23" s="706">
        <f>F23</f>
        <v>100</v>
      </c>
      <c r="T23" s="705" t="s">
        <v>18</v>
      </c>
      <c r="U23" s="706">
        <f>H23</f>
        <v>100</v>
      </c>
      <c r="V23" s="705" t="s">
        <v>18</v>
      </c>
      <c r="W23" s="706">
        <f>J23</f>
        <v>100</v>
      </c>
      <c r="X23" s="1353"/>
      <c r="Y23" s="368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8"/>
      <c r="M24" s="2712"/>
      <c r="N24" s="2712"/>
      <c r="O24" s="2712"/>
      <c r="P24" s="3693"/>
      <c r="Q24" s="1350"/>
      <c r="R24" s="705"/>
      <c r="S24" s="706"/>
      <c r="T24" s="705"/>
      <c r="U24" s="706"/>
      <c r="V24" s="705"/>
      <c r="W24" s="706"/>
      <c r="X24" s="1353"/>
      <c r="Y24" s="368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693"/>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8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693"/>
      <c r="Q26" s="1350" t="str">
        <f t="shared" si="11"/>
        <v>朝向</v>
      </c>
      <c r="R26" s="705" t="s">
        <v>18</v>
      </c>
      <c r="S26" s="706">
        <f t="shared" si="12"/>
        <v>100</v>
      </c>
      <c r="T26" s="705" t="s">
        <v>18</v>
      </c>
      <c r="U26" s="706">
        <f t="shared" si="13"/>
        <v>100</v>
      </c>
      <c r="V26" s="705" t="s">
        <v>18</v>
      </c>
      <c r="W26" s="706">
        <f t="shared" si="14"/>
        <v>100</v>
      </c>
      <c r="X26" s="1353"/>
      <c r="Y26" s="368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693"/>
      <c r="Q27" s="1341">
        <f t="shared" si="11"/>
        <v>111</v>
      </c>
      <c r="R27" s="701" t="s">
        <v>18</v>
      </c>
      <c r="S27" s="702">
        <f t="shared" si="12"/>
        <v>100</v>
      </c>
      <c r="T27" s="701" t="s">
        <v>18</v>
      </c>
      <c r="U27" s="702">
        <f t="shared" si="13"/>
        <v>100</v>
      </c>
      <c r="V27" s="701" t="s">
        <v>18</v>
      </c>
      <c r="W27" s="702">
        <f t="shared" si="14"/>
        <v>100</v>
      </c>
      <c r="X27" s="703"/>
      <c r="Y27" s="368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693"/>
      <c r="Q28" s="1350">
        <f t="shared" si="11"/>
        <v>111</v>
      </c>
      <c r="R28" s="705" t="s">
        <v>18</v>
      </c>
      <c r="S28" s="706">
        <f t="shared" si="12"/>
        <v>100</v>
      </c>
      <c r="T28" s="705" t="s">
        <v>18</v>
      </c>
      <c r="U28" s="706">
        <f t="shared" si="13"/>
        <v>100</v>
      </c>
      <c r="V28" s="705" t="s">
        <v>18</v>
      </c>
      <c r="W28" s="706">
        <f t="shared" si="14"/>
        <v>100</v>
      </c>
      <c r="X28" s="1353"/>
      <c r="Y28" s="368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693"/>
      <c r="Q29" s="1350">
        <f t="shared" si="11"/>
        <v>111</v>
      </c>
      <c r="R29" s="705" t="s">
        <v>18</v>
      </c>
      <c r="S29" s="706">
        <f t="shared" si="12"/>
        <v>100</v>
      </c>
      <c r="T29" s="705" t="s">
        <v>18</v>
      </c>
      <c r="U29" s="706">
        <f t="shared" si="13"/>
        <v>100</v>
      </c>
      <c r="V29" s="705" t="s">
        <v>18</v>
      </c>
      <c r="W29" s="706">
        <f t="shared" si="14"/>
        <v>100</v>
      </c>
      <c r="X29" s="1353"/>
      <c r="Y29" s="368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693"/>
      <c r="Q30" s="1350">
        <f t="shared" si="11"/>
        <v>111</v>
      </c>
      <c r="R30" s="705" t="s">
        <v>18</v>
      </c>
      <c r="S30" s="706">
        <f t="shared" si="12"/>
        <v>100</v>
      </c>
      <c r="T30" s="705" t="s">
        <v>18</v>
      </c>
      <c r="U30" s="706">
        <f t="shared" si="13"/>
        <v>100</v>
      </c>
      <c r="V30" s="705" t="s">
        <v>18</v>
      </c>
      <c r="W30" s="706">
        <f t="shared" si="14"/>
        <v>100</v>
      </c>
      <c r="X30" s="1353"/>
      <c r="Y30" s="368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693"/>
      <c r="Q31" s="1350">
        <f t="shared" si="11"/>
        <v>111</v>
      </c>
      <c r="R31" s="705" t="s">
        <v>18</v>
      </c>
      <c r="S31" s="706">
        <f t="shared" si="12"/>
        <v>100</v>
      </c>
      <c r="T31" s="705" t="s">
        <v>18</v>
      </c>
      <c r="U31" s="706">
        <f t="shared" si="13"/>
        <v>100</v>
      </c>
      <c r="V31" s="705" t="s">
        <v>18</v>
      </c>
      <c r="W31" s="706">
        <f t="shared" si="14"/>
        <v>100</v>
      </c>
      <c r="X31" s="1353"/>
      <c r="Y31" s="368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687" t="s">
        <v>1696</v>
      </c>
      <c r="Q32" s="1350" t="str">
        <f t="shared" si="11"/>
        <v>建筑类型</v>
      </c>
      <c r="R32" s="705" t="s">
        <v>18</v>
      </c>
      <c r="S32" s="706">
        <f t="shared" si="12"/>
        <v>100</v>
      </c>
      <c r="T32" s="705" t="s">
        <v>18</v>
      </c>
      <c r="U32" s="706">
        <f t="shared" si="13"/>
        <v>100</v>
      </c>
      <c r="V32" s="705" t="s">
        <v>18</v>
      </c>
      <c r="W32" s="706">
        <f t="shared" si="14"/>
        <v>100</v>
      </c>
      <c r="X32" s="1353"/>
      <c r="Y32" s="369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7"/>
      <c r="M33" s="2719"/>
      <c r="N33" s="2719"/>
      <c r="O33" s="2719"/>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8"/>
      <c r="M34" s="2712"/>
      <c r="N34" s="2712"/>
      <c r="O34" s="2712"/>
      <c r="P34" s="3688"/>
      <c r="Q34" s="1350" t="str">
        <f t="shared" si="11"/>
        <v>建筑结构</v>
      </c>
      <c r="R34" s="705" t="s">
        <v>18</v>
      </c>
      <c r="S34" s="706">
        <f t="shared" si="12"/>
        <v>100</v>
      </c>
      <c r="T34" s="705" t="s">
        <v>18</v>
      </c>
      <c r="U34" s="706">
        <f t="shared" si="13"/>
        <v>100</v>
      </c>
      <c r="V34" s="705" t="s">
        <v>18</v>
      </c>
      <c r="W34" s="706">
        <f t="shared" si="14"/>
        <v>100</v>
      </c>
      <c r="X34" s="1353"/>
      <c r="Y34" s="369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688"/>
      <c r="Q35" s="1350" t="str">
        <f t="shared" si="11"/>
        <v>建筑品质</v>
      </c>
      <c r="R35" s="705" t="s">
        <v>18</v>
      </c>
      <c r="S35" s="706">
        <f t="shared" si="12"/>
        <v>100</v>
      </c>
      <c r="T35" s="705" t="s">
        <v>18</v>
      </c>
      <c r="U35" s="706">
        <f t="shared" si="13"/>
        <v>100</v>
      </c>
      <c r="V35" s="705" t="s">
        <v>18</v>
      </c>
      <c r="W35" s="706">
        <f t="shared" si="14"/>
        <v>100</v>
      </c>
      <c r="X35" s="1353"/>
      <c r="Y35" s="369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688"/>
      <c r="Q36" s="1350" t="str">
        <f t="shared" si="11"/>
        <v>公共部分装修</v>
      </c>
      <c r="R36" s="705" t="s">
        <v>18</v>
      </c>
      <c r="S36" s="706">
        <f t="shared" si="12"/>
        <v>100</v>
      </c>
      <c r="T36" s="705" t="s">
        <v>18</v>
      </c>
      <c r="U36" s="706">
        <f t="shared" si="13"/>
        <v>100</v>
      </c>
      <c r="V36" s="705" t="s">
        <v>18</v>
      </c>
      <c r="W36" s="706">
        <f t="shared" si="14"/>
        <v>100</v>
      </c>
      <c r="X36" s="1353"/>
      <c r="Y36" s="369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88"/>
      <c r="Q37" s="1341"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8"/>
      <c r="M38" s="2712"/>
      <c r="N38" s="2712"/>
      <c r="O38" s="2712"/>
      <c r="P38" s="3688" t="s">
        <v>1696</v>
      </c>
      <c r="Q38" s="1350" t="str">
        <f t="shared" si="11"/>
        <v>物业管理</v>
      </c>
      <c r="R38" s="705" t="s">
        <v>18</v>
      </c>
      <c r="S38" s="706">
        <f t="shared" si="12"/>
        <v>100</v>
      </c>
      <c r="T38" s="705" t="s">
        <v>18</v>
      </c>
      <c r="U38" s="706">
        <f t="shared" si="13"/>
        <v>100</v>
      </c>
      <c r="V38" s="705" t="s">
        <v>18</v>
      </c>
      <c r="W38" s="706">
        <f t="shared" si="14"/>
        <v>100</v>
      </c>
      <c r="X38" s="1353"/>
      <c r="Y38" s="369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8"/>
      <c r="M39" s="2712"/>
      <c r="N39" s="2712"/>
      <c r="O39" s="2712"/>
      <c r="P39" s="3688"/>
      <c r="Q39" s="1350" t="str">
        <f t="shared" si="11"/>
        <v>市政基础设施</v>
      </c>
      <c r="R39" s="705" t="s">
        <v>18</v>
      </c>
      <c r="S39" s="706">
        <f t="shared" si="12"/>
        <v>100</v>
      </c>
      <c r="T39" s="705" t="s">
        <v>18</v>
      </c>
      <c r="U39" s="706">
        <f t="shared" si="13"/>
        <v>100</v>
      </c>
      <c r="V39" s="705" t="s">
        <v>18</v>
      </c>
      <c r="W39" s="706">
        <f t="shared" si="14"/>
        <v>100</v>
      </c>
      <c r="X39" s="1353"/>
      <c r="Y39" s="369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688"/>
      <c r="Q40" s="1350" t="str">
        <f t="shared" si="11"/>
        <v>房型</v>
      </c>
      <c r="R40" s="705" t="s">
        <v>18</v>
      </c>
      <c r="S40" s="706">
        <f t="shared" si="12"/>
        <v>100</v>
      </c>
      <c r="T40" s="705" t="s">
        <v>18</v>
      </c>
      <c r="U40" s="706">
        <f t="shared" si="13"/>
        <v>100</v>
      </c>
      <c r="V40" s="705" t="s">
        <v>18</v>
      </c>
      <c r="W40" s="706">
        <f t="shared" si="14"/>
        <v>100</v>
      </c>
      <c r="X40" s="1353"/>
      <c r="Y40" s="369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8"/>
      <c r="M42" s="2712"/>
      <c r="N42" s="2712"/>
      <c r="O42" s="2712"/>
      <c r="P42" s="3688"/>
      <c r="Q42" s="1350" t="str">
        <f t="shared" si="11"/>
        <v>内部装修</v>
      </c>
      <c r="R42" s="705" t="s">
        <v>18</v>
      </c>
      <c r="S42" s="706">
        <f t="shared" si="12"/>
        <v>100</v>
      </c>
      <c r="T42" s="705" t="s">
        <v>18</v>
      </c>
      <c r="U42" s="706">
        <f t="shared" si="13"/>
        <v>100</v>
      </c>
      <c r="V42" s="705" t="s">
        <v>18</v>
      </c>
      <c r="W42" s="706">
        <f t="shared" si="14"/>
        <v>100</v>
      </c>
      <c r="X42" s="1353"/>
      <c r="Y42" s="369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688"/>
      <c r="Q43" s="1350" t="str">
        <f t="shared" si="11"/>
        <v>内部装修维护情况</v>
      </c>
      <c r="R43" s="705" t="s">
        <v>18</v>
      </c>
      <c r="S43" s="706">
        <f t="shared" si="12"/>
        <v>100</v>
      </c>
      <c r="T43" s="705" t="s">
        <v>18</v>
      </c>
      <c r="U43" s="706">
        <f t="shared" si="13"/>
        <v>100</v>
      </c>
      <c r="V43" s="705" t="s">
        <v>18</v>
      </c>
      <c r="W43" s="706">
        <f t="shared" si="14"/>
        <v>100</v>
      </c>
      <c r="X43" s="1353"/>
      <c r="Y43" s="369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688"/>
      <c r="Q44" s="1341">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688"/>
      <c r="Q45" s="1350">
        <f t="shared" si="11"/>
        <v>111</v>
      </c>
      <c r="R45" s="705" t="s">
        <v>18</v>
      </c>
      <c r="S45" s="706">
        <f t="shared" si="12"/>
        <v>100</v>
      </c>
      <c r="T45" s="705" t="s">
        <v>18</v>
      </c>
      <c r="U45" s="706">
        <f t="shared" si="13"/>
        <v>100</v>
      </c>
      <c r="V45" s="705" t="s">
        <v>18</v>
      </c>
      <c r="W45" s="706">
        <f t="shared" si="14"/>
        <v>100</v>
      </c>
      <c r="X45" s="1353"/>
      <c r="Y45" s="369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689"/>
      <c r="Q46" s="1350">
        <f t="shared" si="11"/>
        <v>111</v>
      </c>
      <c r="R46" s="705" t="s">
        <v>17</v>
      </c>
      <c r="S46" s="706">
        <f t="shared" si="12"/>
        <v>100</v>
      </c>
      <c r="T46" s="705" t="s">
        <v>17</v>
      </c>
      <c r="U46" s="706">
        <f t="shared" si="13"/>
        <v>100</v>
      </c>
      <c r="V46" s="705" t="s">
        <v>17</v>
      </c>
      <c r="W46" s="706">
        <f t="shared" si="14"/>
        <v>100</v>
      </c>
      <c r="X46" s="1353"/>
      <c r="Y46" s="369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0"/>
      <c r="M47" s="2721"/>
      <c r="N47" s="2712"/>
      <c r="O47" s="2721"/>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58" t="e">
        <f>R49</f>
        <v>#DIV/0!</v>
      </c>
      <c r="D48" s="2315" t="s">
        <v>2138</v>
      </c>
      <c r="E48" s="1159" t="e">
        <f>R48</f>
        <v>#DIV/0!</v>
      </c>
      <c r="F48" s="2316"/>
      <c r="G48" s="1158" t="e">
        <f>T48</f>
        <v>#DIV/0!</v>
      </c>
      <c r="H48" s="2316"/>
      <c r="I48" s="1159" t="e">
        <f>V48</f>
        <v>#DIV/0!</v>
      </c>
      <c r="J48" s="2316"/>
      <c r="K48" s="2317">
        <f>F48+H48+J48</f>
        <v>0</v>
      </c>
      <c r="L48" s="2720"/>
      <c r="M48" s="2721"/>
      <c r="N48" s="2721"/>
      <c r="O48" s="2721"/>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0" t="e">
        <f>R49</f>
        <v>#DIV/0!</v>
      </c>
      <c r="D49" s="1161"/>
      <c r="E49" s="1161"/>
      <c r="F49" s="1161"/>
      <c r="G49" s="1161"/>
      <c r="H49" s="1161"/>
      <c r="I49" s="1161"/>
      <c r="J49" s="1161"/>
      <c r="K49" s="1913"/>
      <c r="L49" s="2720"/>
      <c r="M49" s="2721"/>
      <c r="N49" s="2721"/>
      <c r="O49" s="2721"/>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4" t="str">
        <f>YEAR(C7)&amp;"-"&amp;MONTH(C7)</f>
        <v>2024-12</v>
      </c>
      <c r="D58" s="1183">
        <f>EDATE(C58,-1)</f>
        <v>45597</v>
      </c>
      <c r="E58" s="1183">
        <f>EDATE(D58,-1)</f>
        <v>45566</v>
      </c>
      <c r="F58" s="1183">
        <f t="shared" ref="F58:O58" si="19">EDATE(E58,-1)</f>
        <v>45536</v>
      </c>
      <c r="G58" s="1183">
        <f t="shared" si="19"/>
        <v>45505</v>
      </c>
      <c r="H58" s="1183">
        <f t="shared" si="19"/>
        <v>45474</v>
      </c>
      <c r="I58" s="1183">
        <f t="shared" si="19"/>
        <v>45444</v>
      </c>
      <c r="J58" s="1183">
        <f t="shared" si="19"/>
        <v>45413</v>
      </c>
      <c r="K58" s="1183">
        <f t="shared" si="19"/>
        <v>45383</v>
      </c>
      <c r="L58" s="1183">
        <f t="shared" si="19"/>
        <v>45352</v>
      </c>
      <c r="M58" s="1183">
        <f t="shared" si="19"/>
        <v>45323</v>
      </c>
      <c r="N58" s="1183">
        <f t="shared" si="19"/>
        <v>45292</v>
      </c>
      <c r="O58" s="1183">
        <f t="shared" si="19"/>
        <v>45261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2"/>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8"/>
      <c r="H2" s="908"/>
      <c r="I2" s="908"/>
      <c r="J2" s="908"/>
      <c r="K2" s="908"/>
      <c r="L2" s="2730"/>
      <c r="M2" s="2731"/>
      <c r="N2" s="2731"/>
      <c r="O2" s="2731"/>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59427.91</v>
      </c>
      <c r="E3" s="1952"/>
      <c r="F3" s="909"/>
      <c r="G3" s="908"/>
      <c r="H3" s="908"/>
      <c r="I3" s="908"/>
      <c r="J3" s="908"/>
      <c r="K3" s="910"/>
      <c r="L3" s="2730"/>
      <c r="M3" s="2731"/>
      <c r="N3" s="2731"/>
      <c r="O3" s="2731"/>
      <c r="P3" s="1950"/>
      <c r="Q3" s="912"/>
      <c r="R3" s="912"/>
      <c r="S3" s="912"/>
      <c r="T3" s="912"/>
      <c r="U3" s="912"/>
      <c r="V3" s="912"/>
      <c r="W3" s="912"/>
      <c r="X3" s="912"/>
      <c r="Y3" s="912"/>
      <c r="Z3" s="912"/>
      <c r="AA3" s="912"/>
      <c r="AB3" s="912"/>
      <c r="AC3" s="1952"/>
    </row>
    <row r="4" spans="1:29" ht="15">
      <c r="A4" s="355" t="s">
        <v>1769</v>
      </c>
      <c r="B4" s="356"/>
      <c r="C4" s="3698" t="s">
        <v>1770</v>
      </c>
      <c r="D4" s="3699"/>
      <c r="E4" s="3700" t="s">
        <v>1771</v>
      </c>
      <c r="F4" s="3701"/>
      <c r="G4" s="3698" t="s">
        <v>1772</v>
      </c>
      <c r="H4" s="3699"/>
      <c r="I4" s="3698" t="s">
        <v>1773</v>
      </c>
      <c r="J4" s="3699"/>
      <c r="K4" s="559" t="s">
        <v>1774</v>
      </c>
      <c r="L4" s="2711"/>
      <c r="M4" s="2712"/>
      <c r="N4" s="2712"/>
      <c r="O4" s="2712"/>
      <c r="P4" s="3702" t="s">
        <v>1775</v>
      </c>
      <c r="Q4" s="3703"/>
      <c r="R4" s="3708" t="s">
        <v>1771</v>
      </c>
      <c r="S4" s="3709"/>
      <c r="T4" s="3708" t="s">
        <v>1772</v>
      </c>
      <c r="U4" s="3709"/>
      <c r="V4" s="3714" t="s">
        <v>1773</v>
      </c>
      <c r="W4" s="3714"/>
      <c r="X4" s="1353"/>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1"/>
      <c r="M5" s="2712"/>
      <c r="N5" s="2712"/>
      <c r="O5" s="2712"/>
      <c r="P5" s="3704"/>
      <c r="Q5" s="3705"/>
      <c r="R5" s="3710"/>
      <c r="S5" s="3711"/>
      <c r="T5" s="3710"/>
      <c r="U5" s="3711"/>
      <c r="V5" s="3714"/>
      <c r="W5" s="3714"/>
      <c r="X5" s="1353"/>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1"/>
      <c r="M6" s="2712"/>
      <c r="N6" s="2712"/>
      <c r="O6" s="2712"/>
      <c r="P6" s="3706"/>
      <c r="Q6" s="3707"/>
      <c r="R6" s="3710"/>
      <c r="S6" s="3711"/>
      <c r="T6" s="3712"/>
      <c r="U6" s="3713"/>
      <c r="V6" s="3714"/>
      <c r="W6" s="3714"/>
      <c r="X6" s="1353"/>
      <c r="Y6" s="3712"/>
      <c r="Z6" s="3713"/>
      <c r="AA6" s="3697"/>
      <c r="AB6" s="3714"/>
      <c r="AC6" s="3697"/>
    </row>
    <row r="7" spans="1:29" s="108" customFormat="1" ht="15.75" thickBot="1">
      <c r="A7" s="362" t="s">
        <v>1679</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4" t="s">
        <v>1686</v>
      </c>
      <c r="Q9" s="1341"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4"/>
      <c r="Q10" s="1341"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4"/>
      <c r="Q11" s="1341"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4"/>
      <c r="Q12" s="1341">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4"/>
      <c r="Q13" s="1341">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4"/>
      <c r="Q14" s="1341">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2" t="s">
        <v>1691</v>
      </c>
      <c r="Q15" s="1350" t="str">
        <f t="shared" si="6"/>
        <v>商业繁华度</v>
      </c>
      <c r="R15" s="705" t="s">
        <v>14</v>
      </c>
      <c r="S15" s="706">
        <f t="shared" si="0"/>
        <v>100</v>
      </c>
      <c r="T15" s="705" t="s">
        <v>14</v>
      </c>
      <c r="U15" s="706">
        <f t="shared" si="1"/>
        <v>100</v>
      </c>
      <c r="V15" s="705" t="s">
        <v>14</v>
      </c>
      <c r="W15" s="706">
        <f t="shared" si="2"/>
        <v>100</v>
      </c>
      <c r="X15" s="1353"/>
      <c r="Y15" s="3685"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8"/>
      <c r="M16" s="2712"/>
      <c r="N16" s="2712"/>
      <c r="O16" s="2712"/>
      <c r="P16" s="3693"/>
      <c r="Q16" s="1350"/>
      <c r="R16" s="705"/>
      <c r="S16" s="706"/>
      <c r="T16" s="705"/>
      <c r="U16" s="706"/>
      <c r="V16" s="705"/>
      <c r="W16" s="706"/>
      <c r="X16" s="1353"/>
      <c r="Y16" s="3686"/>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93"/>
      <c r="Q17" s="1350" t="str">
        <f>B17</f>
        <v>交通便捷度</v>
      </c>
      <c r="R17" s="705" t="s">
        <v>14</v>
      </c>
      <c r="S17" s="706">
        <f>F17</f>
        <v>100</v>
      </c>
      <c r="T17" s="705" t="s">
        <v>14</v>
      </c>
      <c r="U17" s="706">
        <f>H17</f>
        <v>100</v>
      </c>
      <c r="V17" s="705" t="s">
        <v>14</v>
      </c>
      <c r="W17" s="706">
        <f>J17</f>
        <v>100</v>
      </c>
      <c r="X17" s="1353"/>
      <c r="Y17" s="368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8"/>
      <c r="M18" s="2712"/>
      <c r="N18" s="2712"/>
      <c r="O18" s="2712"/>
      <c r="P18" s="3693"/>
      <c r="Q18" s="1350"/>
      <c r="R18" s="705"/>
      <c r="S18" s="706"/>
      <c r="T18" s="705"/>
      <c r="U18" s="706"/>
      <c r="V18" s="705"/>
      <c r="W18" s="706"/>
      <c r="X18" s="1353"/>
      <c r="Y18" s="3686"/>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3"/>
      <c r="Q19" s="1350" t="str">
        <f>B19</f>
        <v>公共配套设施</v>
      </c>
      <c r="R19" s="705" t="s">
        <v>14</v>
      </c>
      <c r="S19" s="706">
        <f>F19</f>
        <v>100</v>
      </c>
      <c r="T19" s="705" t="s">
        <v>14</v>
      </c>
      <c r="U19" s="706">
        <f>H19</f>
        <v>100</v>
      </c>
      <c r="V19" s="705" t="s">
        <v>14</v>
      </c>
      <c r="W19" s="706">
        <f>J19</f>
        <v>100</v>
      </c>
      <c r="X19" s="1353"/>
      <c r="Y19" s="368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8"/>
      <c r="M20" s="2712"/>
      <c r="N20" s="2712"/>
      <c r="O20" s="2712"/>
      <c r="P20" s="3693"/>
      <c r="Q20" s="1350"/>
      <c r="R20" s="705"/>
      <c r="S20" s="706"/>
      <c r="T20" s="705"/>
      <c r="U20" s="706"/>
      <c r="V20" s="705"/>
      <c r="W20" s="706"/>
      <c r="X20" s="1353"/>
      <c r="Y20" s="3686"/>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3"/>
      <c r="Q21" s="1350" t="str">
        <f>B21</f>
        <v>基础设施水平</v>
      </c>
      <c r="R21" s="705" t="s">
        <v>14</v>
      </c>
      <c r="S21" s="706">
        <f>F21</f>
        <v>100</v>
      </c>
      <c r="T21" s="705" t="s">
        <v>14</v>
      </c>
      <c r="U21" s="706">
        <f>H21</f>
        <v>100</v>
      </c>
      <c r="V21" s="705" t="s">
        <v>14</v>
      </c>
      <c r="W21" s="706">
        <f>J21</f>
        <v>100</v>
      </c>
      <c r="X21" s="1353"/>
      <c r="Y21" s="368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8"/>
      <c r="M22" s="2712"/>
      <c r="N22" s="2712"/>
      <c r="O22" s="2712"/>
      <c r="P22" s="3693"/>
      <c r="Q22" s="1350"/>
      <c r="R22" s="705"/>
      <c r="S22" s="706"/>
      <c r="T22" s="705"/>
      <c r="U22" s="706"/>
      <c r="V22" s="705"/>
      <c r="W22" s="706"/>
      <c r="X22" s="1353"/>
      <c r="Y22" s="3686"/>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3"/>
      <c r="Q23" s="1350" t="str">
        <f>B23</f>
        <v>自然及人文环境</v>
      </c>
      <c r="R23" s="705" t="s">
        <v>14</v>
      </c>
      <c r="S23" s="706">
        <f>F23</f>
        <v>100</v>
      </c>
      <c r="T23" s="705" t="s">
        <v>14</v>
      </c>
      <c r="U23" s="706">
        <f>H23</f>
        <v>100</v>
      </c>
      <c r="V23" s="705" t="s">
        <v>14</v>
      </c>
      <c r="W23" s="706">
        <f>J23</f>
        <v>100</v>
      </c>
      <c r="X23" s="1353"/>
      <c r="Y23" s="368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8"/>
      <c r="M24" s="2712"/>
      <c r="N24" s="2712"/>
      <c r="O24" s="2712"/>
      <c r="P24" s="3693"/>
      <c r="Q24" s="1350"/>
      <c r="R24" s="705"/>
      <c r="S24" s="706"/>
      <c r="T24" s="705"/>
      <c r="U24" s="706"/>
      <c r="V24" s="705"/>
      <c r="W24" s="706"/>
      <c r="X24" s="1353"/>
      <c r="Y24" s="368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3"/>
      <c r="Q25" s="1350" t="str">
        <f t="shared" ref="Q25:Q46" si="11">B25</f>
        <v>临街状况</v>
      </c>
      <c r="R25" s="705" t="s">
        <v>14</v>
      </c>
      <c r="S25" s="706">
        <f>F25</f>
        <v>100</v>
      </c>
      <c r="T25" s="705" t="s">
        <v>14</v>
      </c>
      <c r="U25" s="706">
        <f>H25</f>
        <v>100</v>
      </c>
      <c r="V25" s="705" t="s">
        <v>14</v>
      </c>
      <c r="W25" s="706">
        <f>J25</f>
        <v>100</v>
      </c>
      <c r="X25" s="1353"/>
      <c r="Y25" s="368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3"/>
      <c r="Q26" s="1350" t="str">
        <f t="shared" si="11"/>
        <v>平面位置/可视性</v>
      </c>
      <c r="R26" s="705" t="s">
        <v>14</v>
      </c>
      <c r="S26" s="706">
        <f>F26</f>
        <v>100</v>
      </c>
      <c r="T26" s="705" t="s">
        <v>14</v>
      </c>
      <c r="U26" s="706">
        <f>H26</f>
        <v>100</v>
      </c>
      <c r="V26" s="705" t="s">
        <v>14</v>
      </c>
      <c r="W26" s="706">
        <f>J26</f>
        <v>100</v>
      </c>
      <c r="X26" s="1353"/>
      <c r="Y26" s="368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3"/>
      <c r="M27" s="2714"/>
      <c r="N27" s="2714"/>
      <c r="O27" s="2714"/>
      <c r="P27" s="3693"/>
      <c r="Q27" s="1341" t="str">
        <f t="shared" si="11"/>
        <v>人流量</v>
      </c>
      <c r="R27" s="701" t="s">
        <v>14</v>
      </c>
      <c r="S27" s="702">
        <f>F27</f>
        <v>100</v>
      </c>
      <c r="T27" s="701" t="s">
        <v>14</v>
      </c>
      <c r="U27" s="702">
        <f>H27</f>
        <v>100</v>
      </c>
      <c r="V27" s="701" t="s">
        <v>14</v>
      </c>
      <c r="W27" s="702">
        <f>J27</f>
        <v>100</v>
      </c>
      <c r="X27" s="703"/>
      <c r="Y27" s="368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3"/>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8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3"/>
      <c r="Q29" s="1350">
        <f t="shared" si="11"/>
        <v>111</v>
      </c>
      <c r="R29" s="705" t="s">
        <v>14</v>
      </c>
      <c r="S29" s="706">
        <f t="shared" si="12"/>
        <v>100</v>
      </c>
      <c r="T29" s="705" t="s">
        <v>14</v>
      </c>
      <c r="U29" s="706">
        <f t="shared" si="13"/>
        <v>100</v>
      </c>
      <c r="V29" s="705" t="s">
        <v>14</v>
      </c>
      <c r="W29" s="706">
        <f t="shared" si="14"/>
        <v>100</v>
      </c>
      <c r="X29" s="1353"/>
      <c r="Y29" s="368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3"/>
      <c r="Q30" s="1350">
        <f t="shared" si="11"/>
        <v>111</v>
      </c>
      <c r="R30" s="705" t="s">
        <v>14</v>
      </c>
      <c r="S30" s="706">
        <f t="shared" si="12"/>
        <v>100</v>
      </c>
      <c r="T30" s="705" t="s">
        <v>14</v>
      </c>
      <c r="U30" s="706">
        <f t="shared" si="13"/>
        <v>100</v>
      </c>
      <c r="V30" s="705" t="s">
        <v>14</v>
      </c>
      <c r="W30" s="706">
        <f t="shared" si="14"/>
        <v>100</v>
      </c>
      <c r="X30" s="1353"/>
      <c r="Y30" s="368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3"/>
      <c r="Q31" s="1350">
        <f t="shared" si="11"/>
        <v>111</v>
      </c>
      <c r="R31" s="705" t="s">
        <v>14</v>
      </c>
      <c r="S31" s="706">
        <f t="shared" si="12"/>
        <v>100</v>
      </c>
      <c r="T31" s="705" t="s">
        <v>14</v>
      </c>
      <c r="U31" s="706">
        <f t="shared" si="13"/>
        <v>100</v>
      </c>
      <c r="V31" s="705" t="s">
        <v>14</v>
      </c>
      <c r="W31" s="706">
        <f t="shared" si="14"/>
        <v>100</v>
      </c>
      <c r="X31" s="1353"/>
      <c r="Y31" s="368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687" t="s">
        <v>1696</v>
      </c>
      <c r="Q32" s="1350" t="str">
        <f t="shared" si="11"/>
        <v>商业类型</v>
      </c>
      <c r="R32" s="705" t="s">
        <v>14</v>
      </c>
      <c r="S32" s="706">
        <f t="shared" si="12"/>
        <v>100</v>
      </c>
      <c r="T32" s="705" t="s">
        <v>14</v>
      </c>
      <c r="U32" s="706">
        <f t="shared" si="13"/>
        <v>100</v>
      </c>
      <c r="V32" s="705" t="s">
        <v>14</v>
      </c>
      <c r="W32" s="706">
        <f t="shared" si="14"/>
        <v>100</v>
      </c>
      <c r="X32" s="1353"/>
      <c r="Y32" s="3690"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688"/>
      <c r="Q34" s="1350" t="str">
        <f t="shared" si="11"/>
        <v>建筑结构</v>
      </c>
      <c r="R34" s="705" t="s">
        <v>14</v>
      </c>
      <c r="S34" s="706">
        <f t="shared" si="12"/>
        <v>100</v>
      </c>
      <c r="T34" s="705" t="s">
        <v>14</v>
      </c>
      <c r="U34" s="706">
        <f t="shared" si="13"/>
        <v>100</v>
      </c>
      <c r="V34" s="705" t="s">
        <v>14</v>
      </c>
      <c r="W34" s="706">
        <f t="shared" si="14"/>
        <v>100</v>
      </c>
      <c r="X34" s="1353"/>
      <c r="Y34" s="369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688"/>
      <c r="Q35" s="1350" t="str">
        <f t="shared" si="11"/>
        <v>公共部分装修</v>
      </c>
      <c r="R35" s="705" t="s">
        <v>14</v>
      </c>
      <c r="S35" s="706">
        <f t="shared" si="12"/>
        <v>100</v>
      </c>
      <c r="T35" s="705" t="s">
        <v>14</v>
      </c>
      <c r="U35" s="706">
        <f t="shared" si="13"/>
        <v>100</v>
      </c>
      <c r="V35" s="705" t="s">
        <v>14</v>
      </c>
      <c r="W35" s="706">
        <f t="shared" si="14"/>
        <v>100</v>
      </c>
      <c r="X35" s="1353"/>
      <c r="Y35" s="3690"/>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88"/>
      <c r="Q36" s="1350" t="str">
        <f t="shared" si="11"/>
        <v>成新度</v>
      </c>
      <c r="R36" s="705" t="s">
        <v>14</v>
      </c>
      <c r="S36" s="706" t="e">
        <f t="shared" si="12"/>
        <v>#N/A</v>
      </c>
      <c r="T36" s="705" t="s">
        <v>14</v>
      </c>
      <c r="U36" s="706" t="e">
        <f t="shared" si="13"/>
        <v>#N/A</v>
      </c>
      <c r="V36" s="705" t="s">
        <v>14</v>
      </c>
      <c r="W36" s="706" t="e">
        <f t="shared" si="14"/>
        <v>#N/A</v>
      </c>
      <c r="X36" s="1353"/>
      <c r="Y36" s="3690"/>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688"/>
      <c r="Q37" s="1341"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688" t="s">
        <v>1696</v>
      </c>
      <c r="Q38" s="1350" t="str">
        <f t="shared" si="11"/>
        <v>业态</v>
      </c>
      <c r="R38" s="705" t="s">
        <v>14</v>
      </c>
      <c r="S38" s="706">
        <f t="shared" si="12"/>
        <v>100</v>
      </c>
      <c r="T38" s="705" t="s">
        <v>14</v>
      </c>
      <c r="U38" s="706">
        <f t="shared" si="13"/>
        <v>100</v>
      </c>
      <c r="V38" s="705" t="s">
        <v>14</v>
      </c>
      <c r="W38" s="706">
        <f t="shared" si="14"/>
        <v>100</v>
      </c>
      <c r="X38" s="1353"/>
      <c r="Y38" s="369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688"/>
      <c r="Q39" s="1350" t="str">
        <f t="shared" si="11"/>
        <v>层高</v>
      </c>
      <c r="R39" s="705" t="s">
        <v>14</v>
      </c>
      <c r="S39" s="706">
        <f t="shared" si="12"/>
        <v>100</v>
      </c>
      <c r="T39" s="705" t="s">
        <v>14</v>
      </c>
      <c r="U39" s="706">
        <f t="shared" si="13"/>
        <v>100</v>
      </c>
      <c r="V39" s="705" t="s">
        <v>14</v>
      </c>
      <c r="W39" s="706">
        <f t="shared" si="14"/>
        <v>100</v>
      </c>
      <c r="X39" s="1353"/>
      <c r="Y39" s="369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88"/>
      <c r="Q40" s="1350" t="str">
        <f t="shared" si="11"/>
        <v>单套建筑面积</v>
      </c>
      <c r="R40" s="705" t="s">
        <v>14</v>
      </c>
      <c r="S40" s="706">
        <f t="shared" si="12"/>
        <v>100</v>
      </c>
      <c r="T40" s="705" t="s">
        <v>14</v>
      </c>
      <c r="U40" s="706">
        <f t="shared" si="13"/>
        <v>100</v>
      </c>
      <c r="V40" s="705" t="s">
        <v>14</v>
      </c>
      <c r="W40" s="706">
        <f t="shared" si="14"/>
        <v>100</v>
      </c>
      <c r="X40" s="1353"/>
      <c r="Y40" s="369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688"/>
      <c r="Q42" s="1350" t="str">
        <f t="shared" si="11"/>
        <v>内部装修</v>
      </c>
      <c r="R42" s="705" t="s">
        <v>14</v>
      </c>
      <c r="S42" s="706">
        <f t="shared" si="12"/>
        <v>100</v>
      </c>
      <c r="T42" s="705" t="s">
        <v>14</v>
      </c>
      <c r="U42" s="706">
        <f t="shared" si="13"/>
        <v>100</v>
      </c>
      <c r="V42" s="705" t="s">
        <v>14</v>
      </c>
      <c r="W42" s="706">
        <f t="shared" si="14"/>
        <v>100</v>
      </c>
      <c r="X42" s="1353"/>
      <c r="Y42" s="369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688"/>
      <c r="Q43" s="1350" t="str">
        <f t="shared" si="11"/>
        <v>内部装修维护情况</v>
      </c>
      <c r="R43" s="705" t="s">
        <v>14</v>
      </c>
      <c r="S43" s="706">
        <f t="shared" si="12"/>
        <v>100</v>
      </c>
      <c r="T43" s="705" t="s">
        <v>14</v>
      </c>
      <c r="U43" s="706">
        <f t="shared" si="13"/>
        <v>100</v>
      </c>
      <c r="V43" s="705" t="s">
        <v>14</v>
      </c>
      <c r="W43" s="706">
        <f t="shared" si="14"/>
        <v>100</v>
      </c>
      <c r="X43" s="1353"/>
      <c r="Y43" s="369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88"/>
      <c r="Q44" s="1341">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88"/>
      <c r="Q45" s="1350">
        <f t="shared" si="11"/>
        <v>111</v>
      </c>
      <c r="R45" s="705" t="s">
        <v>14</v>
      </c>
      <c r="S45" s="706">
        <f t="shared" si="12"/>
        <v>100</v>
      </c>
      <c r="T45" s="705" t="s">
        <v>14</v>
      </c>
      <c r="U45" s="706">
        <f t="shared" si="13"/>
        <v>100</v>
      </c>
      <c r="V45" s="705" t="s">
        <v>14</v>
      </c>
      <c r="W45" s="706">
        <f t="shared" si="14"/>
        <v>100</v>
      </c>
      <c r="X45" s="1353"/>
      <c r="Y45" s="369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89"/>
      <c r="Q46" s="1350">
        <f t="shared" si="11"/>
        <v>111</v>
      </c>
      <c r="R46" s="705" t="s">
        <v>14</v>
      </c>
      <c r="S46" s="706">
        <f t="shared" si="12"/>
        <v>100</v>
      </c>
      <c r="T46" s="705" t="s">
        <v>14</v>
      </c>
      <c r="U46" s="706">
        <f t="shared" si="13"/>
        <v>100</v>
      </c>
      <c r="V46" s="705" t="s">
        <v>14</v>
      </c>
      <c r="W46" s="706">
        <f t="shared" si="14"/>
        <v>100</v>
      </c>
      <c r="X46" s="1353"/>
      <c r="Y46" s="3691"/>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4"/>
      <c r="L47" s="2720"/>
      <c r="M47" s="2721"/>
      <c r="N47" s="2712"/>
      <c r="O47" s="2721"/>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58" t="e">
        <f>R49</f>
        <v>#DIV/0!</v>
      </c>
      <c r="D48" s="2315" t="s">
        <v>2138</v>
      </c>
      <c r="E48" s="1159" t="e">
        <f>R48</f>
        <v>#DIV/0!</v>
      </c>
      <c r="F48" s="2316"/>
      <c r="G48" s="1158" t="e">
        <f>T48</f>
        <v>#DIV/0!</v>
      </c>
      <c r="H48" s="2316"/>
      <c r="I48" s="1159" t="e">
        <f>V48</f>
        <v>#DIV/0!</v>
      </c>
      <c r="J48" s="2316"/>
      <c r="K48" s="2318">
        <f>F48+H48+J48</f>
        <v>0</v>
      </c>
      <c r="L48" s="2720"/>
      <c r="M48" s="2721"/>
      <c r="N48" s="2712"/>
      <c r="O48" s="2721"/>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1" t="e">
        <f>R49</f>
        <v>#DIV/0!</v>
      </c>
      <c r="D49" s="1161"/>
      <c r="E49" s="1161"/>
      <c r="F49" s="1161"/>
      <c r="G49" s="1161"/>
      <c r="H49" s="1161"/>
      <c r="I49" s="1161"/>
      <c r="J49" s="1161"/>
      <c r="K49" s="715"/>
      <c r="L49" s="2720"/>
      <c r="M49" s="2721"/>
      <c r="N49" s="2712"/>
      <c r="O49" s="2721"/>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2" t="str">
        <f>YEAR(C7)&amp;"-"&amp;MONTH(C7)</f>
        <v>2024-12</v>
      </c>
      <c r="D58" s="1183">
        <f>EDATE(C58,-1)</f>
        <v>45597</v>
      </c>
      <c r="E58" s="1183">
        <f t="shared" ref="E58:N58" si="16">EDATE(D58,-1)</f>
        <v>45566</v>
      </c>
      <c r="F58" s="1183">
        <f t="shared" si="16"/>
        <v>45536</v>
      </c>
      <c r="G58" s="1183">
        <f t="shared" si="16"/>
        <v>45505</v>
      </c>
      <c r="H58" s="1183">
        <f t="shared" si="16"/>
        <v>45474</v>
      </c>
      <c r="I58" s="1183">
        <f t="shared" si="16"/>
        <v>45444</v>
      </c>
      <c r="J58" s="1183">
        <f t="shared" si="16"/>
        <v>45413</v>
      </c>
      <c r="K58" s="1183">
        <f t="shared" si="16"/>
        <v>45383</v>
      </c>
      <c r="L58" s="1183">
        <f t="shared" si="16"/>
        <v>45352</v>
      </c>
      <c r="M58" s="1183">
        <f t="shared" si="16"/>
        <v>45323</v>
      </c>
      <c r="N58" s="1183">
        <f t="shared" si="16"/>
        <v>45292</v>
      </c>
      <c r="O58" s="1183">
        <f>EDATE(N58,-1)</f>
        <v>45261</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7"/>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59427.91</v>
      </c>
      <c r="E3" s="1952"/>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1"/>
      <c r="M4" s="2712"/>
      <c r="N4" s="2712"/>
      <c r="O4" s="2712"/>
      <c r="P4" s="3732" t="s">
        <v>1775</v>
      </c>
      <c r="Q4" s="3733"/>
      <c r="R4" s="3736" t="s">
        <v>1771</v>
      </c>
      <c r="S4" s="3737"/>
      <c r="T4" s="3736" t="s">
        <v>1772</v>
      </c>
      <c r="U4" s="3737"/>
      <c r="V4" s="3738" t="s">
        <v>1773</v>
      </c>
      <c r="W4" s="3738"/>
      <c r="X4" s="1956"/>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1"/>
      <c r="M5" s="2712"/>
      <c r="N5" s="2712"/>
      <c r="O5" s="2712"/>
      <c r="P5" s="3734"/>
      <c r="Q5" s="3705"/>
      <c r="R5" s="3710"/>
      <c r="S5" s="3711"/>
      <c r="T5" s="3710"/>
      <c r="U5" s="3711"/>
      <c r="V5" s="3714"/>
      <c r="W5" s="3714"/>
      <c r="X5" s="1353"/>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1"/>
      <c r="M6" s="2712"/>
      <c r="N6" s="2712"/>
      <c r="O6" s="2712"/>
      <c r="P6" s="3735"/>
      <c r="Q6" s="3707"/>
      <c r="R6" s="3710"/>
      <c r="S6" s="3711"/>
      <c r="T6" s="3712"/>
      <c r="U6" s="3713"/>
      <c r="V6" s="3714"/>
      <c r="W6" s="3714"/>
      <c r="X6" s="1353"/>
      <c r="Y6" s="3712"/>
      <c r="Z6" s="3713"/>
      <c r="AA6" s="3697"/>
      <c r="AB6" s="3697"/>
      <c r="AC6" s="3731"/>
    </row>
    <row r="7" spans="1:29" s="108" customFormat="1" ht="15.75" thickBot="1">
      <c r="A7" s="362" t="s">
        <v>1679</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4" t="s">
        <v>1686</v>
      </c>
      <c r="Q9" s="1341"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7">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4"/>
      <c r="Q10" s="1341"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4"/>
      <c r="Q11" s="1341"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694"/>
      <c r="Q12" s="1341">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694"/>
      <c r="Q13" s="1341">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8"/>
      <c r="M14" s="2712"/>
      <c r="N14" s="2712"/>
      <c r="O14" s="2712"/>
      <c r="P14" s="3694"/>
      <c r="Q14" s="1341">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2" t="s">
        <v>1691</v>
      </c>
      <c r="Q15" s="1350" t="str">
        <f t="shared" si="6"/>
        <v>办公集聚程度</v>
      </c>
      <c r="R15" s="705" t="s">
        <v>14</v>
      </c>
      <c r="S15" s="706">
        <f t="shared" si="0"/>
        <v>100</v>
      </c>
      <c r="T15" s="705" t="s">
        <v>14</v>
      </c>
      <c r="U15" s="706">
        <f t="shared" si="1"/>
        <v>100</v>
      </c>
      <c r="V15" s="705" t="s">
        <v>14</v>
      </c>
      <c r="W15" s="706">
        <f t="shared" si="2"/>
        <v>100</v>
      </c>
      <c r="X15" s="1353"/>
      <c r="Y15" s="3685"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8"/>
      <c r="M16" s="2712"/>
      <c r="N16" s="2712"/>
      <c r="O16" s="2712"/>
      <c r="P16" s="3693"/>
      <c r="Q16" s="1350"/>
      <c r="R16" s="705"/>
      <c r="S16" s="706"/>
      <c r="T16" s="705"/>
      <c r="U16" s="706"/>
      <c r="V16" s="705"/>
      <c r="W16" s="706"/>
      <c r="X16" s="1353"/>
      <c r="Y16" s="3686"/>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3"/>
      <c r="Q17" s="1350" t="str">
        <f>B17</f>
        <v>交通便捷度</v>
      </c>
      <c r="R17" s="705" t="s">
        <v>14</v>
      </c>
      <c r="S17" s="706">
        <f>F17</f>
        <v>100</v>
      </c>
      <c r="T17" s="705" t="s">
        <v>14</v>
      </c>
      <c r="U17" s="706">
        <f>H17</f>
        <v>100</v>
      </c>
      <c r="V17" s="705" t="s">
        <v>14</v>
      </c>
      <c r="W17" s="706">
        <f>J17</f>
        <v>100</v>
      </c>
      <c r="X17" s="1353"/>
      <c r="Y17" s="3686"/>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8"/>
      <c r="M18" s="2712"/>
      <c r="N18" s="2712"/>
      <c r="O18" s="2712"/>
      <c r="P18" s="3693"/>
      <c r="Q18" s="1350"/>
      <c r="R18" s="705"/>
      <c r="S18" s="706"/>
      <c r="T18" s="705"/>
      <c r="U18" s="706"/>
      <c r="V18" s="705"/>
      <c r="W18" s="706"/>
      <c r="X18" s="1353"/>
      <c r="Y18" s="3686"/>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3"/>
      <c r="Q19" s="1350" t="str">
        <f>B19</f>
        <v>公共配套设施</v>
      </c>
      <c r="R19" s="705" t="s">
        <v>14</v>
      </c>
      <c r="S19" s="706">
        <f>F19</f>
        <v>100</v>
      </c>
      <c r="T19" s="705" t="s">
        <v>14</v>
      </c>
      <c r="U19" s="706">
        <f>H19</f>
        <v>100</v>
      </c>
      <c r="V19" s="705" t="s">
        <v>14</v>
      </c>
      <c r="W19" s="706">
        <f>J19</f>
        <v>100</v>
      </c>
      <c r="X19" s="1353"/>
      <c r="Y19" s="3686"/>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8"/>
      <c r="M20" s="2712"/>
      <c r="N20" s="2712"/>
      <c r="O20" s="2712"/>
      <c r="P20" s="3693"/>
      <c r="Q20" s="1350"/>
      <c r="R20" s="705"/>
      <c r="S20" s="706"/>
      <c r="T20" s="705"/>
      <c r="U20" s="706"/>
      <c r="V20" s="705"/>
      <c r="W20" s="706"/>
      <c r="X20" s="1353"/>
      <c r="Y20" s="3686"/>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3"/>
      <c r="Q21" s="1350" t="str">
        <f>B21</f>
        <v>基础设施水平</v>
      </c>
      <c r="R21" s="705" t="s">
        <v>14</v>
      </c>
      <c r="S21" s="706">
        <f>F21</f>
        <v>100</v>
      </c>
      <c r="T21" s="705" t="s">
        <v>14</v>
      </c>
      <c r="U21" s="706">
        <f>H21</f>
        <v>100</v>
      </c>
      <c r="V21" s="705" t="s">
        <v>14</v>
      </c>
      <c r="W21" s="706">
        <f>J21</f>
        <v>100</v>
      </c>
      <c r="X21" s="1353"/>
      <c r="Y21" s="3686"/>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18"/>
      <c r="M22" s="2712"/>
      <c r="N22" s="2712"/>
      <c r="O22" s="2712"/>
      <c r="P22" s="3693"/>
      <c r="Q22" s="1350"/>
      <c r="R22" s="705"/>
      <c r="S22" s="706"/>
      <c r="T22" s="705"/>
      <c r="U22" s="706"/>
      <c r="V22" s="705"/>
      <c r="W22" s="706"/>
      <c r="X22" s="1353"/>
      <c r="Y22" s="3686"/>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3"/>
      <c r="Q23" s="1350" t="str">
        <f>B23</f>
        <v>环境质量</v>
      </c>
      <c r="R23" s="705" t="s">
        <v>14</v>
      </c>
      <c r="S23" s="706">
        <f>F23</f>
        <v>100</v>
      </c>
      <c r="T23" s="705" t="s">
        <v>14</v>
      </c>
      <c r="U23" s="706">
        <f>H23</f>
        <v>100</v>
      </c>
      <c r="V23" s="705" t="s">
        <v>14</v>
      </c>
      <c r="W23" s="706">
        <f>J23</f>
        <v>100</v>
      </c>
      <c r="X23" s="1353"/>
      <c r="Y23" s="3686"/>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8"/>
      <c r="M24" s="2712"/>
      <c r="N24" s="2712"/>
      <c r="O24" s="2712"/>
      <c r="P24" s="3693"/>
      <c r="Q24" s="1350"/>
      <c r="R24" s="705"/>
      <c r="S24" s="706"/>
      <c r="T24" s="705"/>
      <c r="U24" s="706"/>
      <c r="V24" s="705"/>
      <c r="W24" s="706"/>
      <c r="X24" s="1353"/>
      <c r="Y24" s="368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693"/>
      <c r="Q25" s="1350" t="str">
        <f>B25</f>
        <v>毗邻道路的类型与等级</v>
      </c>
      <c r="R25" s="705" t="s">
        <v>14</v>
      </c>
      <c r="S25" s="706">
        <f>F25</f>
        <v>100</v>
      </c>
      <c r="T25" s="705" t="s">
        <v>14</v>
      </c>
      <c r="U25" s="706">
        <f>H25</f>
        <v>100</v>
      </c>
      <c r="V25" s="705" t="s">
        <v>14</v>
      </c>
      <c r="W25" s="706">
        <f>J25</f>
        <v>100</v>
      </c>
      <c r="X25" s="1353"/>
      <c r="Y25" s="3686"/>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8"/>
      <c r="M26" s="2712"/>
      <c r="N26" s="2712"/>
      <c r="O26" s="2712"/>
      <c r="P26" s="3693"/>
      <c r="Q26" s="1350"/>
      <c r="R26" s="705"/>
      <c r="S26" s="706"/>
      <c r="T26" s="705"/>
      <c r="U26" s="706"/>
      <c r="V26" s="705"/>
      <c r="W26" s="706"/>
      <c r="X26" s="1353"/>
      <c r="Y26" s="3686"/>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3"/>
      <c r="Q27" s="1350" t="str">
        <f t="shared" ref="Q27:Q47" si="11">B27</f>
        <v>楼层</v>
      </c>
      <c r="R27" s="705" t="s">
        <v>14</v>
      </c>
      <c r="S27" s="706">
        <f>F27</f>
        <v>100</v>
      </c>
      <c r="T27" s="705" t="s">
        <v>14</v>
      </c>
      <c r="U27" s="706">
        <f>H27</f>
        <v>100</v>
      </c>
      <c r="V27" s="705" t="s">
        <v>14</v>
      </c>
      <c r="W27" s="706">
        <f>J27</f>
        <v>100</v>
      </c>
      <c r="X27" s="1353"/>
      <c r="Y27" s="3686"/>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693"/>
      <c r="Q28" s="1341" t="str">
        <f t="shared" si="11"/>
        <v>朝向</v>
      </c>
      <c r="R28" s="701" t="s">
        <v>14</v>
      </c>
      <c r="S28" s="702">
        <f>F28</f>
        <v>100</v>
      </c>
      <c r="T28" s="701" t="s">
        <v>14</v>
      </c>
      <c r="U28" s="702">
        <f>H28</f>
        <v>100</v>
      </c>
      <c r="V28" s="701" t="s">
        <v>14</v>
      </c>
      <c r="W28" s="702">
        <f>J28</f>
        <v>100</v>
      </c>
      <c r="X28" s="703"/>
      <c r="Y28" s="368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693"/>
      <c r="Q29" s="1350">
        <f t="shared" si="11"/>
        <v>111</v>
      </c>
      <c r="R29" s="705" t="s">
        <v>14</v>
      </c>
      <c r="S29" s="706">
        <f t="shared" ref="S29:S47" si="12">F29</f>
        <v>100</v>
      </c>
      <c r="T29" s="705" t="s">
        <v>14</v>
      </c>
      <c r="U29" s="706">
        <f t="shared" ref="U29:U47" si="13">H29</f>
        <v>100</v>
      </c>
      <c r="V29" s="705" t="s">
        <v>14</v>
      </c>
      <c r="W29" s="706">
        <f t="shared" ref="W29:W47" si="14">J29</f>
        <v>100</v>
      </c>
      <c r="X29" s="1353"/>
      <c r="Y29" s="368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693"/>
      <c r="Q30" s="1350">
        <f t="shared" si="11"/>
        <v>111</v>
      </c>
      <c r="R30" s="705" t="s">
        <v>14</v>
      </c>
      <c r="S30" s="706">
        <f t="shared" si="12"/>
        <v>100</v>
      </c>
      <c r="T30" s="705" t="s">
        <v>14</v>
      </c>
      <c r="U30" s="706">
        <f t="shared" si="13"/>
        <v>100</v>
      </c>
      <c r="V30" s="705" t="s">
        <v>14</v>
      </c>
      <c r="W30" s="706">
        <f t="shared" si="14"/>
        <v>100</v>
      </c>
      <c r="X30" s="1353"/>
      <c r="Y30" s="368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693"/>
      <c r="Q31" s="1350">
        <f t="shared" si="11"/>
        <v>111</v>
      </c>
      <c r="R31" s="705" t="s">
        <v>14</v>
      </c>
      <c r="S31" s="706">
        <f t="shared" si="12"/>
        <v>100</v>
      </c>
      <c r="T31" s="705" t="s">
        <v>14</v>
      </c>
      <c r="U31" s="706">
        <f t="shared" si="13"/>
        <v>100</v>
      </c>
      <c r="V31" s="705" t="s">
        <v>14</v>
      </c>
      <c r="W31" s="706">
        <f t="shared" si="14"/>
        <v>100</v>
      </c>
      <c r="X31" s="1353"/>
      <c r="Y31" s="368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693"/>
      <c r="Q32" s="1350">
        <f t="shared" si="11"/>
        <v>111</v>
      </c>
      <c r="R32" s="705" t="s">
        <v>14</v>
      </c>
      <c r="S32" s="706">
        <f t="shared" si="12"/>
        <v>100</v>
      </c>
      <c r="T32" s="705" t="s">
        <v>14</v>
      </c>
      <c r="U32" s="706">
        <f t="shared" si="13"/>
        <v>100</v>
      </c>
      <c r="V32" s="705" t="s">
        <v>14</v>
      </c>
      <c r="W32" s="706">
        <f t="shared" si="14"/>
        <v>100</v>
      </c>
      <c r="X32" s="1353"/>
      <c r="Y32" s="3686"/>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8"/>
      <c r="M33" s="2712"/>
      <c r="N33" s="2712"/>
      <c r="O33" s="2712"/>
      <c r="P33" s="3687" t="s">
        <v>1696</v>
      </c>
      <c r="Q33" s="1350" t="str">
        <f t="shared" si="11"/>
        <v>建筑类型</v>
      </c>
      <c r="R33" s="705" t="s">
        <v>14</v>
      </c>
      <c r="S33" s="706">
        <f t="shared" si="12"/>
        <v>100</v>
      </c>
      <c r="T33" s="705" t="s">
        <v>14</v>
      </c>
      <c r="U33" s="706">
        <f t="shared" si="13"/>
        <v>100</v>
      </c>
      <c r="V33" s="705" t="s">
        <v>14</v>
      </c>
      <c r="W33" s="706">
        <f t="shared" si="14"/>
        <v>100</v>
      </c>
      <c r="X33" s="1353"/>
      <c r="Y33" s="3690"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88"/>
      <c r="Q35" s="1350" t="str">
        <f t="shared" si="11"/>
        <v>建筑结构</v>
      </c>
      <c r="R35" s="705" t="s">
        <v>14</v>
      </c>
      <c r="S35" s="706">
        <f t="shared" si="12"/>
        <v>100</v>
      </c>
      <c r="T35" s="705" t="s">
        <v>14</v>
      </c>
      <c r="U35" s="706">
        <f t="shared" si="13"/>
        <v>100</v>
      </c>
      <c r="V35" s="705" t="s">
        <v>14</v>
      </c>
      <c r="W35" s="706">
        <f t="shared" si="14"/>
        <v>100</v>
      </c>
      <c r="X35" s="1353"/>
      <c r="Y35" s="3690"/>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88"/>
      <c r="Q36" s="1350" t="str">
        <f t="shared" si="11"/>
        <v>公共部分装修</v>
      </c>
      <c r="R36" s="705" t="s">
        <v>14</v>
      </c>
      <c r="S36" s="706">
        <f t="shared" si="12"/>
        <v>100</v>
      </c>
      <c r="T36" s="705" t="s">
        <v>14</v>
      </c>
      <c r="U36" s="706">
        <f t="shared" si="13"/>
        <v>100</v>
      </c>
      <c r="V36" s="705" t="s">
        <v>14</v>
      </c>
      <c r="W36" s="706">
        <f t="shared" si="14"/>
        <v>100</v>
      </c>
      <c r="X36" s="1353"/>
      <c r="Y36" s="3690"/>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88"/>
      <c r="Q37" s="1350" t="str">
        <f t="shared" si="11"/>
        <v>成新度</v>
      </c>
      <c r="R37" s="705" t="s">
        <v>14</v>
      </c>
      <c r="S37" s="706" t="e">
        <f t="shared" si="12"/>
        <v>#N/A</v>
      </c>
      <c r="T37" s="705" t="s">
        <v>14</v>
      </c>
      <c r="U37" s="706" t="e">
        <f t="shared" si="13"/>
        <v>#N/A</v>
      </c>
      <c r="V37" s="705" t="s">
        <v>14</v>
      </c>
      <c r="W37" s="706" t="e">
        <f t="shared" si="14"/>
        <v>#N/A</v>
      </c>
      <c r="X37" s="1353"/>
      <c r="Y37" s="3690"/>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88"/>
      <c r="Q38" s="1341"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88" t="s">
        <v>1696</v>
      </c>
      <c r="Q39" s="1350" t="str">
        <f t="shared" si="11"/>
        <v>物业管理</v>
      </c>
      <c r="R39" s="705" t="s">
        <v>14</v>
      </c>
      <c r="S39" s="706">
        <f t="shared" si="12"/>
        <v>100</v>
      </c>
      <c r="T39" s="705" t="s">
        <v>14</v>
      </c>
      <c r="U39" s="706">
        <f t="shared" si="13"/>
        <v>100</v>
      </c>
      <c r="V39" s="705" t="s">
        <v>14</v>
      </c>
      <c r="W39" s="706">
        <f t="shared" si="14"/>
        <v>100</v>
      </c>
      <c r="X39" s="1353"/>
      <c r="Y39" s="369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88"/>
      <c r="Q40" s="1350" t="str">
        <f t="shared" si="11"/>
        <v>市政基础设施</v>
      </c>
      <c r="R40" s="705" t="s">
        <v>14</v>
      </c>
      <c r="S40" s="706">
        <f t="shared" si="12"/>
        <v>100</v>
      </c>
      <c r="T40" s="705" t="s">
        <v>14</v>
      </c>
      <c r="U40" s="706">
        <f t="shared" si="13"/>
        <v>100</v>
      </c>
      <c r="V40" s="705" t="s">
        <v>14</v>
      </c>
      <c r="W40" s="706">
        <f t="shared" si="14"/>
        <v>100</v>
      </c>
      <c r="X40" s="1353"/>
      <c r="Y40" s="369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88"/>
      <c r="Q41" s="1350" t="str">
        <f t="shared" si="11"/>
        <v>层高</v>
      </c>
      <c r="R41" s="705" t="s">
        <v>14</v>
      </c>
      <c r="S41" s="706">
        <f t="shared" si="12"/>
        <v>100</v>
      </c>
      <c r="T41" s="705" t="s">
        <v>14</v>
      </c>
      <c r="U41" s="706">
        <f t="shared" si="13"/>
        <v>100</v>
      </c>
      <c r="V41" s="705" t="s">
        <v>14</v>
      </c>
      <c r="W41" s="706">
        <f t="shared" si="14"/>
        <v>100</v>
      </c>
      <c r="X41" s="1353"/>
      <c r="Y41" s="369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88"/>
      <c r="Q43" s="1350" t="str">
        <f t="shared" si="11"/>
        <v>内部装修</v>
      </c>
      <c r="R43" s="705" t="s">
        <v>14</v>
      </c>
      <c r="S43" s="706">
        <f t="shared" si="12"/>
        <v>100</v>
      </c>
      <c r="T43" s="705" t="s">
        <v>14</v>
      </c>
      <c r="U43" s="706">
        <f t="shared" si="13"/>
        <v>100</v>
      </c>
      <c r="V43" s="705" t="s">
        <v>14</v>
      </c>
      <c r="W43" s="706">
        <f t="shared" si="14"/>
        <v>100</v>
      </c>
      <c r="X43" s="1353"/>
      <c r="Y43" s="3690"/>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688"/>
      <c r="Q44" s="1350" t="str">
        <f t="shared" si="11"/>
        <v>内部装修维护情况</v>
      </c>
      <c r="R44" s="705" t="s">
        <v>14</v>
      </c>
      <c r="S44" s="706">
        <f t="shared" si="12"/>
        <v>100</v>
      </c>
      <c r="T44" s="705" t="s">
        <v>14</v>
      </c>
      <c r="U44" s="706">
        <f t="shared" si="13"/>
        <v>100</v>
      </c>
      <c r="V44" s="705" t="s">
        <v>14</v>
      </c>
      <c r="W44" s="706">
        <f t="shared" si="14"/>
        <v>100</v>
      </c>
      <c r="X44" s="1353"/>
      <c r="Y44" s="369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88"/>
      <c r="Q45" s="1341">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88"/>
      <c r="Q46" s="1350">
        <f t="shared" si="11"/>
        <v>111</v>
      </c>
      <c r="R46" s="705" t="s">
        <v>14</v>
      </c>
      <c r="S46" s="706">
        <f t="shared" si="12"/>
        <v>100</v>
      </c>
      <c r="T46" s="705" t="s">
        <v>14</v>
      </c>
      <c r="U46" s="706">
        <f t="shared" si="13"/>
        <v>100</v>
      </c>
      <c r="V46" s="705" t="s">
        <v>14</v>
      </c>
      <c r="W46" s="706">
        <f t="shared" si="14"/>
        <v>100</v>
      </c>
      <c r="X46" s="1353"/>
      <c r="Y46" s="369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89"/>
      <c r="Q47" s="1350">
        <f t="shared" si="11"/>
        <v>111</v>
      </c>
      <c r="R47" s="705" t="s">
        <v>14</v>
      </c>
      <c r="S47" s="706">
        <f t="shared" si="12"/>
        <v>100</v>
      </c>
      <c r="T47" s="705" t="s">
        <v>14</v>
      </c>
      <c r="U47" s="706">
        <f t="shared" si="13"/>
        <v>100</v>
      </c>
      <c r="V47" s="705" t="s">
        <v>14</v>
      </c>
      <c r="W47" s="706">
        <f t="shared" si="14"/>
        <v>100</v>
      </c>
      <c r="X47" s="1353"/>
      <c r="Y47" s="3691"/>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4"/>
      <c r="L48" s="2720"/>
      <c r="M48" s="2712"/>
      <c r="N48" s="2712"/>
      <c r="O48" s="2712"/>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58" t="e">
        <f>R50</f>
        <v>#DIV/0!</v>
      </c>
      <c r="D49" s="2315" t="s">
        <v>2138</v>
      </c>
      <c r="E49" s="1159" t="e">
        <f>R49</f>
        <v>#DIV/0!</v>
      </c>
      <c r="F49" s="2316"/>
      <c r="G49" s="1158" t="e">
        <f>T49</f>
        <v>#DIV/0!</v>
      </c>
      <c r="H49" s="2316"/>
      <c r="I49" s="1159" t="e">
        <f>V49</f>
        <v>#DIV/0!</v>
      </c>
      <c r="J49" s="2316"/>
      <c r="K49" s="2318">
        <f>F49+H49+J49</f>
        <v>0</v>
      </c>
      <c r="L49" s="2720"/>
      <c r="M49" s="2712"/>
      <c r="N49" s="2712"/>
      <c r="O49" s="2712"/>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5"/>
      <c r="L50" s="2720"/>
      <c r="M50" s="2712"/>
      <c r="N50" s="2712"/>
      <c r="O50" s="2712"/>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2" t="str">
        <f>YEAR(C7)&amp;"-"&amp;MONTH(C7)</f>
        <v>2024-12</v>
      </c>
      <c r="D59" s="1183">
        <f>EDATE(C59,-1)</f>
        <v>45597</v>
      </c>
      <c r="E59" s="1183">
        <f>EDATE(D59,-1)</f>
        <v>45566</v>
      </c>
      <c r="F59" s="1183">
        <f t="shared" ref="F59:O59" si="16">EDATE(E59,-1)</f>
        <v>45536</v>
      </c>
      <c r="G59" s="1183">
        <f t="shared" si="16"/>
        <v>45505</v>
      </c>
      <c r="H59" s="1183">
        <f t="shared" si="16"/>
        <v>45474</v>
      </c>
      <c r="I59" s="1183">
        <f t="shared" si="16"/>
        <v>45444</v>
      </c>
      <c r="J59" s="1183">
        <f t="shared" si="16"/>
        <v>45413</v>
      </c>
      <c r="K59" s="1183">
        <f t="shared" si="16"/>
        <v>45383</v>
      </c>
      <c r="L59" s="1183">
        <f t="shared" si="16"/>
        <v>45352</v>
      </c>
      <c r="M59" s="1183">
        <f t="shared" si="16"/>
        <v>45323</v>
      </c>
      <c r="N59" s="1183">
        <f t="shared" si="16"/>
        <v>45292</v>
      </c>
      <c r="O59" s="1183">
        <f t="shared" si="16"/>
        <v>45261</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7"/>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受贵公司委托，我公司对北京市通州区宋庄镇尹各庄村新建科研用地房地产抵押价值进行了预评估。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估价对象为北京市通州区宋庄镇尹各庄村新建科研用地房地产，为汇天网络所有。根据《国有土地使用证》[]，估价对象（分摊）出让国有建设用地使用权面积为20455.65平方米，建筑面积为59427.91平方米。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2024年12月5日（评估专业人员实地查勘之日）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59427.91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3"/>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3"/>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3"/>
      <c r="Y6" s="3712"/>
      <c r="Z6" s="3713"/>
      <c r="AA6" s="3697"/>
      <c r="AB6" s="3697"/>
      <c r="AC6" s="3697"/>
    </row>
    <row r="7" spans="1:29" s="108" customFormat="1" ht="15.75" thickBot="1">
      <c r="A7" s="362" t="s">
        <v>1679</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1"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3"/>
      <c r="Q10" s="1341"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1"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83"/>
      <c r="Q12" s="1341">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83"/>
      <c r="Q13" s="1341">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83"/>
      <c r="Q14" s="1341">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0" t="str">
        <f t="shared" si="6"/>
        <v>产业集聚程度</v>
      </c>
      <c r="R15" s="705" t="s">
        <v>14</v>
      </c>
      <c r="S15" s="706">
        <f t="shared" si="0"/>
        <v>100</v>
      </c>
      <c r="T15" s="705" t="s">
        <v>14</v>
      </c>
      <c r="U15" s="706">
        <f t="shared" si="1"/>
        <v>100</v>
      </c>
      <c r="V15" s="705" t="s">
        <v>14</v>
      </c>
      <c r="W15" s="706">
        <f t="shared" si="2"/>
        <v>100</v>
      </c>
      <c r="X15" s="1353"/>
      <c r="Y15" s="368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86"/>
      <c r="Q16" s="1350"/>
      <c r="R16" s="705"/>
      <c r="S16" s="706"/>
      <c r="T16" s="705"/>
      <c r="U16" s="706"/>
      <c r="V16" s="705"/>
      <c r="W16" s="706"/>
      <c r="X16" s="1353"/>
      <c r="Y16" s="368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0" t="str">
        <f>B17</f>
        <v>交通便捷度</v>
      </c>
      <c r="R17" s="705" t="s">
        <v>14</v>
      </c>
      <c r="S17" s="706">
        <f>F17</f>
        <v>100</v>
      </c>
      <c r="T17" s="705" t="s">
        <v>14</v>
      </c>
      <c r="U17" s="706">
        <f>H17</f>
        <v>100</v>
      </c>
      <c r="V17" s="705" t="s">
        <v>14</v>
      </c>
      <c r="W17" s="706">
        <f>J17</f>
        <v>100</v>
      </c>
      <c r="X17" s="1353"/>
      <c r="Y17" s="368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86"/>
      <c r="Q18" s="1350"/>
      <c r="R18" s="705"/>
      <c r="S18" s="706"/>
      <c r="T18" s="705"/>
      <c r="U18" s="706"/>
      <c r="V18" s="705"/>
      <c r="W18" s="706"/>
      <c r="X18" s="1353"/>
      <c r="Y18" s="368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0" t="str">
        <f>B19</f>
        <v>公共配套设施</v>
      </c>
      <c r="R19" s="705" t="s">
        <v>14</v>
      </c>
      <c r="S19" s="706">
        <f>F19</f>
        <v>100</v>
      </c>
      <c r="T19" s="705" t="s">
        <v>14</v>
      </c>
      <c r="U19" s="706">
        <f>H19</f>
        <v>100</v>
      </c>
      <c r="V19" s="705" t="s">
        <v>14</v>
      </c>
      <c r="W19" s="706">
        <f>J19</f>
        <v>100</v>
      </c>
      <c r="X19" s="1353"/>
      <c r="Y19" s="368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86"/>
      <c r="Q20" s="1350"/>
      <c r="R20" s="705"/>
      <c r="S20" s="706"/>
      <c r="T20" s="705"/>
      <c r="U20" s="706"/>
      <c r="V20" s="705"/>
      <c r="W20" s="706"/>
      <c r="X20" s="1353"/>
      <c r="Y20" s="368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0" t="str">
        <f>B21</f>
        <v>基础设施水平</v>
      </c>
      <c r="R21" s="705" t="s">
        <v>14</v>
      </c>
      <c r="S21" s="706">
        <f>F21</f>
        <v>100</v>
      </c>
      <c r="T21" s="705" t="s">
        <v>14</v>
      </c>
      <c r="U21" s="706">
        <f>H21</f>
        <v>100</v>
      </c>
      <c r="V21" s="705" t="s">
        <v>14</v>
      </c>
      <c r="W21" s="706">
        <f>J21</f>
        <v>100</v>
      </c>
      <c r="X21" s="1353"/>
      <c r="Y21" s="368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3"/>
      <c r="M22" s="914"/>
      <c r="N22" s="914"/>
      <c r="O22" s="922"/>
      <c r="P22" s="3686"/>
      <c r="Q22" s="1350"/>
      <c r="R22" s="705"/>
      <c r="S22" s="706"/>
      <c r="T22" s="705"/>
      <c r="U22" s="706"/>
      <c r="V22" s="705"/>
      <c r="W22" s="706"/>
      <c r="X22" s="1353"/>
      <c r="Y22" s="368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0" t="str">
        <f>B23</f>
        <v>环境质量</v>
      </c>
      <c r="R23" s="705" t="s">
        <v>14</v>
      </c>
      <c r="S23" s="706">
        <f>F23</f>
        <v>100</v>
      </c>
      <c r="T23" s="705" t="s">
        <v>14</v>
      </c>
      <c r="U23" s="706">
        <f>H23</f>
        <v>100</v>
      </c>
      <c r="V23" s="705" t="s">
        <v>14</v>
      </c>
      <c r="W23" s="706">
        <f>J23</f>
        <v>100</v>
      </c>
      <c r="X23" s="1353"/>
      <c r="Y23" s="368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3"/>
      <c r="M24" s="914"/>
      <c r="N24" s="914"/>
      <c r="O24" s="922"/>
      <c r="P24" s="3686"/>
      <c r="Q24" s="1350"/>
      <c r="R24" s="705"/>
      <c r="S24" s="706"/>
      <c r="T24" s="705"/>
      <c r="U24" s="706"/>
      <c r="V24" s="705"/>
      <c r="W24" s="706"/>
      <c r="X24" s="1353"/>
      <c r="Y24" s="368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0">
        <f>B25</f>
        <v>111</v>
      </c>
      <c r="R25" s="705" t="s">
        <v>14</v>
      </c>
      <c r="S25" s="706">
        <f>F25</f>
        <v>100</v>
      </c>
      <c r="T25" s="705" t="s">
        <v>14</v>
      </c>
      <c r="U25" s="706">
        <f>H25</f>
        <v>100</v>
      </c>
      <c r="V25" s="705" t="s">
        <v>14</v>
      </c>
      <c r="W25" s="706">
        <f>J25</f>
        <v>100</v>
      </c>
      <c r="X25" s="1353"/>
      <c r="Y25" s="368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0">
        <f t="shared" ref="Q26:Q40" si="11">B26</f>
        <v>111</v>
      </c>
      <c r="R26" s="705" t="s">
        <v>14</v>
      </c>
      <c r="S26" s="706">
        <f>F26</f>
        <v>100</v>
      </c>
      <c r="T26" s="705" t="s">
        <v>14</v>
      </c>
      <c r="U26" s="706">
        <f>H26</f>
        <v>100</v>
      </c>
      <c r="V26" s="705" t="s">
        <v>14</v>
      </c>
      <c r="W26" s="706">
        <f>J26</f>
        <v>100</v>
      </c>
      <c r="X26" s="1353"/>
      <c r="Y26" s="368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1">
        <f t="shared" si="11"/>
        <v>111</v>
      </c>
      <c r="R27" s="701" t="s">
        <v>14</v>
      </c>
      <c r="S27" s="702">
        <f>F27</f>
        <v>100</v>
      </c>
      <c r="T27" s="701" t="s">
        <v>14</v>
      </c>
      <c r="U27" s="702">
        <f>H27</f>
        <v>100</v>
      </c>
      <c r="V27" s="701" t="s">
        <v>14</v>
      </c>
      <c r="W27" s="702">
        <f>J27</f>
        <v>100</v>
      </c>
      <c r="X27" s="703"/>
      <c r="Y27" s="368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0">
        <f t="shared" si="11"/>
        <v>111</v>
      </c>
      <c r="R28" s="705" t="s">
        <v>14</v>
      </c>
      <c r="S28" s="706">
        <f t="shared" ref="S28:S40" si="12">F28</f>
        <v>100</v>
      </c>
      <c r="T28" s="705" t="s">
        <v>14</v>
      </c>
      <c r="U28" s="706">
        <f t="shared" ref="U28:U40" si="13">H28</f>
        <v>100</v>
      </c>
      <c r="V28" s="705" t="s">
        <v>14</v>
      </c>
      <c r="W28" s="706">
        <f t="shared" ref="W28:W40" si="14">J28</f>
        <v>100</v>
      </c>
      <c r="X28" s="1353"/>
      <c r="Y28" s="368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1" t="s">
        <v>1696</v>
      </c>
      <c r="Q29" s="1350" t="str">
        <f t="shared" si="11"/>
        <v>建筑类型</v>
      </c>
      <c r="R29" s="705" t="s">
        <v>14</v>
      </c>
      <c r="S29" s="706">
        <f t="shared" si="12"/>
        <v>100</v>
      </c>
      <c r="T29" s="705" t="s">
        <v>14</v>
      </c>
      <c r="U29" s="706">
        <f t="shared" si="13"/>
        <v>100</v>
      </c>
      <c r="V29" s="705" t="s">
        <v>14</v>
      </c>
      <c r="W29" s="706">
        <f t="shared" si="14"/>
        <v>100</v>
      </c>
      <c r="X29" s="1353"/>
      <c r="Y29" s="369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0" t="str">
        <f t="shared" si="11"/>
        <v>建筑结构</v>
      </c>
      <c r="R31" s="705" t="s">
        <v>14</v>
      </c>
      <c r="S31" s="706">
        <f t="shared" si="12"/>
        <v>100</v>
      </c>
      <c r="T31" s="705" t="s">
        <v>14</v>
      </c>
      <c r="U31" s="706">
        <f t="shared" si="13"/>
        <v>100</v>
      </c>
      <c r="V31" s="705" t="s">
        <v>14</v>
      </c>
      <c r="W31" s="706">
        <f t="shared" si="14"/>
        <v>100</v>
      </c>
      <c r="X31" s="1353"/>
      <c r="Y31" s="369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0" t="str">
        <f t="shared" si="11"/>
        <v>公共部分装修</v>
      </c>
      <c r="R32" s="705" t="s">
        <v>14</v>
      </c>
      <c r="S32" s="706">
        <f t="shared" si="12"/>
        <v>100</v>
      </c>
      <c r="T32" s="705" t="s">
        <v>14</v>
      </c>
      <c r="U32" s="706">
        <f t="shared" si="13"/>
        <v>100</v>
      </c>
      <c r="V32" s="705" t="s">
        <v>14</v>
      </c>
      <c r="W32" s="706">
        <f t="shared" si="14"/>
        <v>100</v>
      </c>
      <c r="X32" s="1353"/>
      <c r="Y32" s="369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0" t="str">
        <f t="shared" si="11"/>
        <v>成新度</v>
      </c>
      <c r="R33" s="705" t="s">
        <v>14</v>
      </c>
      <c r="S33" s="706" t="e">
        <f t="shared" si="12"/>
        <v>#N/A</v>
      </c>
      <c r="T33" s="705" t="s">
        <v>14</v>
      </c>
      <c r="U33" s="706" t="e">
        <f t="shared" si="13"/>
        <v>#N/A</v>
      </c>
      <c r="V33" s="705" t="s">
        <v>14</v>
      </c>
      <c r="W33" s="706" t="e">
        <f t="shared" si="14"/>
        <v>#N/A</v>
      </c>
      <c r="X33" s="1353"/>
      <c r="Y33" s="369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1"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0" t="str">
        <f t="shared" si="11"/>
        <v>市政基础设施</v>
      </c>
      <c r="R35" s="705" t="s">
        <v>14</v>
      </c>
      <c r="S35" s="706">
        <f t="shared" si="12"/>
        <v>100</v>
      </c>
      <c r="T35" s="705" t="s">
        <v>14</v>
      </c>
      <c r="U35" s="706">
        <f t="shared" si="13"/>
        <v>100</v>
      </c>
      <c r="V35" s="705" t="s">
        <v>14</v>
      </c>
      <c r="W35" s="706">
        <f t="shared" si="14"/>
        <v>100</v>
      </c>
      <c r="X35" s="1353"/>
      <c r="Y35" s="369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0" t="str">
        <f t="shared" si="11"/>
        <v>内部装修</v>
      </c>
      <c r="R36" s="705" t="s">
        <v>14</v>
      </c>
      <c r="S36" s="706">
        <f t="shared" si="12"/>
        <v>100</v>
      </c>
      <c r="T36" s="705" t="s">
        <v>14</v>
      </c>
      <c r="U36" s="706">
        <f t="shared" si="13"/>
        <v>100</v>
      </c>
      <c r="V36" s="705" t="s">
        <v>14</v>
      </c>
      <c r="W36" s="706">
        <f t="shared" si="14"/>
        <v>100</v>
      </c>
      <c r="X36" s="1353"/>
      <c r="Y36" s="369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0" t="str">
        <f t="shared" si="11"/>
        <v>内部装修状况</v>
      </c>
      <c r="R37" s="705" t="s">
        <v>14</v>
      </c>
      <c r="S37" s="706">
        <f t="shared" si="12"/>
        <v>100</v>
      </c>
      <c r="T37" s="705" t="s">
        <v>14</v>
      </c>
      <c r="U37" s="706">
        <f t="shared" si="13"/>
        <v>100</v>
      </c>
      <c r="V37" s="705" t="s">
        <v>14</v>
      </c>
      <c r="W37" s="706">
        <f t="shared" si="14"/>
        <v>100</v>
      </c>
      <c r="X37" s="1353"/>
      <c r="Y37" s="369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0">
        <f t="shared" si="11"/>
        <v>111</v>
      </c>
      <c r="R39" s="705" t="s">
        <v>14</v>
      </c>
      <c r="S39" s="706">
        <f t="shared" si="12"/>
        <v>100</v>
      </c>
      <c r="T39" s="705" t="s">
        <v>14</v>
      </c>
      <c r="U39" s="706">
        <f t="shared" si="13"/>
        <v>100</v>
      </c>
      <c r="V39" s="705" t="s">
        <v>14</v>
      </c>
      <c r="W39" s="706">
        <f t="shared" si="14"/>
        <v>100</v>
      </c>
      <c r="X39" s="1353"/>
      <c r="Y39" s="369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0">
        <f t="shared" si="11"/>
        <v>111</v>
      </c>
      <c r="R40" s="705" t="s">
        <v>14</v>
      </c>
      <c r="S40" s="706">
        <f t="shared" si="12"/>
        <v>100</v>
      </c>
      <c r="T40" s="705" t="s">
        <v>14</v>
      </c>
      <c r="U40" s="706">
        <f t="shared" si="13"/>
        <v>100</v>
      </c>
      <c r="V40" s="705" t="s">
        <v>14</v>
      </c>
      <c r="W40" s="706">
        <f t="shared" si="14"/>
        <v>100</v>
      </c>
      <c r="X40" s="1353"/>
      <c r="Y40" s="369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58" t="e">
        <f>R43</f>
        <v>#DIV/0!</v>
      </c>
      <c r="D42" s="2315" t="s">
        <v>2138</v>
      </c>
      <c r="E42" s="1159" t="e">
        <f>R42</f>
        <v>#DIV/0!</v>
      </c>
      <c r="F42" s="2316"/>
      <c r="G42" s="1158" t="e">
        <f>T42</f>
        <v>#DIV/0!</v>
      </c>
      <c r="H42" s="2316"/>
      <c r="I42" s="1159" t="e">
        <f>V42</f>
        <v>#DIV/0!</v>
      </c>
      <c r="J42" s="2316"/>
      <c r="K42" s="2318">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1" t="e">
        <f>R43</f>
        <v>#DIV/0!</v>
      </c>
      <c r="D43" s="1161"/>
      <c r="E43" s="1161"/>
      <c r="F43" s="1161"/>
      <c r="G43" s="1161"/>
      <c r="H43" s="1161"/>
      <c r="I43" s="1161"/>
      <c r="J43" s="1161"/>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2" t="str">
        <f>YEAR(C7)&amp;"-"&amp;MONTH(C7)</f>
        <v>2024-12</v>
      </c>
      <c r="D52" s="1183">
        <f>EDATE(C52,-1)</f>
        <v>45597</v>
      </c>
      <c r="E52" s="1183">
        <f t="shared" ref="E52:O52" si="16">EDATE(D52,-1)</f>
        <v>45566</v>
      </c>
      <c r="F52" s="1183">
        <f t="shared" si="16"/>
        <v>45536</v>
      </c>
      <c r="G52" s="1183">
        <f t="shared" si="16"/>
        <v>45505</v>
      </c>
      <c r="H52" s="1183">
        <f t="shared" si="16"/>
        <v>45474</v>
      </c>
      <c r="I52" s="1183">
        <f t="shared" si="16"/>
        <v>45444</v>
      </c>
      <c r="J52" s="1183">
        <f t="shared" si="16"/>
        <v>45413</v>
      </c>
      <c r="K52" s="1183">
        <f t="shared" si="16"/>
        <v>45383</v>
      </c>
      <c r="L52" s="1183">
        <f t="shared" si="16"/>
        <v>45352</v>
      </c>
      <c r="M52" s="1183">
        <f t="shared" si="16"/>
        <v>45323</v>
      </c>
      <c r="N52" s="1183">
        <f t="shared" si="16"/>
        <v>45292</v>
      </c>
      <c r="O52" s="1183">
        <f t="shared" si="16"/>
        <v>45261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0"/>
      <c r="M2" s="2731"/>
      <c r="N2" s="2731"/>
      <c r="O2" s="2731"/>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3"/>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1"/>
      <c r="M4" s="2712"/>
      <c r="N4" s="2712"/>
      <c r="O4" s="2712"/>
      <c r="P4" s="3702" t="s">
        <v>1775</v>
      </c>
      <c r="Q4" s="3703"/>
      <c r="R4" s="3708" t="s">
        <v>1771</v>
      </c>
      <c r="S4" s="3709"/>
      <c r="T4" s="3708" t="s">
        <v>1772</v>
      </c>
      <c r="U4" s="3709"/>
      <c r="V4" s="3714" t="s">
        <v>1773</v>
      </c>
      <c r="W4" s="3714"/>
      <c r="X4" s="1353"/>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1"/>
      <c r="M5" s="2712"/>
      <c r="N5" s="2712"/>
      <c r="O5" s="2712"/>
      <c r="P5" s="3704"/>
      <c r="Q5" s="3705"/>
      <c r="R5" s="3710"/>
      <c r="S5" s="3711"/>
      <c r="T5" s="3710"/>
      <c r="U5" s="3711"/>
      <c r="V5" s="3714"/>
      <c r="W5" s="3714"/>
      <c r="X5" s="1353"/>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1"/>
      <c r="M6" s="2712"/>
      <c r="N6" s="2712"/>
      <c r="O6" s="2712"/>
      <c r="P6" s="3706"/>
      <c r="Q6" s="3707"/>
      <c r="R6" s="3710"/>
      <c r="S6" s="3711"/>
      <c r="T6" s="3712"/>
      <c r="U6" s="3713"/>
      <c r="V6" s="3714"/>
      <c r="W6" s="3714"/>
      <c r="X6" s="1353"/>
      <c r="Y6" s="3712"/>
      <c r="Z6" s="3713"/>
      <c r="AA6" s="3697"/>
      <c r="AB6" s="3697"/>
      <c r="AC6" s="3697"/>
    </row>
    <row r="7" spans="1:29" s="108" customFormat="1" ht="15.75" thickBot="1">
      <c r="A7" s="362" t="s">
        <v>1679</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3" t="s">
        <v>1686</v>
      </c>
      <c r="Q9" s="1341"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83"/>
      <c r="Q10" s="1341"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3"/>
      <c r="Q11" s="1341">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3"/>
      <c r="Q12" s="1341">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3"/>
      <c r="Q13" s="1341">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5" t="s">
        <v>1691</v>
      </c>
      <c r="Q14" s="1350" t="str">
        <f t="shared" si="6"/>
        <v>交通便捷度</v>
      </c>
      <c r="R14" s="705" t="s">
        <v>14</v>
      </c>
      <c r="S14" s="706">
        <f t="shared" si="0"/>
        <v>100</v>
      </c>
      <c r="T14" s="705" t="s">
        <v>14</v>
      </c>
      <c r="U14" s="706">
        <f t="shared" si="1"/>
        <v>100</v>
      </c>
      <c r="V14" s="705" t="s">
        <v>14</v>
      </c>
      <c r="W14" s="706">
        <f t="shared" si="2"/>
        <v>100</v>
      </c>
      <c r="X14" s="1353"/>
      <c r="Y14" s="368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8"/>
      <c r="M15" s="2712"/>
      <c r="N15" s="2712"/>
      <c r="O15" s="2712"/>
      <c r="P15" s="3686"/>
      <c r="Q15" s="1350"/>
      <c r="R15" s="705"/>
      <c r="S15" s="706"/>
      <c r="T15" s="705"/>
      <c r="U15" s="706"/>
      <c r="V15" s="705"/>
      <c r="W15" s="706"/>
      <c r="X15" s="1353"/>
      <c r="Y15" s="3686"/>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6"/>
      <c r="Q16" s="1350" t="str">
        <f>B16</f>
        <v>公共配套设施</v>
      </c>
      <c r="R16" s="705" t="s">
        <v>14</v>
      </c>
      <c r="S16" s="706">
        <f>F16</f>
        <v>100</v>
      </c>
      <c r="T16" s="705" t="s">
        <v>14</v>
      </c>
      <c r="U16" s="706">
        <f>H16</f>
        <v>100</v>
      </c>
      <c r="V16" s="705" t="s">
        <v>14</v>
      </c>
      <c r="W16" s="706">
        <f>J16</f>
        <v>100</v>
      </c>
      <c r="X16" s="1353"/>
      <c r="Y16" s="368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8"/>
      <c r="M17" s="2712"/>
      <c r="N17" s="2712"/>
      <c r="O17" s="2712"/>
      <c r="P17" s="3686"/>
      <c r="Q17" s="1350"/>
      <c r="R17" s="705"/>
      <c r="S17" s="706"/>
      <c r="T17" s="705"/>
      <c r="U17" s="706"/>
      <c r="V17" s="705"/>
      <c r="W17" s="706"/>
      <c r="X17" s="1353"/>
      <c r="Y17" s="3686"/>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6"/>
      <c r="Q18" s="1350" t="str">
        <f>B18</f>
        <v>基础设施水平</v>
      </c>
      <c r="R18" s="705" t="s">
        <v>14</v>
      </c>
      <c r="S18" s="706">
        <f>F18</f>
        <v>100</v>
      </c>
      <c r="T18" s="705" t="s">
        <v>14</v>
      </c>
      <c r="U18" s="706">
        <f>H18</f>
        <v>100</v>
      </c>
      <c r="V18" s="705" t="s">
        <v>14</v>
      </c>
      <c r="W18" s="706">
        <f>J18</f>
        <v>100</v>
      </c>
      <c r="X18" s="1353"/>
      <c r="Y18" s="368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8"/>
      <c r="M19" s="2712"/>
      <c r="N19" s="2712"/>
      <c r="O19" s="2712"/>
      <c r="P19" s="3686"/>
      <c r="Q19" s="1350"/>
      <c r="R19" s="705"/>
      <c r="S19" s="706"/>
      <c r="T19" s="705"/>
      <c r="U19" s="706"/>
      <c r="V19" s="705"/>
      <c r="W19" s="706"/>
      <c r="X19" s="1353"/>
      <c r="Y19" s="3686"/>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6"/>
      <c r="Q20" s="1350" t="str">
        <f>B20</f>
        <v>自然及人文环境</v>
      </c>
      <c r="R20" s="705" t="s">
        <v>14</v>
      </c>
      <c r="S20" s="706">
        <f>F20</f>
        <v>100</v>
      </c>
      <c r="T20" s="705" t="s">
        <v>14</v>
      </c>
      <c r="U20" s="706">
        <f>H20</f>
        <v>100</v>
      </c>
      <c r="V20" s="705" t="s">
        <v>14</v>
      </c>
      <c r="W20" s="706">
        <f>J20</f>
        <v>100</v>
      </c>
      <c r="X20" s="1353"/>
      <c r="Y20" s="368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8"/>
      <c r="M21" s="2712"/>
      <c r="N21" s="2712"/>
      <c r="O21" s="2712"/>
      <c r="P21" s="3686"/>
      <c r="Q21" s="1350"/>
      <c r="R21" s="705"/>
      <c r="S21" s="706"/>
      <c r="T21" s="705"/>
      <c r="U21" s="706"/>
      <c r="V21" s="705"/>
      <c r="W21" s="706"/>
      <c r="X21" s="1353"/>
      <c r="Y21" s="368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6"/>
      <c r="Q22" s="1350" t="str">
        <f>B22</f>
        <v>楼层</v>
      </c>
      <c r="R22" s="705" t="s">
        <v>14</v>
      </c>
      <c r="S22" s="706">
        <f>F22</f>
        <v>100</v>
      </c>
      <c r="T22" s="705" t="s">
        <v>14</v>
      </c>
      <c r="U22" s="706">
        <f>H22</f>
        <v>100</v>
      </c>
      <c r="V22" s="705" t="s">
        <v>14</v>
      </c>
      <c r="W22" s="706">
        <f>J22</f>
        <v>100</v>
      </c>
      <c r="X22" s="1353"/>
      <c r="Y22" s="368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6"/>
      <c r="Q23" s="1350">
        <f>B23</f>
        <v>111</v>
      </c>
      <c r="R23" s="705" t="s">
        <v>14</v>
      </c>
      <c r="S23" s="706">
        <f>F23</f>
        <v>100</v>
      </c>
      <c r="T23" s="705" t="s">
        <v>14</v>
      </c>
      <c r="U23" s="706">
        <f>H23</f>
        <v>100</v>
      </c>
      <c r="V23" s="705" t="s">
        <v>14</v>
      </c>
      <c r="W23" s="706">
        <f>J23</f>
        <v>100</v>
      </c>
      <c r="X23" s="1353"/>
      <c r="Y23" s="368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6"/>
      <c r="Q24" s="1350">
        <f t="shared" ref="Q24:Q36" si="11">B24</f>
        <v>111</v>
      </c>
      <c r="R24" s="705" t="s">
        <v>14</v>
      </c>
      <c r="S24" s="706">
        <f>F24</f>
        <v>100</v>
      </c>
      <c r="T24" s="705" t="s">
        <v>14</v>
      </c>
      <c r="U24" s="706">
        <f>H24</f>
        <v>100</v>
      </c>
      <c r="V24" s="705" t="s">
        <v>14</v>
      </c>
      <c r="W24" s="706">
        <f>J24</f>
        <v>100</v>
      </c>
      <c r="X24" s="1353"/>
      <c r="Y24" s="368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6"/>
      <c r="Q25" s="1341">
        <f t="shared" si="11"/>
        <v>111</v>
      </c>
      <c r="R25" s="701" t="s">
        <v>14</v>
      </c>
      <c r="S25" s="702">
        <f>F25</f>
        <v>100</v>
      </c>
      <c r="T25" s="701" t="s">
        <v>14</v>
      </c>
      <c r="U25" s="702">
        <f>H25</f>
        <v>100</v>
      </c>
      <c r="V25" s="701" t="s">
        <v>14</v>
      </c>
      <c r="W25" s="702">
        <f>J25</f>
        <v>100</v>
      </c>
      <c r="X25" s="703"/>
      <c r="Y25" s="368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1"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9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0"/>
      <c r="Q28" s="1350" t="str">
        <f t="shared" si="11"/>
        <v>公共部分装修</v>
      </c>
      <c r="R28" s="705" t="s">
        <v>14</v>
      </c>
      <c r="S28" s="706">
        <f t="shared" si="12"/>
        <v>100</v>
      </c>
      <c r="T28" s="705" t="s">
        <v>14</v>
      </c>
      <c r="U28" s="706">
        <f t="shared" si="13"/>
        <v>100</v>
      </c>
      <c r="V28" s="705" t="s">
        <v>14</v>
      </c>
      <c r="W28" s="706">
        <f t="shared" si="14"/>
        <v>100</v>
      </c>
      <c r="X28" s="1353"/>
      <c r="Y28" s="369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0"/>
      <c r="Q29" s="1350" t="str">
        <f t="shared" si="11"/>
        <v>成新率</v>
      </c>
      <c r="R29" s="705" t="s">
        <v>14</v>
      </c>
      <c r="S29" s="706" t="e">
        <f t="shared" si="12"/>
        <v>#N/A</v>
      </c>
      <c r="T29" s="705" t="s">
        <v>14</v>
      </c>
      <c r="U29" s="706" t="e">
        <f t="shared" si="13"/>
        <v>#N/A</v>
      </c>
      <c r="V29" s="705" t="s">
        <v>14</v>
      </c>
      <c r="W29" s="706" t="e">
        <f t="shared" si="14"/>
        <v>#N/A</v>
      </c>
      <c r="X29" s="1353"/>
      <c r="Y29" s="369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0"/>
      <c r="Q30" s="1350" t="str">
        <f t="shared" si="11"/>
        <v>物业等级</v>
      </c>
      <c r="R30" s="705" t="s">
        <v>14</v>
      </c>
      <c r="S30" s="706">
        <f t="shared" si="12"/>
        <v>100</v>
      </c>
      <c r="T30" s="705" t="s">
        <v>14</v>
      </c>
      <c r="U30" s="706">
        <f t="shared" si="13"/>
        <v>100</v>
      </c>
      <c r="V30" s="705" t="s">
        <v>14</v>
      </c>
      <c r="W30" s="706">
        <f t="shared" si="14"/>
        <v>100</v>
      </c>
      <c r="X30" s="1353"/>
      <c r="Y30" s="369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0"/>
      <c r="Q31" s="1341"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0" t="s">
        <v>1696</v>
      </c>
      <c r="Q32" s="1350" t="str">
        <f t="shared" si="11"/>
        <v>车位类型</v>
      </c>
      <c r="R32" s="705" t="s">
        <v>14</v>
      </c>
      <c r="S32" s="706">
        <f t="shared" si="12"/>
        <v>100</v>
      </c>
      <c r="T32" s="705" t="s">
        <v>14</v>
      </c>
      <c r="U32" s="706">
        <f t="shared" si="13"/>
        <v>100</v>
      </c>
      <c r="V32" s="705" t="s">
        <v>14</v>
      </c>
      <c r="W32" s="706">
        <f t="shared" si="14"/>
        <v>100</v>
      </c>
      <c r="X32" s="1353"/>
      <c r="Y32" s="369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0"/>
      <c r="Q33" s="1350" t="str">
        <f t="shared" si="11"/>
        <v>是否直接入户</v>
      </c>
      <c r="R33" s="705" t="s">
        <v>14</v>
      </c>
      <c r="S33" s="706">
        <f t="shared" si="12"/>
        <v>100</v>
      </c>
      <c r="T33" s="705" t="s">
        <v>14</v>
      </c>
      <c r="U33" s="706">
        <f t="shared" si="13"/>
        <v>100</v>
      </c>
      <c r="V33" s="705" t="s">
        <v>14</v>
      </c>
      <c r="W33" s="706">
        <f t="shared" si="14"/>
        <v>100</v>
      </c>
      <c r="X33" s="1353"/>
      <c r="Y33" s="369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0"/>
      <c r="Q34" s="1350">
        <f t="shared" si="11"/>
        <v>111</v>
      </c>
      <c r="R34" s="705" t="s">
        <v>14</v>
      </c>
      <c r="S34" s="706">
        <f t="shared" si="12"/>
        <v>100</v>
      </c>
      <c r="T34" s="705" t="s">
        <v>14</v>
      </c>
      <c r="U34" s="706">
        <f t="shared" si="13"/>
        <v>100</v>
      </c>
      <c r="V34" s="705" t="s">
        <v>14</v>
      </c>
      <c r="W34" s="706">
        <f t="shared" si="14"/>
        <v>100</v>
      </c>
      <c r="X34" s="1353"/>
      <c r="Y34" s="369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0"/>
      <c r="Q36" s="1350">
        <f t="shared" si="11"/>
        <v>111</v>
      </c>
      <c r="R36" s="705" t="s">
        <v>14</v>
      </c>
      <c r="S36" s="706">
        <f t="shared" si="12"/>
        <v>100</v>
      </c>
      <c r="T36" s="705" t="s">
        <v>14</v>
      </c>
      <c r="U36" s="706">
        <f t="shared" si="13"/>
        <v>100</v>
      </c>
      <c r="V36" s="705" t="s">
        <v>14</v>
      </c>
      <c r="W36" s="706">
        <f t="shared" si="14"/>
        <v>100</v>
      </c>
      <c r="X36" s="1353"/>
      <c r="Y36" s="3690"/>
      <c r="Z36" s="1354">
        <f t="shared" si="15"/>
        <v>111</v>
      </c>
      <c r="AA36" s="1351">
        <f t="shared" si="3"/>
        <v>1</v>
      </c>
      <c r="AB36" s="1351">
        <f t="shared" si="4"/>
        <v>1</v>
      </c>
      <c r="AC36" s="1351">
        <f t="shared" si="5"/>
        <v>1</v>
      </c>
    </row>
    <row r="37" spans="1:29" ht="15">
      <c r="A37" s="430" t="s">
        <v>1844</v>
      </c>
      <c r="B37" s="1971" t="s">
        <v>3355</v>
      </c>
      <c r="C37" s="1152" t="s">
        <v>0</v>
      </c>
      <c r="D37" s="1153"/>
      <c r="E37" s="1154"/>
      <c r="F37" s="1155"/>
      <c r="G37" s="1156"/>
      <c r="H37" s="1157"/>
      <c r="I37" s="1154"/>
      <c r="J37" s="1157"/>
      <c r="K37" s="568"/>
      <c r="L37" s="2720"/>
      <c r="M37" s="2721"/>
      <c r="N37" s="2712"/>
      <c r="O37" s="2721"/>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0"/>
      <c r="M38" s="2721"/>
      <c r="N38" s="2721"/>
      <c r="O38" s="2721"/>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1" t="e">
        <f>R39</f>
        <v>#DIV/0!</v>
      </c>
      <c r="D39" s="1161"/>
      <c r="E39" s="1161"/>
      <c r="F39" s="1161"/>
      <c r="G39" s="1161"/>
      <c r="H39" s="1161"/>
      <c r="I39" s="1161"/>
      <c r="J39" s="1161"/>
      <c r="K39" s="569"/>
      <c r="L39" s="2720"/>
      <c r="M39" s="2721"/>
      <c r="N39" s="2721"/>
      <c r="O39" s="2721"/>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7"/>
      <c r="C47" s="940"/>
      <c r="D47" s="940"/>
      <c r="E47" s="940"/>
      <c r="F47" s="1165"/>
      <c r="G47" s="1165"/>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2" t="str">
        <f>YEAR(C7)&amp;"-"&amp;MONTH(C7)</f>
        <v>2024-12</v>
      </c>
      <c r="D48" s="1183">
        <f>EDATE(C48,-1)</f>
        <v>45597</v>
      </c>
      <c r="E48" s="1183">
        <f t="shared" ref="E48:O48" si="16">EDATE(D48,-1)</f>
        <v>45566</v>
      </c>
      <c r="F48" s="1183">
        <f t="shared" si="16"/>
        <v>45536</v>
      </c>
      <c r="G48" s="1183">
        <f t="shared" si="16"/>
        <v>45505</v>
      </c>
      <c r="H48" s="1183">
        <f t="shared" si="16"/>
        <v>45474</v>
      </c>
      <c r="I48" s="1183">
        <f t="shared" si="16"/>
        <v>45444</v>
      </c>
      <c r="J48" s="1183">
        <f t="shared" si="16"/>
        <v>45413</v>
      </c>
      <c r="K48" s="1183">
        <f t="shared" si="16"/>
        <v>45383</v>
      </c>
      <c r="L48" s="1183">
        <f t="shared" si="16"/>
        <v>45352</v>
      </c>
      <c r="M48" s="1183">
        <f t="shared" si="16"/>
        <v>45323</v>
      </c>
      <c r="N48" s="1183">
        <f t="shared" si="16"/>
        <v>45292</v>
      </c>
      <c r="O48" s="1183">
        <f t="shared" si="16"/>
        <v>45261</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7"/>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1"/>
      <c r="M4" s="2712"/>
      <c r="N4" s="2712"/>
      <c r="O4" s="2712"/>
      <c r="P4" s="3702" t="s">
        <v>1775</v>
      </c>
      <c r="Q4" s="3703"/>
      <c r="R4" s="3708" t="s">
        <v>1771</v>
      </c>
      <c r="S4" s="3709"/>
      <c r="T4" s="3708" t="s">
        <v>1772</v>
      </c>
      <c r="U4" s="3709"/>
      <c r="V4" s="3714" t="s">
        <v>1773</v>
      </c>
      <c r="W4" s="3714"/>
      <c r="X4" s="1353"/>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1"/>
      <c r="M5" s="2712"/>
      <c r="N5" s="2712"/>
      <c r="O5" s="2712"/>
      <c r="P5" s="3704"/>
      <c r="Q5" s="3705"/>
      <c r="R5" s="3710"/>
      <c r="S5" s="3711"/>
      <c r="T5" s="3710"/>
      <c r="U5" s="3711"/>
      <c r="V5" s="3714"/>
      <c r="W5" s="3714"/>
      <c r="X5" s="1353"/>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1"/>
      <c r="M6" s="2712"/>
      <c r="N6" s="2712"/>
      <c r="O6" s="2712"/>
      <c r="P6" s="3706"/>
      <c r="Q6" s="3707"/>
      <c r="R6" s="3710"/>
      <c r="S6" s="3711"/>
      <c r="T6" s="3712"/>
      <c r="U6" s="3713"/>
      <c r="V6" s="3714"/>
      <c r="W6" s="3714"/>
      <c r="X6" s="1353"/>
      <c r="Y6" s="3712"/>
      <c r="Z6" s="3713"/>
      <c r="AA6" s="3697"/>
      <c r="AB6" s="3697"/>
      <c r="AC6" s="3697"/>
    </row>
    <row r="7" spans="1:29" s="108" customFormat="1" ht="15.75" thickBot="1">
      <c r="A7" s="362" t="s">
        <v>1679</v>
      </c>
      <c r="B7" s="363"/>
      <c r="C7" s="364">
        <f>'数据-取费表'!B2</f>
        <v>45631</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3" t="s">
        <v>1686</v>
      </c>
      <c r="Q9" s="1341"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83"/>
      <c r="Q10" s="1341"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3"/>
      <c r="Q11" s="1341">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3"/>
      <c r="Q12" s="1341">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683"/>
      <c r="Q13" s="1341">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5" t="s">
        <v>1691</v>
      </c>
      <c r="Q14" s="1350" t="str">
        <f t="shared" si="6"/>
        <v>交通便捷度</v>
      </c>
      <c r="R14" s="705" t="s">
        <v>14</v>
      </c>
      <c r="S14" s="706">
        <f t="shared" si="0"/>
        <v>100</v>
      </c>
      <c r="T14" s="705" t="s">
        <v>14</v>
      </c>
      <c r="U14" s="706">
        <f t="shared" si="1"/>
        <v>100</v>
      </c>
      <c r="V14" s="705" t="s">
        <v>14</v>
      </c>
      <c r="W14" s="706">
        <f t="shared" si="2"/>
        <v>100</v>
      </c>
      <c r="X14" s="1353"/>
      <c r="Y14" s="368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686"/>
      <c r="Q15" s="1350"/>
      <c r="R15" s="705"/>
      <c r="S15" s="706"/>
      <c r="T15" s="705"/>
      <c r="U15" s="706"/>
      <c r="V15" s="705"/>
      <c r="W15" s="706"/>
      <c r="X15" s="1353"/>
      <c r="Y15" s="3686"/>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6"/>
      <c r="Q16" s="1350" t="str">
        <f>B16</f>
        <v>公共配套设施</v>
      </c>
      <c r="R16" s="705" t="s">
        <v>14</v>
      </c>
      <c r="S16" s="706">
        <f>F16</f>
        <v>100</v>
      </c>
      <c r="T16" s="705" t="s">
        <v>14</v>
      </c>
      <c r="U16" s="706">
        <f>H16</f>
        <v>100</v>
      </c>
      <c r="V16" s="705" t="s">
        <v>14</v>
      </c>
      <c r="W16" s="706">
        <f>J16</f>
        <v>100</v>
      </c>
      <c r="X16" s="1353"/>
      <c r="Y16" s="368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8"/>
      <c r="M17" s="2712"/>
      <c r="N17" s="2712"/>
      <c r="O17" s="2770"/>
      <c r="P17" s="3686"/>
      <c r="Q17" s="1350"/>
      <c r="R17" s="705"/>
      <c r="S17" s="706"/>
      <c r="T17" s="705"/>
      <c r="U17" s="706"/>
      <c r="V17" s="705"/>
      <c r="W17" s="706"/>
      <c r="X17" s="1353"/>
      <c r="Y17" s="3686"/>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6"/>
      <c r="Q18" s="1350" t="str">
        <f>B18</f>
        <v>基础设施水平</v>
      </c>
      <c r="R18" s="705" t="s">
        <v>14</v>
      </c>
      <c r="S18" s="706">
        <f>F18</f>
        <v>100</v>
      </c>
      <c r="T18" s="705" t="s">
        <v>14</v>
      </c>
      <c r="U18" s="706">
        <f>H18</f>
        <v>100</v>
      </c>
      <c r="V18" s="705" t="s">
        <v>14</v>
      </c>
      <c r="W18" s="706">
        <f>J18</f>
        <v>100</v>
      </c>
      <c r="X18" s="1353"/>
      <c r="Y18" s="368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8"/>
      <c r="M19" s="2712"/>
      <c r="N19" s="2712"/>
      <c r="O19" s="2770"/>
      <c r="P19" s="3686"/>
      <c r="Q19" s="1350"/>
      <c r="R19" s="705"/>
      <c r="S19" s="706"/>
      <c r="T19" s="705"/>
      <c r="U19" s="706"/>
      <c r="V19" s="705"/>
      <c r="W19" s="706"/>
      <c r="X19" s="1353"/>
      <c r="Y19" s="3686"/>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6"/>
      <c r="Q20" s="1350" t="str">
        <f>B20</f>
        <v>自然及人文环境</v>
      </c>
      <c r="R20" s="705" t="s">
        <v>14</v>
      </c>
      <c r="S20" s="706">
        <f>F20</f>
        <v>100</v>
      </c>
      <c r="T20" s="705" t="s">
        <v>14</v>
      </c>
      <c r="U20" s="706">
        <f>H20</f>
        <v>100</v>
      </c>
      <c r="V20" s="705" t="s">
        <v>14</v>
      </c>
      <c r="W20" s="706">
        <f>J20</f>
        <v>100</v>
      </c>
      <c r="X20" s="1353"/>
      <c r="Y20" s="368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686"/>
      <c r="Q21" s="1350"/>
      <c r="R21" s="705"/>
      <c r="S21" s="706"/>
      <c r="T21" s="705"/>
      <c r="U21" s="706"/>
      <c r="V21" s="705"/>
      <c r="W21" s="706"/>
      <c r="X21" s="1353"/>
      <c r="Y21" s="368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6"/>
      <c r="Q22" s="1350" t="str">
        <f>B22</f>
        <v>楼层</v>
      </c>
      <c r="R22" s="705" t="s">
        <v>14</v>
      </c>
      <c r="S22" s="706">
        <f>F22</f>
        <v>100</v>
      </c>
      <c r="T22" s="705" t="s">
        <v>14</v>
      </c>
      <c r="U22" s="706">
        <f>H22</f>
        <v>100</v>
      </c>
      <c r="V22" s="705" t="s">
        <v>14</v>
      </c>
      <c r="W22" s="706">
        <f>J22</f>
        <v>100</v>
      </c>
      <c r="X22" s="1353"/>
      <c r="Y22" s="368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6"/>
      <c r="Q23" s="1350">
        <f>B23</f>
        <v>111</v>
      </c>
      <c r="R23" s="705" t="s">
        <v>14</v>
      </c>
      <c r="S23" s="706">
        <f>F23</f>
        <v>100</v>
      </c>
      <c r="T23" s="705" t="s">
        <v>14</v>
      </c>
      <c r="U23" s="706">
        <f>H23</f>
        <v>100</v>
      </c>
      <c r="V23" s="705" t="s">
        <v>14</v>
      </c>
      <c r="W23" s="706">
        <f>J23</f>
        <v>100</v>
      </c>
      <c r="X23" s="1353"/>
      <c r="Y23" s="368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6"/>
      <c r="Q24" s="1350">
        <f t="shared" ref="Q24:Q34" si="11">B24</f>
        <v>111</v>
      </c>
      <c r="R24" s="705" t="s">
        <v>14</v>
      </c>
      <c r="S24" s="706">
        <f>F24</f>
        <v>100</v>
      </c>
      <c r="T24" s="705" t="s">
        <v>14</v>
      </c>
      <c r="U24" s="706">
        <f>H24</f>
        <v>100</v>
      </c>
      <c r="V24" s="705" t="s">
        <v>14</v>
      </c>
      <c r="W24" s="706">
        <f>J24</f>
        <v>100</v>
      </c>
      <c r="X24" s="1353"/>
      <c r="Y24" s="368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3"/>
      <c r="M25" s="2714"/>
      <c r="N25" s="2714"/>
      <c r="O25" s="2768"/>
      <c r="P25" s="3686"/>
      <c r="Q25" s="1341">
        <f t="shared" si="11"/>
        <v>111</v>
      </c>
      <c r="R25" s="701" t="s">
        <v>14</v>
      </c>
      <c r="S25" s="702">
        <f>F25</f>
        <v>100</v>
      </c>
      <c r="T25" s="701" t="s">
        <v>14</v>
      </c>
      <c r="U25" s="702">
        <f>H25</f>
        <v>100</v>
      </c>
      <c r="V25" s="701" t="s">
        <v>14</v>
      </c>
      <c r="W25" s="702">
        <f>J25</f>
        <v>100</v>
      </c>
      <c r="X25" s="703"/>
      <c r="Y25" s="368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8"/>
      <c r="M26" s="2712"/>
      <c r="N26" s="2712"/>
      <c r="O26" s="2770"/>
      <c r="P26" s="3741"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9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0"/>
      <c r="Q28" s="1350" t="str">
        <f t="shared" si="11"/>
        <v>物业等级</v>
      </c>
      <c r="R28" s="705" t="s">
        <v>14</v>
      </c>
      <c r="S28" s="706">
        <f t="shared" si="12"/>
        <v>100</v>
      </c>
      <c r="T28" s="705" t="s">
        <v>14</v>
      </c>
      <c r="U28" s="706">
        <f t="shared" si="13"/>
        <v>100</v>
      </c>
      <c r="V28" s="705" t="s">
        <v>14</v>
      </c>
      <c r="W28" s="706">
        <f t="shared" si="14"/>
        <v>100</v>
      </c>
      <c r="X28" s="1353"/>
      <c r="Y28" s="369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0"/>
      <c r="Q29" s="1350" t="str">
        <f t="shared" si="11"/>
        <v>有无电梯</v>
      </c>
      <c r="R29" s="705" t="s">
        <v>14</v>
      </c>
      <c r="S29" s="706">
        <f t="shared" si="12"/>
        <v>100</v>
      </c>
      <c r="T29" s="705" t="s">
        <v>14</v>
      </c>
      <c r="U29" s="706">
        <f t="shared" si="13"/>
        <v>100</v>
      </c>
      <c r="V29" s="705" t="s">
        <v>14</v>
      </c>
      <c r="W29" s="706">
        <f t="shared" si="14"/>
        <v>100</v>
      </c>
      <c r="X29" s="1353"/>
      <c r="Y29" s="369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0"/>
      <c r="Q30" s="1350" t="str">
        <f t="shared" si="11"/>
        <v>建筑面积</v>
      </c>
      <c r="R30" s="705" t="s">
        <v>14</v>
      </c>
      <c r="S30" s="706" t="e">
        <f t="shared" si="12"/>
        <v>#N/A</v>
      </c>
      <c r="T30" s="705" t="s">
        <v>14</v>
      </c>
      <c r="U30" s="706" t="e">
        <f t="shared" si="13"/>
        <v>#N/A</v>
      </c>
      <c r="V30" s="705" t="s">
        <v>14</v>
      </c>
      <c r="W30" s="706" t="e">
        <f t="shared" si="14"/>
        <v>#N/A</v>
      </c>
      <c r="X30" s="1353"/>
      <c r="Y30" s="369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0"/>
      <c r="Q31" s="1341"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0" t="s">
        <v>1696</v>
      </c>
      <c r="Q32" s="1350">
        <f t="shared" si="11"/>
        <v>111</v>
      </c>
      <c r="R32" s="705" t="s">
        <v>14</v>
      </c>
      <c r="S32" s="706">
        <f t="shared" si="12"/>
        <v>100</v>
      </c>
      <c r="T32" s="705" t="s">
        <v>14</v>
      </c>
      <c r="U32" s="706">
        <f t="shared" si="13"/>
        <v>100</v>
      </c>
      <c r="V32" s="705" t="s">
        <v>14</v>
      </c>
      <c r="W32" s="706">
        <f t="shared" si="14"/>
        <v>100</v>
      </c>
      <c r="X32" s="1353"/>
      <c r="Y32" s="369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0"/>
      <c r="Q33" s="1350">
        <f t="shared" si="11"/>
        <v>111</v>
      </c>
      <c r="R33" s="705" t="s">
        <v>14</v>
      </c>
      <c r="S33" s="706">
        <f t="shared" si="12"/>
        <v>100</v>
      </c>
      <c r="T33" s="705" t="s">
        <v>14</v>
      </c>
      <c r="U33" s="706">
        <f t="shared" si="13"/>
        <v>100</v>
      </c>
      <c r="V33" s="705" t="s">
        <v>14</v>
      </c>
      <c r="W33" s="706">
        <f t="shared" si="14"/>
        <v>100</v>
      </c>
      <c r="X33" s="1353"/>
      <c r="Y33" s="369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690"/>
      <c r="Q34" s="1350">
        <f t="shared" si="11"/>
        <v>111</v>
      </c>
      <c r="R34" s="705" t="s">
        <v>14</v>
      </c>
      <c r="S34" s="706">
        <f t="shared" si="12"/>
        <v>100</v>
      </c>
      <c r="T34" s="705" t="s">
        <v>14</v>
      </c>
      <c r="U34" s="706">
        <f t="shared" si="13"/>
        <v>100</v>
      </c>
      <c r="V34" s="705" t="s">
        <v>14</v>
      </c>
      <c r="W34" s="706">
        <f t="shared" si="14"/>
        <v>100</v>
      </c>
      <c r="X34" s="1353"/>
      <c r="Y34" s="369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4"/>
      <c r="L35" s="2720"/>
      <c r="M35" s="2721"/>
      <c r="N35" s="2712"/>
      <c r="O35" s="2721"/>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58" t="e">
        <f>R37</f>
        <v>#DIV/0!</v>
      </c>
      <c r="D36" s="2315" t="s">
        <v>2138</v>
      </c>
      <c r="E36" s="1159" t="e">
        <f>R36</f>
        <v>#DIV/0!</v>
      </c>
      <c r="F36" s="2316"/>
      <c r="G36" s="1158" t="e">
        <f>T36</f>
        <v>#DIV/0!</v>
      </c>
      <c r="H36" s="2316"/>
      <c r="I36" s="1159" t="e">
        <f>V36</f>
        <v>#DIV/0!</v>
      </c>
      <c r="J36" s="2316"/>
      <c r="K36" s="2318">
        <f>F36+H36+J36</f>
        <v>0</v>
      </c>
      <c r="L36" s="2720"/>
      <c r="M36" s="2721"/>
      <c r="N36" s="2712"/>
      <c r="O36" s="2721"/>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1" t="e">
        <f>R37</f>
        <v>#DIV/0!</v>
      </c>
      <c r="D37" s="1161"/>
      <c r="E37" s="1161"/>
      <c r="F37" s="1161"/>
      <c r="G37" s="1161"/>
      <c r="H37" s="1161"/>
      <c r="I37" s="1161"/>
      <c r="J37" s="1161"/>
      <c r="K37" s="715"/>
      <c r="L37" s="2720"/>
      <c r="M37" s="2721"/>
      <c r="N37" s="2721"/>
      <c r="O37" s="2721"/>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2" t="str">
        <f>YEAR(C7)&amp;"-"&amp;MONTH(C7)</f>
        <v>2024-12</v>
      </c>
      <c r="D46" s="1183">
        <f>EDATE(C46,-1)</f>
        <v>45597</v>
      </c>
      <c r="E46" s="1183">
        <f t="shared" ref="E46:O46" si="16">EDATE(D46,-1)</f>
        <v>45566</v>
      </c>
      <c r="F46" s="1183">
        <f t="shared" si="16"/>
        <v>45536</v>
      </c>
      <c r="G46" s="1183">
        <f t="shared" si="16"/>
        <v>45505</v>
      </c>
      <c r="H46" s="1183">
        <f t="shared" si="16"/>
        <v>45474</v>
      </c>
      <c r="I46" s="1183">
        <f t="shared" si="16"/>
        <v>45444</v>
      </c>
      <c r="J46" s="1183">
        <f t="shared" si="16"/>
        <v>45413</v>
      </c>
      <c r="K46" s="1183">
        <f t="shared" si="16"/>
        <v>45383</v>
      </c>
      <c r="L46" s="1183">
        <f t="shared" si="16"/>
        <v>45352</v>
      </c>
      <c r="M46" s="1183">
        <f t="shared" si="16"/>
        <v>45323</v>
      </c>
      <c r="N46" s="1183">
        <f t="shared" si="16"/>
        <v>45292</v>
      </c>
      <c r="O46" s="1183">
        <f t="shared" si="16"/>
        <v>45261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1"/>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1"/>
      <c r="M4" s="2712"/>
      <c r="N4" s="2712"/>
      <c r="O4" s="2712"/>
      <c r="P4" s="3702" t="s">
        <v>1775</v>
      </c>
      <c r="Q4" s="3703"/>
      <c r="R4" s="3708" t="s">
        <v>1771</v>
      </c>
      <c r="S4" s="3709"/>
      <c r="T4" s="3708" t="s">
        <v>1772</v>
      </c>
      <c r="U4" s="3709"/>
      <c r="V4" s="3714" t="s">
        <v>1773</v>
      </c>
      <c r="W4" s="3714"/>
      <c r="X4" s="1353"/>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1"/>
      <c r="M5" s="2712"/>
      <c r="N5" s="2712"/>
      <c r="O5" s="2712"/>
      <c r="P5" s="3704"/>
      <c r="Q5" s="3705"/>
      <c r="R5" s="3710"/>
      <c r="S5" s="3711"/>
      <c r="T5" s="3710"/>
      <c r="U5" s="3711"/>
      <c r="V5" s="3714"/>
      <c r="W5" s="3714"/>
      <c r="X5" s="1353"/>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1"/>
      <c r="M6" s="2712"/>
      <c r="N6" s="2712"/>
      <c r="O6" s="2712"/>
      <c r="P6" s="3706"/>
      <c r="Q6" s="3707"/>
      <c r="R6" s="3710"/>
      <c r="S6" s="3711"/>
      <c r="T6" s="3712"/>
      <c r="U6" s="3713"/>
      <c r="V6" s="3714"/>
      <c r="W6" s="3714"/>
      <c r="X6" s="1353"/>
      <c r="Y6" s="3712"/>
      <c r="Z6" s="3713"/>
      <c r="AA6" s="3697"/>
      <c r="AB6" s="3697"/>
      <c r="AC6" s="3697"/>
    </row>
    <row r="7" spans="1:30" s="108" customFormat="1" ht="15.75" thickBot="1">
      <c r="A7" s="362" t="s">
        <v>1679</v>
      </c>
      <c r="B7" s="363"/>
      <c r="C7" s="364">
        <f>'数据-取费表'!B2</f>
        <v>45631</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683" t="s">
        <v>1686</v>
      </c>
      <c r="Q9" s="1341"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5"/>
      <c r="M10" s="2716"/>
      <c r="N10" s="2716"/>
      <c r="O10" s="2769"/>
      <c r="P10" s="3683"/>
      <c r="Q10" s="1341" t="str">
        <f t="shared" si="6"/>
        <v>土地使用年限（年）</v>
      </c>
      <c r="R10" s="701" t="s">
        <v>14</v>
      </c>
      <c r="S10" s="702">
        <f t="shared" si="0"/>
        <v>109</v>
      </c>
      <c r="T10" s="701" t="s">
        <v>14</v>
      </c>
      <c r="U10" s="702">
        <f t="shared" si="1"/>
        <v>109</v>
      </c>
      <c r="V10" s="701" t="s">
        <v>14</v>
      </c>
      <c r="W10" s="702">
        <f t="shared" si="2"/>
        <v>109</v>
      </c>
      <c r="X10" s="703"/>
      <c r="Y10" s="3558"/>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83"/>
      <c r="Q11" s="1341"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3"/>
      <c r="Q12" s="1341"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3"/>
      <c r="Q13" s="1341">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3"/>
      <c r="Q14" s="1341">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5" t="s">
        <v>1691</v>
      </c>
      <c r="Q15" s="1350" t="str">
        <f t="shared" si="6"/>
        <v>居住社区成熟度</v>
      </c>
      <c r="R15" s="705" t="s">
        <v>14</v>
      </c>
      <c r="S15" s="706">
        <f t="shared" si="0"/>
        <v>100</v>
      </c>
      <c r="T15" s="705" t="s">
        <v>14</v>
      </c>
      <c r="U15" s="706">
        <f t="shared" si="1"/>
        <v>100</v>
      </c>
      <c r="V15" s="705" t="s">
        <v>14</v>
      </c>
      <c r="W15" s="706">
        <f t="shared" si="2"/>
        <v>100</v>
      </c>
      <c r="X15" s="1353"/>
      <c r="Y15" s="368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8"/>
      <c r="M16" s="2712"/>
      <c r="N16" s="2712"/>
      <c r="O16" s="2770"/>
      <c r="P16" s="3686"/>
      <c r="Q16" s="1350"/>
      <c r="R16" s="705"/>
      <c r="S16" s="706"/>
      <c r="T16" s="705"/>
      <c r="U16" s="706"/>
      <c r="V16" s="705"/>
      <c r="W16" s="706"/>
      <c r="X16" s="1353"/>
      <c r="Y16" s="3686"/>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86"/>
      <c r="Q17" s="1350" t="str">
        <f>B17</f>
        <v>商业繁华度</v>
      </c>
      <c r="R17" s="705" t="s">
        <v>14</v>
      </c>
      <c r="S17" s="706">
        <f>F17</f>
        <v>100</v>
      </c>
      <c r="T17" s="705" t="s">
        <v>14</v>
      </c>
      <c r="U17" s="706">
        <f>H17</f>
        <v>100</v>
      </c>
      <c r="V17" s="705" t="s">
        <v>14</v>
      </c>
      <c r="W17" s="706">
        <f>J17</f>
        <v>100</v>
      </c>
      <c r="X17" s="1353"/>
      <c r="Y17" s="368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8"/>
      <c r="M18" s="2712"/>
      <c r="N18" s="2712"/>
      <c r="O18" s="2770"/>
      <c r="P18" s="3686"/>
      <c r="Q18" s="1350"/>
      <c r="R18" s="705"/>
      <c r="S18" s="706"/>
      <c r="T18" s="705"/>
      <c r="U18" s="706"/>
      <c r="V18" s="705"/>
      <c r="W18" s="706"/>
      <c r="X18" s="1353"/>
      <c r="Y18" s="3686"/>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86"/>
      <c r="Q19" s="1350" t="str">
        <f>B19</f>
        <v>办公集聚程度</v>
      </c>
      <c r="R19" s="705" t="s">
        <v>14</v>
      </c>
      <c r="S19" s="706">
        <f>F19</f>
        <v>100</v>
      </c>
      <c r="T19" s="705" t="s">
        <v>14</v>
      </c>
      <c r="U19" s="706">
        <f>H19</f>
        <v>100</v>
      </c>
      <c r="V19" s="705" t="s">
        <v>14</v>
      </c>
      <c r="W19" s="706">
        <f>J19</f>
        <v>100</v>
      </c>
      <c r="X19" s="1353"/>
      <c r="Y19" s="368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8"/>
      <c r="M20" s="2712"/>
      <c r="N20" s="2712"/>
      <c r="O20" s="2770"/>
      <c r="P20" s="3686"/>
      <c r="Q20" s="1350"/>
      <c r="R20" s="705"/>
      <c r="S20" s="706"/>
      <c r="T20" s="705"/>
      <c r="U20" s="706"/>
      <c r="V20" s="705"/>
      <c r="W20" s="706"/>
      <c r="X20" s="1353"/>
      <c r="Y20" s="3686"/>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86"/>
      <c r="Q21" s="1350" t="str">
        <f>B21</f>
        <v>交通便捷度</v>
      </c>
      <c r="R21" s="705" t="s">
        <v>14</v>
      </c>
      <c r="S21" s="706">
        <f>F21</f>
        <v>100</v>
      </c>
      <c r="T21" s="705" t="s">
        <v>14</v>
      </c>
      <c r="U21" s="706">
        <f>H21</f>
        <v>100</v>
      </c>
      <c r="V21" s="705" t="s">
        <v>14</v>
      </c>
      <c r="W21" s="706">
        <f>J21</f>
        <v>100</v>
      </c>
      <c r="X21" s="1353"/>
      <c r="Y21" s="368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8"/>
      <c r="M22" s="2712"/>
      <c r="N22" s="2712"/>
      <c r="O22" s="2770"/>
      <c r="P22" s="3686"/>
      <c r="Q22" s="1350"/>
      <c r="R22" s="705"/>
      <c r="S22" s="706"/>
      <c r="T22" s="705"/>
      <c r="U22" s="706"/>
      <c r="V22" s="705"/>
      <c r="W22" s="706"/>
      <c r="X22" s="1353"/>
      <c r="Y22" s="368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86"/>
      <c r="Q23" s="1350" t="str">
        <f t="shared" ref="Q23:Q37" si="8">B23</f>
        <v>区域土地利用方向</v>
      </c>
      <c r="R23" s="705" t="s">
        <v>14</v>
      </c>
      <c r="S23" s="706">
        <f>F23</f>
        <v>100</v>
      </c>
      <c r="T23" s="705" t="s">
        <v>14</v>
      </c>
      <c r="U23" s="706">
        <f>H23</f>
        <v>100</v>
      </c>
      <c r="V23" s="705" t="s">
        <v>14</v>
      </c>
      <c r="W23" s="706">
        <f>J23</f>
        <v>100</v>
      </c>
      <c r="X23" s="1353"/>
      <c r="Y23" s="368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18"/>
      <c r="M24" s="2712"/>
      <c r="N24" s="2712"/>
      <c r="O24" s="2770"/>
      <c r="P24" s="3686"/>
      <c r="Q24" s="1350"/>
      <c r="R24" s="705"/>
      <c r="S24" s="706"/>
      <c r="T24" s="705"/>
      <c r="U24" s="706"/>
      <c r="V24" s="705"/>
      <c r="W24" s="706"/>
      <c r="X24" s="1353"/>
      <c r="Y24" s="3686"/>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86"/>
      <c r="Q25" s="1350" t="str">
        <f t="shared" si="8"/>
        <v>自然及人文环境状况</v>
      </c>
      <c r="R25" s="705" t="s">
        <v>14</v>
      </c>
      <c r="S25" s="706">
        <f>F25</f>
        <v>100</v>
      </c>
      <c r="T25" s="705" t="s">
        <v>14</v>
      </c>
      <c r="U25" s="706">
        <f>H25</f>
        <v>100</v>
      </c>
      <c r="V25" s="705" t="s">
        <v>14</v>
      </c>
      <c r="W25" s="706">
        <f>J25</f>
        <v>100</v>
      </c>
      <c r="X25" s="1353"/>
      <c r="Y25" s="368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8"/>
      <c r="M26" s="2712"/>
      <c r="N26" s="2712"/>
      <c r="O26" s="2770"/>
      <c r="P26" s="3686"/>
      <c r="Q26" s="1350"/>
      <c r="R26" s="705"/>
      <c r="S26" s="706"/>
      <c r="T26" s="705"/>
      <c r="U26" s="706"/>
      <c r="V26" s="705"/>
      <c r="W26" s="706"/>
      <c r="X26" s="1353"/>
      <c r="Y26" s="3686"/>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86"/>
      <c r="Q27" s="1341" t="str">
        <f t="shared" si="8"/>
        <v>公共配套设施</v>
      </c>
      <c r="R27" s="701" t="s">
        <v>14</v>
      </c>
      <c r="S27" s="702">
        <f>F27</f>
        <v>100</v>
      </c>
      <c r="T27" s="701" t="s">
        <v>14</v>
      </c>
      <c r="U27" s="702">
        <f>H27</f>
        <v>100</v>
      </c>
      <c r="V27" s="701" t="s">
        <v>14</v>
      </c>
      <c r="W27" s="702">
        <f>J27</f>
        <v>100</v>
      </c>
      <c r="X27" s="703"/>
      <c r="Y27" s="368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3"/>
      <c r="M28" s="2714"/>
      <c r="N28" s="2714"/>
      <c r="O28" s="2768"/>
      <c r="P28" s="3686"/>
      <c r="Q28" s="1341"/>
      <c r="R28" s="701"/>
      <c r="S28" s="702"/>
      <c r="T28" s="701"/>
      <c r="U28" s="702"/>
      <c r="V28" s="701"/>
      <c r="W28" s="702"/>
      <c r="X28" s="703"/>
      <c r="Y28" s="3686"/>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86"/>
      <c r="Q29" s="1341"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3"/>
      <c r="M30" s="2714"/>
      <c r="N30" s="2714"/>
      <c r="O30" s="2768"/>
      <c r="P30" s="3686"/>
      <c r="Q30" s="1341"/>
      <c r="R30" s="701"/>
      <c r="S30" s="702"/>
      <c r="T30" s="701"/>
      <c r="U30" s="702"/>
      <c r="V30" s="701"/>
      <c r="W30" s="702"/>
      <c r="X30" s="703"/>
      <c r="Y30" s="368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6"/>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8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6"/>
      <c r="Q32" s="1350" t="str">
        <f t="shared" si="8"/>
        <v>毗邻道路的类型与等级</v>
      </c>
      <c r="R32" s="705" t="s">
        <v>14</v>
      </c>
      <c r="S32" s="706">
        <f t="shared" si="10"/>
        <v>100</v>
      </c>
      <c r="T32" s="705" t="s">
        <v>14</v>
      </c>
      <c r="U32" s="706">
        <f t="shared" si="11"/>
        <v>100</v>
      </c>
      <c r="V32" s="705" t="s">
        <v>14</v>
      </c>
      <c r="W32" s="706">
        <f t="shared" si="12"/>
        <v>100</v>
      </c>
      <c r="X32" s="1353"/>
      <c r="Y32" s="368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8"/>
      <c r="M33" s="2712"/>
      <c r="N33" s="2712"/>
      <c r="O33" s="2770"/>
      <c r="P33" s="3686"/>
      <c r="Q33" s="1350"/>
      <c r="R33" s="705"/>
      <c r="S33" s="706"/>
      <c r="T33" s="705"/>
      <c r="U33" s="706"/>
      <c r="V33" s="705"/>
      <c r="W33" s="706"/>
      <c r="X33" s="1353"/>
      <c r="Y33" s="368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6"/>
      <c r="Q34" s="1350" t="str">
        <f t="shared" si="8"/>
        <v>土地级别</v>
      </c>
      <c r="R34" s="705" t="s">
        <v>14</v>
      </c>
      <c r="S34" s="706">
        <f t="shared" si="10"/>
        <v>100</v>
      </c>
      <c r="T34" s="705" t="s">
        <v>14</v>
      </c>
      <c r="U34" s="706">
        <f t="shared" si="11"/>
        <v>100</v>
      </c>
      <c r="V34" s="705" t="s">
        <v>14</v>
      </c>
      <c r="W34" s="706">
        <f t="shared" si="12"/>
        <v>100</v>
      </c>
      <c r="X34" s="1353"/>
      <c r="Y34" s="368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6"/>
      <c r="Q35" s="1350">
        <f t="shared" si="8"/>
        <v>111</v>
      </c>
      <c r="R35" s="705" t="s">
        <v>14</v>
      </c>
      <c r="S35" s="706">
        <f t="shared" si="10"/>
        <v>100</v>
      </c>
      <c r="T35" s="705" t="s">
        <v>14</v>
      </c>
      <c r="U35" s="706">
        <f t="shared" si="11"/>
        <v>100</v>
      </c>
      <c r="V35" s="705" t="s">
        <v>14</v>
      </c>
      <c r="W35" s="706">
        <f t="shared" si="12"/>
        <v>100</v>
      </c>
      <c r="X35" s="1353"/>
      <c r="Y35" s="368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1" t="s">
        <v>1696</v>
      </c>
      <c r="Q36" s="1350">
        <f t="shared" si="8"/>
        <v>111</v>
      </c>
      <c r="R36" s="705" t="s">
        <v>14</v>
      </c>
      <c r="S36" s="706">
        <f t="shared" si="10"/>
        <v>100</v>
      </c>
      <c r="T36" s="705" t="s">
        <v>14</v>
      </c>
      <c r="U36" s="706">
        <f t="shared" si="11"/>
        <v>100</v>
      </c>
      <c r="V36" s="705" t="s">
        <v>14</v>
      </c>
      <c r="W36" s="706">
        <f t="shared" si="12"/>
        <v>100</v>
      </c>
      <c r="X36" s="1353"/>
      <c r="Y36" s="369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0"/>
      <c r="Q37" s="1350">
        <f t="shared" si="8"/>
        <v>111</v>
      </c>
      <c r="R37" s="708" t="s">
        <v>14</v>
      </c>
      <c r="S37" s="709">
        <f t="shared" si="10"/>
        <v>100</v>
      </c>
      <c r="T37" s="708" t="s">
        <v>14</v>
      </c>
      <c r="U37" s="709">
        <f t="shared" si="11"/>
        <v>100</v>
      </c>
      <c r="V37" s="708" t="s">
        <v>14</v>
      </c>
      <c r="W37" s="709">
        <f t="shared" si="12"/>
        <v>100</v>
      </c>
      <c r="X37" s="710"/>
      <c r="Y37" s="3690"/>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0"/>
      <c r="Q38" s="1350" t="str">
        <f>B38</f>
        <v>宗地面积</v>
      </c>
      <c r="R38" s="705" t="s">
        <v>14</v>
      </c>
      <c r="S38" s="706" t="e">
        <f t="shared" si="10"/>
        <v>#N/A</v>
      </c>
      <c r="T38" s="705" t="s">
        <v>14</v>
      </c>
      <c r="U38" s="706" t="e">
        <f t="shared" si="11"/>
        <v>#N/A</v>
      </c>
      <c r="V38" s="705" t="s">
        <v>14</v>
      </c>
      <c r="W38" s="706" t="e">
        <f t="shared" si="12"/>
        <v>#N/A</v>
      </c>
      <c r="X38" s="1353"/>
      <c r="Y38" s="369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690"/>
      <c r="Q39" s="1350" t="str">
        <f t="shared" ref="Q39:Q45" si="14">B39</f>
        <v>宗地形状</v>
      </c>
      <c r="R39" s="705" t="s">
        <v>14</v>
      </c>
      <c r="S39" s="706">
        <f t="shared" si="10"/>
        <v>100</v>
      </c>
      <c r="T39" s="705" t="s">
        <v>14</v>
      </c>
      <c r="U39" s="706">
        <f t="shared" si="11"/>
        <v>100</v>
      </c>
      <c r="V39" s="705" t="s">
        <v>14</v>
      </c>
      <c r="W39" s="706">
        <f t="shared" si="12"/>
        <v>100</v>
      </c>
      <c r="X39" s="1353"/>
      <c r="Y39" s="369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690"/>
      <c r="Q40" s="1350" t="str">
        <f t="shared" si="14"/>
        <v>临街宽度及深度</v>
      </c>
      <c r="R40" s="705" t="s">
        <v>14</v>
      </c>
      <c r="S40" s="706">
        <f t="shared" si="10"/>
        <v>100</v>
      </c>
      <c r="T40" s="705" t="s">
        <v>14</v>
      </c>
      <c r="U40" s="706">
        <f t="shared" si="11"/>
        <v>100</v>
      </c>
      <c r="V40" s="705" t="s">
        <v>14</v>
      </c>
      <c r="W40" s="706">
        <f t="shared" si="12"/>
        <v>100</v>
      </c>
      <c r="X40" s="1353"/>
      <c r="Y40" s="369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690"/>
      <c r="Q41" s="1350"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690" t="s">
        <v>1696</v>
      </c>
      <c r="Q42" s="1350" t="str">
        <f t="shared" si="14"/>
        <v>工程地质条件</v>
      </c>
      <c r="R42" s="705" t="s">
        <v>14</v>
      </c>
      <c r="S42" s="706">
        <f t="shared" si="10"/>
        <v>100</v>
      </c>
      <c r="T42" s="705" t="s">
        <v>14</v>
      </c>
      <c r="U42" s="706">
        <f t="shared" si="11"/>
        <v>100</v>
      </c>
      <c r="V42" s="705" t="s">
        <v>14</v>
      </c>
      <c r="W42" s="706">
        <f t="shared" si="12"/>
        <v>100</v>
      </c>
      <c r="X42" s="1353"/>
      <c r="Y42" s="369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0"/>
      <c r="Q43" s="1350">
        <f t="shared" si="14"/>
        <v>111</v>
      </c>
      <c r="R43" s="705" t="s">
        <v>14</v>
      </c>
      <c r="S43" s="706">
        <f t="shared" si="10"/>
        <v>100</v>
      </c>
      <c r="T43" s="705" t="s">
        <v>14</v>
      </c>
      <c r="U43" s="706">
        <f t="shared" si="11"/>
        <v>100</v>
      </c>
      <c r="V43" s="705" t="s">
        <v>14</v>
      </c>
      <c r="W43" s="706">
        <f t="shared" si="12"/>
        <v>100</v>
      </c>
      <c r="X43" s="1353"/>
      <c r="Y43" s="369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0"/>
      <c r="Q44" s="1350">
        <f t="shared" si="14"/>
        <v>111</v>
      </c>
      <c r="R44" s="705" t="s">
        <v>14</v>
      </c>
      <c r="S44" s="706">
        <f t="shared" si="10"/>
        <v>100</v>
      </c>
      <c r="T44" s="705" t="s">
        <v>14</v>
      </c>
      <c r="U44" s="706">
        <f t="shared" si="11"/>
        <v>100</v>
      </c>
      <c r="V44" s="705" t="s">
        <v>14</v>
      </c>
      <c r="W44" s="706">
        <f t="shared" si="12"/>
        <v>100</v>
      </c>
      <c r="X44" s="1353"/>
      <c r="Y44" s="369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0"/>
      <c r="Q45" s="1350">
        <f t="shared" si="14"/>
        <v>111</v>
      </c>
      <c r="R45" s="708" t="s">
        <v>14</v>
      </c>
      <c r="S45" s="709">
        <f t="shared" si="10"/>
        <v>100</v>
      </c>
      <c r="T45" s="708" t="s">
        <v>14</v>
      </c>
      <c r="U45" s="709">
        <f t="shared" si="11"/>
        <v>100</v>
      </c>
      <c r="V45" s="708" t="s">
        <v>14</v>
      </c>
      <c r="W45" s="709">
        <f t="shared" si="12"/>
        <v>100</v>
      </c>
      <c r="X45" s="710"/>
      <c r="Y45" s="3690"/>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0"/>
      <c r="M46" s="2721"/>
      <c r="N46" s="2712"/>
      <c r="O46" s="2721"/>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0"/>
      <c r="M47" s="2721"/>
      <c r="N47" s="2721"/>
      <c r="O47" s="2721"/>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1" t="s">
        <v>1883</v>
      </c>
      <c r="D55" s="1982" t="s">
        <v>1884</v>
      </c>
      <c r="E55" s="634" t="s">
        <v>1885</v>
      </c>
      <c r="F55" s="890" t="s">
        <v>1886</v>
      </c>
      <c r="G55" s="3698" t="s">
        <v>1887</v>
      </c>
      <c r="H55" s="3745"/>
      <c r="I55" s="135"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52974.33</v>
      </c>
      <c r="F56" s="886" t="e">
        <f t="shared" ref="F56:F64" si="15">ROUND(B56*E56/10000,0)</f>
        <v>#DIV/0!</v>
      </c>
      <c r="G56" s="3694"/>
      <c r="H56" s="368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52974.33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1"/>
      <c r="M4" s="2712"/>
      <c r="N4" s="2712"/>
      <c r="O4" s="2712"/>
      <c r="P4" s="3702" t="s">
        <v>1775</v>
      </c>
      <c r="Q4" s="3703"/>
      <c r="R4" s="3708" t="s">
        <v>1771</v>
      </c>
      <c r="S4" s="3709"/>
      <c r="T4" s="3708" t="s">
        <v>1772</v>
      </c>
      <c r="U4" s="3709"/>
      <c r="V4" s="3714" t="s">
        <v>1773</v>
      </c>
      <c r="W4" s="3714"/>
      <c r="X4" s="1353"/>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1"/>
      <c r="M5" s="2712"/>
      <c r="N5" s="2712"/>
      <c r="O5" s="2712"/>
      <c r="P5" s="3704"/>
      <c r="Q5" s="3705"/>
      <c r="R5" s="3710"/>
      <c r="S5" s="3711"/>
      <c r="T5" s="3710"/>
      <c r="U5" s="3711"/>
      <c r="V5" s="3714"/>
      <c r="W5" s="3714"/>
      <c r="X5" s="1353"/>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1"/>
      <c r="M6" s="2712"/>
      <c r="N6" s="2712"/>
      <c r="O6" s="2712"/>
      <c r="P6" s="3706"/>
      <c r="Q6" s="3707"/>
      <c r="R6" s="3710"/>
      <c r="S6" s="3711"/>
      <c r="T6" s="3712"/>
      <c r="U6" s="3713"/>
      <c r="V6" s="3714"/>
      <c r="W6" s="3714"/>
      <c r="X6" s="1353"/>
      <c r="Y6" s="3712"/>
      <c r="Z6" s="3713"/>
      <c r="AA6" s="3697"/>
      <c r="AB6" s="3697"/>
      <c r="AC6" s="3697"/>
    </row>
    <row r="7" spans="1:29" s="108" customFormat="1" ht="15.75" thickBot="1">
      <c r="A7" s="362" t="s">
        <v>1679</v>
      </c>
      <c r="B7" s="363"/>
      <c r="C7" s="364">
        <f>'数据-取费表'!B2</f>
        <v>45631</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683" t="s">
        <v>1686</v>
      </c>
      <c r="Q9" s="1341"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5"/>
      <c r="M10" s="2716"/>
      <c r="N10" s="2716"/>
      <c r="O10" s="2769"/>
      <c r="P10" s="3683"/>
      <c r="Q10" s="1341" t="str">
        <f t="shared" si="6"/>
        <v>土地使用年限（年）</v>
      </c>
      <c r="R10" s="701" t="s">
        <v>14</v>
      </c>
      <c r="S10" s="702">
        <f t="shared" si="0"/>
        <v>109</v>
      </c>
      <c r="T10" s="701" t="s">
        <v>14</v>
      </c>
      <c r="U10" s="702">
        <f t="shared" si="1"/>
        <v>109</v>
      </c>
      <c r="V10" s="701" t="s">
        <v>14</v>
      </c>
      <c r="W10" s="702">
        <f t="shared" si="2"/>
        <v>109</v>
      </c>
      <c r="X10" s="703"/>
      <c r="Y10" s="3558"/>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83"/>
      <c r="Q11" s="1341"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3"/>
      <c r="Q12" s="1341">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3"/>
      <c r="Q13" s="1341">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3"/>
      <c r="Q14" s="1341">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5" t="s">
        <v>1691</v>
      </c>
      <c r="Q15" s="1350" t="str">
        <f t="shared" si="6"/>
        <v>产业集聚程度</v>
      </c>
      <c r="R15" s="705" t="s">
        <v>14</v>
      </c>
      <c r="S15" s="706">
        <f t="shared" si="0"/>
        <v>100</v>
      </c>
      <c r="T15" s="705" t="s">
        <v>14</v>
      </c>
      <c r="U15" s="706">
        <f t="shared" si="1"/>
        <v>100</v>
      </c>
      <c r="V15" s="705" t="s">
        <v>14</v>
      </c>
      <c r="W15" s="706">
        <f t="shared" si="2"/>
        <v>100</v>
      </c>
      <c r="X15" s="1353"/>
      <c r="Y15" s="368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8"/>
      <c r="M16" s="2712"/>
      <c r="N16" s="2712"/>
      <c r="O16" s="2770"/>
      <c r="P16" s="3686"/>
      <c r="Q16" s="1350"/>
      <c r="R16" s="705"/>
      <c r="S16" s="706"/>
      <c r="T16" s="705"/>
      <c r="U16" s="706"/>
      <c r="V16" s="705"/>
      <c r="W16" s="706"/>
      <c r="X16" s="1353"/>
      <c r="Y16" s="368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86"/>
      <c r="Q17" s="1350" t="str">
        <f>B17</f>
        <v>交通便捷度</v>
      </c>
      <c r="R17" s="705" t="s">
        <v>14</v>
      </c>
      <c r="S17" s="706">
        <f>F17</f>
        <v>100</v>
      </c>
      <c r="T17" s="705" t="s">
        <v>14</v>
      </c>
      <c r="U17" s="706">
        <f>H17</f>
        <v>100</v>
      </c>
      <c r="V17" s="705" t="s">
        <v>14</v>
      </c>
      <c r="W17" s="706">
        <f>J17</f>
        <v>100</v>
      </c>
      <c r="X17" s="1353"/>
      <c r="Y17" s="368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8"/>
      <c r="M18" s="2712"/>
      <c r="N18" s="2712"/>
      <c r="O18" s="2770"/>
      <c r="P18" s="3686"/>
      <c r="Q18" s="1350"/>
      <c r="R18" s="705"/>
      <c r="S18" s="706"/>
      <c r="T18" s="705"/>
      <c r="U18" s="706"/>
      <c r="V18" s="705"/>
      <c r="W18" s="706"/>
      <c r="X18" s="1353"/>
      <c r="Y18" s="368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86"/>
      <c r="Q19" s="1350" t="str">
        <f t="shared" ref="Q19:Q33" si="8">B19</f>
        <v>区域土地利用方向</v>
      </c>
      <c r="R19" s="705" t="s">
        <v>14</v>
      </c>
      <c r="S19" s="706">
        <f>F19</f>
        <v>100</v>
      </c>
      <c r="T19" s="705" t="s">
        <v>14</v>
      </c>
      <c r="U19" s="706">
        <f>H19</f>
        <v>100</v>
      </c>
      <c r="V19" s="705" t="s">
        <v>14</v>
      </c>
      <c r="W19" s="706">
        <f>J19</f>
        <v>100</v>
      </c>
      <c r="X19" s="1353"/>
      <c r="Y19" s="368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8"/>
      <c r="M20" s="2712"/>
      <c r="N20" s="2712"/>
      <c r="O20" s="2770"/>
      <c r="P20" s="3686"/>
      <c r="Q20" s="1350"/>
      <c r="R20" s="705"/>
      <c r="S20" s="706"/>
      <c r="T20" s="705"/>
      <c r="U20" s="706"/>
      <c r="V20" s="705"/>
      <c r="W20" s="706"/>
      <c r="X20" s="1353"/>
      <c r="Y20" s="368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86"/>
      <c r="Q21" s="1350" t="str">
        <f t="shared" si="8"/>
        <v>环境状况</v>
      </c>
      <c r="R21" s="705" t="s">
        <v>14</v>
      </c>
      <c r="S21" s="706">
        <f>F21</f>
        <v>100</v>
      </c>
      <c r="T21" s="705" t="s">
        <v>14</v>
      </c>
      <c r="U21" s="706">
        <f>H21</f>
        <v>100</v>
      </c>
      <c r="V21" s="705" t="s">
        <v>14</v>
      </c>
      <c r="W21" s="706">
        <f>J21</f>
        <v>100</v>
      </c>
      <c r="X21" s="1353"/>
      <c r="Y21" s="368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8"/>
      <c r="M22" s="2712"/>
      <c r="N22" s="2712"/>
      <c r="O22" s="2770"/>
      <c r="P22" s="3686"/>
      <c r="Q22" s="1350"/>
      <c r="R22" s="705"/>
      <c r="S22" s="706"/>
      <c r="T22" s="705"/>
      <c r="U22" s="706"/>
      <c r="V22" s="705"/>
      <c r="W22" s="706"/>
      <c r="X22" s="1353"/>
      <c r="Y22" s="368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86"/>
      <c r="Q23" s="1341" t="str">
        <f t="shared" si="8"/>
        <v>公共配套设施</v>
      </c>
      <c r="R23" s="701" t="s">
        <v>14</v>
      </c>
      <c r="S23" s="702">
        <f>F23</f>
        <v>100</v>
      </c>
      <c r="T23" s="701" t="s">
        <v>14</v>
      </c>
      <c r="U23" s="702">
        <f>H23</f>
        <v>100</v>
      </c>
      <c r="V23" s="701" t="s">
        <v>14</v>
      </c>
      <c r="W23" s="702">
        <f>J23</f>
        <v>100</v>
      </c>
      <c r="X23" s="703"/>
      <c r="Y23" s="368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3"/>
      <c r="M24" s="2714"/>
      <c r="N24" s="2714"/>
      <c r="O24" s="2768"/>
      <c r="P24" s="3686"/>
      <c r="Q24" s="1341"/>
      <c r="R24" s="701"/>
      <c r="S24" s="702"/>
      <c r="T24" s="701"/>
      <c r="U24" s="702"/>
      <c r="V24" s="701"/>
      <c r="W24" s="702"/>
      <c r="X24" s="703"/>
      <c r="Y24" s="3686"/>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86"/>
      <c r="Q25" s="1341"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3"/>
      <c r="M26" s="2714"/>
      <c r="N26" s="2714"/>
      <c r="O26" s="2768"/>
      <c r="P26" s="3686"/>
      <c r="Q26" s="1341"/>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6"/>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8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6"/>
      <c r="Q28" s="1350" t="str">
        <f t="shared" si="8"/>
        <v>毗邻道路的类型与等级</v>
      </c>
      <c r="R28" s="705" t="s">
        <v>14</v>
      </c>
      <c r="S28" s="706">
        <f t="shared" si="10"/>
        <v>100</v>
      </c>
      <c r="T28" s="705" t="s">
        <v>14</v>
      </c>
      <c r="U28" s="706">
        <f t="shared" si="11"/>
        <v>100</v>
      </c>
      <c r="V28" s="705" t="s">
        <v>14</v>
      </c>
      <c r="W28" s="706">
        <f t="shared" si="12"/>
        <v>100</v>
      </c>
      <c r="X28" s="1353"/>
      <c r="Y28" s="368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8"/>
      <c r="M29" s="2712"/>
      <c r="N29" s="2712"/>
      <c r="O29" s="2770"/>
      <c r="P29" s="3686"/>
      <c r="Q29" s="1350"/>
      <c r="R29" s="705"/>
      <c r="S29" s="706"/>
      <c r="T29" s="705"/>
      <c r="U29" s="706"/>
      <c r="V29" s="705"/>
      <c r="W29" s="706"/>
      <c r="X29" s="1353"/>
      <c r="Y29" s="368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6"/>
      <c r="Q30" s="1350" t="str">
        <f t="shared" si="8"/>
        <v>土地级别</v>
      </c>
      <c r="R30" s="705" t="s">
        <v>14</v>
      </c>
      <c r="S30" s="706">
        <f t="shared" si="10"/>
        <v>100</v>
      </c>
      <c r="T30" s="705" t="s">
        <v>14</v>
      </c>
      <c r="U30" s="706">
        <f t="shared" si="11"/>
        <v>100</v>
      </c>
      <c r="V30" s="705" t="s">
        <v>14</v>
      </c>
      <c r="W30" s="706">
        <f t="shared" si="12"/>
        <v>100</v>
      </c>
      <c r="X30" s="1353"/>
      <c r="Y30" s="368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6"/>
      <c r="Q31" s="1350">
        <f t="shared" si="8"/>
        <v>111</v>
      </c>
      <c r="R31" s="705" t="s">
        <v>14</v>
      </c>
      <c r="S31" s="706">
        <f t="shared" si="10"/>
        <v>100</v>
      </c>
      <c r="T31" s="705" t="s">
        <v>14</v>
      </c>
      <c r="U31" s="706">
        <f t="shared" si="11"/>
        <v>100</v>
      </c>
      <c r="V31" s="705" t="s">
        <v>14</v>
      </c>
      <c r="W31" s="706">
        <f t="shared" si="12"/>
        <v>100</v>
      </c>
      <c r="X31" s="1353"/>
      <c r="Y31" s="368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1" t="s">
        <v>1696</v>
      </c>
      <c r="Q32" s="1350">
        <f t="shared" si="8"/>
        <v>111</v>
      </c>
      <c r="R32" s="705" t="s">
        <v>14</v>
      </c>
      <c r="S32" s="706">
        <f t="shared" si="10"/>
        <v>100</v>
      </c>
      <c r="T32" s="705" t="s">
        <v>14</v>
      </c>
      <c r="U32" s="706">
        <f t="shared" si="11"/>
        <v>100</v>
      </c>
      <c r="V32" s="705" t="s">
        <v>14</v>
      </c>
      <c r="W32" s="706">
        <f t="shared" si="12"/>
        <v>100</v>
      </c>
      <c r="X32" s="1353"/>
      <c r="Y32" s="369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0"/>
      <c r="Q33" s="1350">
        <f t="shared" si="8"/>
        <v>111</v>
      </c>
      <c r="R33" s="708" t="s">
        <v>14</v>
      </c>
      <c r="S33" s="709">
        <f t="shared" si="10"/>
        <v>100</v>
      </c>
      <c r="T33" s="708" t="s">
        <v>14</v>
      </c>
      <c r="U33" s="709">
        <f t="shared" si="11"/>
        <v>100</v>
      </c>
      <c r="V33" s="708" t="s">
        <v>14</v>
      </c>
      <c r="W33" s="709">
        <f t="shared" si="12"/>
        <v>100</v>
      </c>
      <c r="X33" s="710"/>
      <c r="Y33" s="3690"/>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0"/>
      <c r="Q34" s="1350" t="str">
        <f>B34</f>
        <v>宗地面积</v>
      </c>
      <c r="R34" s="705" t="s">
        <v>14</v>
      </c>
      <c r="S34" s="706" t="e">
        <f t="shared" si="10"/>
        <v>#N/A</v>
      </c>
      <c r="T34" s="705" t="s">
        <v>14</v>
      </c>
      <c r="U34" s="706" t="e">
        <f t="shared" si="11"/>
        <v>#N/A</v>
      </c>
      <c r="V34" s="705" t="s">
        <v>14</v>
      </c>
      <c r="W34" s="706" t="e">
        <f t="shared" si="12"/>
        <v>#N/A</v>
      </c>
      <c r="X34" s="1353"/>
      <c r="Y34" s="369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690"/>
      <c r="Q35" s="1350" t="str">
        <f t="shared" ref="Q35:Q40" si="14">B35</f>
        <v>宗地形状</v>
      </c>
      <c r="R35" s="705" t="s">
        <v>14</v>
      </c>
      <c r="S35" s="706">
        <f t="shared" si="10"/>
        <v>100</v>
      </c>
      <c r="T35" s="705" t="s">
        <v>14</v>
      </c>
      <c r="U35" s="706">
        <f t="shared" si="11"/>
        <v>100</v>
      </c>
      <c r="V35" s="705" t="s">
        <v>14</v>
      </c>
      <c r="W35" s="706">
        <f t="shared" si="12"/>
        <v>100</v>
      </c>
      <c r="X35" s="1353"/>
      <c r="Y35" s="369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690"/>
      <c r="Q36" s="1350"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690" t="s">
        <v>1696</v>
      </c>
      <c r="Q37" s="1350" t="str">
        <f t="shared" si="14"/>
        <v>工程地质条件</v>
      </c>
      <c r="R37" s="705" t="s">
        <v>14</v>
      </c>
      <c r="S37" s="706">
        <f t="shared" si="10"/>
        <v>100</v>
      </c>
      <c r="T37" s="705" t="s">
        <v>14</v>
      </c>
      <c r="U37" s="706">
        <f t="shared" si="11"/>
        <v>100</v>
      </c>
      <c r="V37" s="705" t="s">
        <v>14</v>
      </c>
      <c r="W37" s="706">
        <f t="shared" si="12"/>
        <v>100</v>
      </c>
      <c r="X37" s="1353"/>
      <c r="Y37" s="369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0"/>
      <c r="Q38" s="1350">
        <f t="shared" si="14"/>
        <v>111</v>
      </c>
      <c r="R38" s="705" t="s">
        <v>14</v>
      </c>
      <c r="S38" s="706">
        <f t="shared" si="10"/>
        <v>100</v>
      </c>
      <c r="T38" s="705" t="s">
        <v>14</v>
      </c>
      <c r="U38" s="706">
        <f t="shared" si="11"/>
        <v>100</v>
      </c>
      <c r="V38" s="705" t="s">
        <v>14</v>
      </c>
      <c r="W38" s="706">
        <f t="shared" si="12"/>
        <v>100</v>
      </c>
      <c r="X38" s="1353"/>
      <c r="Y38" s="369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0"/>
      <c r="Q39" s="1350">
        <f t="shared" si="14"/>
        <v>111</v>
      </c>
      <c r="R39" s="705" t="s">
        <v>14</v>
      </c>
      <c r="S39" s="706">
        <f t="shared" si="10"/>
        <v>100</v>
      </c>
      <c r="T39" s="705" t="s">
        <v>14</v>
      </c>
      <c r="U39" s="706">
        <f t="shared" si="11"/>
        <v>100</v>
      </c>
      <c r="V39" s="705" t="s">
        <v>14</v>
      </c>
      <c r="W39" s="706">
        <f t="shared" si="12"/>
        <v>100</v>
      </c>
      <c r="X39" s="1353"/>
      <c r="Y39" s="369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0"/>
      <c r="Q40" s="1350">
        <f t="shared" si="14"/>
        <v>111</v>
      </c>
      <c r="R40" s="708" t="s">
        <v>14</v>
      </c>
      <c r="S40" s="709">
        <f t="shared" si="10"/>
        <v>100</v>
      </c>
      <c r="T40" s="708" t="s">
        <v>14</v>
      </c>
      <c r="U40" s="709">
        <f t="shared" si="11"/>
        <v>100</v>
      </c>
      <c r="V40" s="708" t="s">
        <v>14</v>
      </c>
      <c r="W40" s="709">
        <f t="shared" si="12"/>
        <v>100</v>
      </c>
      <c r="X40" s="710"/>
      <c r="Y40" s="3690"/>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0"/>
      <c r="M41" s="2712"/>
      <c r="N41" s="2712"/>
      <c r="O41" s="2721"/>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0"/>
      <c r="M42" s="2712"/>
      <c r="N42" s="2712"/>
      <c r="O42" s="2721"/>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1" t="s">
        <v>1883</v>
      </c>
      <c r="D50" s="1982" t="s">
        <v>1884</v>
      </c>
      <c r="E50" s="634" t="s">
        <v>1885</v>
      </c>
      <c r="F50" s="635" t="s">
        <v>1886</v>
      </c>
      <c r="G50" s="3698" t="s">
        <v>1887</v>
      </c>
      <c r="H50" s="3745"/>
      <c r="I50" s="1354" t="s">
        <v>1923</v>
      </c>
      <c r="J50" s="1354">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52974.33</v>
      </c>
      <c r="F51" s="639" t="e">
        <f t="shared" ref="F51:F60" si="15">ROUND(B51*E51/10000,0)</f>
        <v>#DIV/0!</v>
      </c>
      <c r="G51" s="3694"/>
      <c r="H51" s="368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20455.650000000001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2087</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2088</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2089</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38"/>
      <c r="F19" s="1338"/>
      <c r="G19" s="1338"/>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39"/>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9">
        <f ca="1">SUMIF(B6:B13,"&lt;&gt;#ref!",B6:B13)</f>
        <v>20554</v>
      </c>
      <c r="C2" s="2143" t="s">
        <v>2074</v>
      </c>
      <c r="D2" s="2143" t="s">
        <v>2075</v>
      </c>
      <c r="E2" s="2609">
        <f ca="1">SUMIF(E6:E13,"&lt;&gt;#ref!",E6:E13)</f>
        <v>58476.87</v>
      </c>
      <c r="F2" s="2789"/>
      <c r="G2" s="2789"/>
      <c r="H2" s="2789"/>
      <c r="I2" s="2789"/>
      <c r="J2" s="2789"/>
      <c r="K2" s="2789"/>
      <c r="L2" s="2789"/>
      <c r="M2" s="2789"/>
      <c r="N2" s="2789"/>
      <c r="O2" s="2789"/>
      <c r="P2" s="2789"/>
    </row>
    <row r="3" spans="1:16" ht="15.75">
      <c r="A3" s="2143" t="s">
        <v>2076</v>
      </c>
      <c r="B3" s="2599">
        <f ca="1">ROUND(B2*10000/E2,0)</f>
        <v>3515</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4"/>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20554</v>
      </c>
      <c r="C6" s="2143" t="s">
        <v>2074</v>
      </c>
      <c r="D6" s="2789"/>
      <c r="E6" s="2609">
        <f ca="1">SUMIF(INDIRECT("'"&amp;A6&amp;"'"&amp;"!C:C"),"建筑面积",INDIRECT("'"&amp;A6&amp;"'"&amp;"!D:D"))</f>
        <v>58476.87</v>
      </c>
      <c r="F6" s="2789"/>
      <c r="G6" s="2789"/>
      <c r="H6" s="2789"/>
      <c r="I6" s="2789"/>
      <c r="J6" s="2789"/>
      <c r="K6" s="2789"/>
      <c r="L6" s="2789"/>
      <c r="M6" s="2789"/>
      <c r="N6" s="2789"/>
      <c r="O6" s="2789"/>
      <c r="P6" s="2789"/>
    </row>
    <row r="7" spans="1:16" ht="15.75">
      <c r="A7" s="2606"/>
      <c r="B7" s="2599" t="e">
        <f ca="1">SUMIF(INDIRECT("'"&amp;A7&amp;"'"&amp;"!A:A"),"总价",INDIRECT("'"&amp;A7&amp;"'"&amp;"!B:B"))</f>
        <v>#REF!</v>
      </c>
      <c r="C7" s="2143"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3"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3"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3"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3"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3"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3"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42" sqref="D4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58476.87</v>
      </c>
      <c r="E1" s="1993"/>
      <c r="F1" s="1993"/>
      <c r="G1" s="1993"/>
      <c r="H1" s="1993"/>
      <c r="I1" s="1993"/>
      <c r="J1" s="1993"/>
      <c r="K1" s="1117"/>
      <c r="L1" s="1994" t="s">
        <v>1928</v>
      </c>
      <c r="M1" s="863">
        <f>SUMPRODUCT((区片价!B5:B9=I2)*(区片价!C3:G3=E2)*(区片价!C5:G9))</f>
        <v>0</v>
      </c>
      <c r="N1" s="866">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20554</v>
      </c>
      <c r="C2" s="1997" t="s">
        <v>1935</v>
      </c>
      <c r="D2" s="1998" t="s">
        <v>1936</v>
      </c>
      <c r="E2" s="3418" t="s">
        <v>3423</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Ⅶ-通1</v>
      </c>
      <c r="J2" s="2000"/>
      <c r="K2" s="1117"/>
      <c r="L2" s="2001" t="s">
        <v>1939</v>
      </c>
      <c r="M2" s="864">
        <f>SUMPRODUCT((区片价!B10:B29=I2)*(区片价!C3:G3=E2)*(区片价!C10:G29))</f>
        <v>0</v>
      </c>
      <c r="N2" s="866">
        <f>SUMPRODUCT((因素修正幅度!B10:B29=I2)*(因素修正幅度!C3:G3=E2)*(因素修正幅度!C10:G29))</f>
        <v>0</v>
      </c>
      <c r="O2" s="1117"/>
      <c r="P2" s="1117"/>
      <c r="Q2" s="1117"/>
      <c r="R2" s="1210">
        <v>1</v>
      </c>
      <c r="S2" s="3357">
        <f>ROUND(SUMPRODUCT((B106:B110=R2)*(C105:N105=G2)*(C106:N110)),4)</f>
        <v>1.5019</v>
      </c>
      <c r="T2" s="3357">
        <f t="shared" ref="T2:T16" si="0">ROUND($C$5*$C$22*$C$23*$C$24*S2*$C$28,0)</f>
        <v>5784</v>
      </c>
      <c r="U2" s="1211"/>
      <c r="V2" s="3357">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3515</v>
      </c>
      <c r="C3" s="1997" t="s">
        <v>1941</v>
      </c>
      <c r="D3" s="1998" t="s">
        <v>1942</v>
      </c>
      <c r="E3" s="3416" t="s">
        <v>2460</v>
      </c>
      <c r="F3" s="2002" t="s">
        <v>3500</v>
      </c>
      <c r="G3" s="752">
        <f>IF(F3="宗地容积率",'数据-汇总表'!I4,IF(F3="估价对象容积率",'数据-汇总表'!I6,'数据-汇总表'!I7))</f>
        <v>2.17</v>
      </c>
      <c r="H3" s="170" t="s">
        <v>1943</v>
      </c>
      <c r="I3" s="775"/>
      <c r="J3" s="2000" t="s">
        <v>1944</v>
      </c>
      <c r="K3" s="1117"/>
      <c r="L3" s="2001" t="s">
        <v>1945</v>
      </c>
      <c r="M3" s="864">
        <f>SUMPRODUCT((区片价!B30:B54=I2)*(区片价!C3:G3=E2)*(区片价!C30:G54))</f>
        <v>0</v>
      </c>
      <c r="N3" s="866">
        <f>SUMPRODUCT((因素修正幅度!B30:B54=I2)*(因素修正幅度!C3:G3=E2)*(因素修正幅度!C30:G54))</f>
        <v>0</v>
      </c>
      <c r="O3" s="1117"/>
      <c r="P3" s="1117"/>
      <c r="Q3" s="1117"/>
      <c r="R3" s="1210">
        <v>2</v>
      </c>
      <c r="S3" s="3357">
        <f>ROUND(SUMPRODUCT((B106:B110=R3)*(C105:N105=G2)*(C106:N110)),4)</f>
        <v>1.1838</v>
      </c>
      <c r="T3" s="3357">
        <f t="shared" si="0"/>
        <v>4559</v>
      </c>
      <c r="U3" s="1211"/>
      <c r="V3" s="3357">
        <f t="shared" ref="V3:V16" si="1">ROUND(T3*U3/10000,0)</f>
        <v>0</v>
      </c>
      <c r="W3" s="1214"/>
      <c r="X3" s="1214"/>
      <c r="Y3" s="1214"/>
      <c r="Z3" s="1214"/>
      <c r="AA3" s="1214"/>
      <c r="AB3" s="1214"/>
      <c r="AC3" s="1215"/>
      <c r="AD3" s="1216"/>
      <c r="AE3" s="1216"/>
      <c r="AF3" s="1216"/>
      <c r="AG3" s="1216"/>
      <c r="AH3" s="1216"/>
      <c r="AI3" s="1216"/>
      <c r="AJ3" s="1217"/>
    </row>
    <row r="4" spans="1:36" ht="15.75">
      <c r="A4" s="3763"/>
      <c r="B4" s="3764"/>
      <c r="C4" s="3764"/>
      <c r="D4" s="3765"/>
      <c r="E4" s="3765"/>
      <c r="F4" s="3765"/>
      <c r="G4" s="3765"/>
      <c r="H4" s="3765"/>
      <c r="I4" s="3765"/>
      <c r="J4" s="3766"/>
      <c r="K4" s="1117"/>
      <c r="L4" s="2001" t="s">
        <v>1946</v>
      </c>
      <c r="M4" s="864">
        <f>SUMPRODUCT((区片价!B55:B86=I2)*(区片价!C3:G3=E2)*(区片价!C55:G86))</f>
        <v>0</v>
      </c>
      <c r="N4" s="866">
        <f>SUMPRODUCT((因素修正幅度!B55:B86=I2)*(因素修正幅度!C3:G3=E2)*(因素修正幅度!C55:G86))</f>
        <v>0</v>
      </c>
      <c r="O4" s="1117"/>
      <c r="P4" s="1117"/>
      <c r="Q4" s="1117"/>
      <c r="R4" s="1210">
        <v>3</v>
      </c>
      <c r="S4" s="3357">
        <f>ROUND(SUMPRODUCT((B106:B110=R4)*(C105:N105=G2)*(C106:N110)),4)</f>
        <v>1.0004999999999999</v>
      </c>
      <c r="T4" s="3357">
        <f t="shared" si="0"/>
        <v>3853</v>
      </c>
      <c r="U4" s="1211"/>
      <c r="V4" s="3357">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3">
        <f>ROUND(IF(E2="商业",C6*C7*C17+C20,(IF(E2="住宅",C6*C13*C17+C20,IF(E2="办公",C6*C12*C17+C20,C6+C20)))),0)</f>
        <v>5055</v>
      </c>
      <c r="D5" s="1337">
        <f>ROUND(C6*C17+C20,0)</f>
        <v>5055</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7"/>
      <c r="P5" s="1117"/>
      <c r="Q5" s="1117"/>
      <c r="R5" s="1210">
        <v>4</v>
      </c>
      <c r="S5" s="3357">
        <f>ROUND(SUMPRODUCT((B106:B110=R5)*(C105:N105=G2)*(C106:N110)),4)</f>
        <v>0.88239999999999996</v>
      </c>
      <c r="T5" s="3357">
        <f t="shared" si="0"/>
        <v>3398</v>
      </c>
      <c r="U5" s="1211"/>
      <c r="V5" s="3357">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4">
        <f>SUMIF(L1:L12,G2,M1:M12)</f>
        <v>5100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7"/>
      <c r="P6" s="1117"/>
      <c r="Q6" s="1117"/>
      <c r="R6" s="1210">
        <v>5</v>
      </c>
      <c r="S6" s="3357">
        <f>ROUND(SUMPRODUCT((B106:B110=R6)*(C105:N105=G2)*(C106:N110)),4)</f>
        <v>0.84799999999999998</v>
      </c>
      <c r="T6" s="3357">
        <f t="shared" si="0"/>
        <v>3266</v>
      </c>
      <c r="U6" s="1211"/>
      <c r="V6" s="3357">
        <f t="shared" si="1"/>
        <v>0</v>
      </c>
      <c r="W6" s="1214"/>
      <c r="X6" s="1214"/>
      <c r="Y6" s="1214"/>
      <c r="Z6" s="1214"/>
      <c r="AA6" s="1214"/>
      <c r="AB6" s="1214"/>
      <c r="AC6" s="2009"/>
      <c r="AD6" s="2010"/>
      <c r="AE6" s="2010"/>
      <c r="AF6" s="2010"/>
      <c r="AG6" s="2010"/>
      <c r="AH6" s="2010"/>
      <c r="AI6" s="2010"/>
      <c r="AJ6" s="2011"/>
    </row>
    <row r="7" spans="1:36" ht="24.75" thickBot="1">
      <c r="A7" s="3300" t="s">
        <v>3239</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5100</v>
      </c>
      <c r="N7" s="866">
        <f>SUMPRODUCT((因素修正幅度!B190:B233=I2)*(因素修正幅度!C3:G3=E2)*(因素修正幅度!C190:G233))</f>
        <v>0.13</v>
      </c>
      <c r="O7" s="1117"/>
      <c r="P7" s="1117"/>
      <c r="Q7" s="1117"/>
      <c r="R7" s="1210">
        <v>6</v>
      </c>
      <c r="S7" s="3415"/>
      <c r="T7" s="3357">
        <f t="shared" si="0"/>
        <v>0</v>
      </c>
      <c r="U7" s="1211"/>
      <c r="V7" s="3357">
        <f t="shared" si="1"/>
        <v>0</v>
      </c>
      <c r="W7" s="1356" t="s">
        <v>1955</v>
      </c>
      <c r="X7" s="1212" t="str">
        <f>G2</f>
        <v>七级</v>
      </c>
      <c r="Y7" s="1212" t="s">
        <v>1956</v>
      </c>
      <c r="Z7" s="1213">
        <f>G3</f>
        <v>2.17</v>
      </c>
      <c r="AA7" s="1214"/>
      <c r="AB7" s="1214"/>
      <c r="AC7" s="1215"/>
      <c r="AD7" s="1216"/>
      <c r="AE7" s="1216"/>
      <c r="AF7" s="1216"/>
      <c r="AG7" s="1216"/>
      <c r="AH7" s="1216"/>
      <c r="AI7" s="1216"/>
      <c r="AJ7" s="1217"/>
    </row>
    <row r="8" spans="1:36" ht="15">
      <c r="A8" s="3295"/>
      <c r="B8" s="170" t="s">
        <v>1957</v>
      </c>
      <c r="C8" s="2024"/>
      <c r="D8" s="756" t="s">
        <v>112</v>
      </c>
      <c r="E8" s="757" t="e">
        <f>ROUND(C11/E7,4)</f>
        <v>#DIV/0!</v>
      </c>
      <c r="F8" s="2025" t="s">
        <v>1958</v>
      </c>
      <c r="G8" s="2026"/>
      <c r="H8" s="2026"/>
      <c r="I8" s="2026"/>
      <c r="J8" s="2027"/>
      <c r="K8" s="1117"/>
      <c r="L8" s="2001" t="s">
        <v>1959</v>
      </c>
      <c r="M8" s="864">
        <f>SUMPRODUCT((区片价!B234:B276=I2)*(区片价!C3:G3=E2)*(区片价!C234:G276))</f>
        <v>0</v>
      </c>
      <c r="N8" s="866">
        <f>SUMPRODUCT((因素修正幅度!B234:B276=I2)*(因素修正幅度!C3:G3=E2)*(因素修正幅度!C234:G276))</f>
        <v>0</v>
      </c>
      <c r="O8" s="1117"/>
      <c r="P8" s="1117"/>
      <c r="Q8" s="1117"/>
      <c r="R8" s="1210">
        <v>7</v>
      </c>
      <c r="S8" s="1211"/>
      <c r="T8" s="3357">
        <f t="shared" si="0"/>
        <v>0</v>
      </c>
      <c r="U8" s="1211"/>
      <c r="V8" s="3357">
        <f t="shared" si="1"/>
        <v>0</v>
      </c>
      <c r="W8" s="3760" t="s">
        <v>1960</v>
      </c>
      <c r="X8" s="376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70" t="s">
        <v>1973</v>
      </c>
      <c r="C9" s="758">
        <f>SUMIF(修正!C71:C138,C8,修正!E71:E138)</f>
        <v>0</v>
      </c>
      <c r="D9" s="171" t="s">
        <v>113</v>
      </c>
      <c r="E9" s="171" t="e">
        <f>ROUND(C11/E7,4)</f>
        <v>#DIV/0!</v>
      </c>
      <c r="F9" s="2025" t="s">
        <v>1974</v>
      </c>
      <c r="G9" s="2026"/>
      <c r="H9" s="2026"/>
      <c r="I9" s="2026"/>
      <c r="J9" s="2027"/>
      <c r="K9" s="1117"/>
      <c r="L9" s="2001" t="s">
        <v>1975</v>
      </c>
      <c r="M9" s="864">
        <f>SUMPRODUCT((区片价!B277:B326=I2)*(区片价!C3:G3=E2)*(区片价!C277:G326))</f>
        <v>0</v>
      </c>
      <c r="N9" s="866">
        <f>SUMPRODUCT((因素修正幅度!B277:B326=I2)*(因素修正幅度!C3:G3=E2)*(因素修正幅度!C277:G326))</f>
        <v>0</v>
      </c>
      <c r="O9" s="1117"/>
      <c r="P9" s="1117"/>
      <c r="Q9" s="1117"/>
      <c r="R9" s="1210">
        <v>8</v>
      </c>
      <c r="S9" s="1211"/>
      <c r="T9" s="3357">
        <f t="shared" si="0"/>
        <v>0</v>
      </c>
      <c r="U9" s="1211"/>
      <c r="V9" s="3357">
        <f t="shared" si="1"/>
        <v>0</v>
      </c>
      <c r="W9" s="3762"/>
      <c r="X9" s="3358" t="s">
        <v>3269</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5" t="s">
        <v>1977</v>
      </c>
      <c r="G10" s="2026"/>
      <c r="H10" s="2026"/>
      <c r="I10" s="2026"/>
      <c r="J10" s="2027"/>
      <c r="K10" s="1117"/>
      <c r="L10" s="2001" t="s">
        <v>1978</v>
      </c>
      <c r="M10" s="864">
        <f>SUMPRODUCT((区片价!B327:B357=I2)*(区片价!C3:G3=E2)*(区片价!C327:G357))</f>
        <v>0</v>
      </c>
      <c r="N10" s="866">
        <f>SUMPRODUCT((因素修正幅度!B327:B357=I2)*(因素修正幅度!C3:G3=E2)*(因素修正幅度!C327:G357))</f>
        <v>0</v>
      </c>
      <c r="O10" s="1117"/>
      <c r="P10" s="1117"/>
      <c r="Q10" s="1117"/>
      <c r="R10" s="1210">
        <v>9</v>
      </c>
      <c r="S10" s="1211"/>
      <c r="T10" s="3357">
        <f t="shared" si="0"/>
        <v>0</v>
      </c>
      <c r="U10" s="1211"/>
      <c r="V10" s="3357">
        <f t="shared" si="1"/>
        <v>0</v>
      </c>
      <c r="W10" s="376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9">
        <f>C10/4</f>
        <v>0</v>
      </c>
      <c r="D11" s="759" t="s">
        <v>115</v>
      </c>
      <c r="E11" s="759" t="e">
        <f>ROUND(C11/E7,4)</f>
        <v>#DIV/0!</v>
      </c>
      <c r="F11" s="2029" t="s">
        <v>1980</v>
      </c>
      <c r="G11" s="2030"/>
      <c r="H11" s="2030"/>
      <c r="I11" s="2030"/>
      <c r="J11" s="2031"/>
      <c r="K11" s="1117"/>
      <c r="L11" s="2001" t="s">
        <v>1981</v>
      </c>
      <c r="M11" s="864">
        <f>SUMPRODUCT((区片价!B358:B377=I2)*(区片价!C3:G3=E2)*(区片价!C358:G377))</f>
        <v>0</v>
      </c>
      <c r="N11" s="866">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7"/>
      <c r="L12" s="2037" t="s">
        <v>1984</v>
      </c>
      <c r="M12" s="865">
        <f>SUMPRODUCT((区片价!B378:B384=I2)*(区片价!C3:G3=E2)*(区片价!C378:G384))</f>
        <v>0</v>
      </c>
      <c r="N12" s="866">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3244</v>
      </c>
      <c r="B13" s="2032" t="s">
        <v>1982</v>
      </c>
      <c r="C13" s="755">
        <f>ROUND(C16*D16*E16*F16*G16*H16*I16*J16,4)</f>
        <v>0</v>
      </c>
      <c r="D13" s="2033" t="s">
        <v>1983</v>
      </c>
      <c r="E13" s="2034"/>
      <c r="F13" s="2034"/>
      <c r="G13" s="2035"/>
      <c r="H13" s="2035"/>
      <c r="I13" s="2035"/>
      <c r="J13" s="2036"/>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8" t="s">
        <v>1985</v>
      </c>
      <c r="C14" s="2039" t="s">
        <v>1986</v>
      </c>
      <c r="D14" s="1348" t="s">
        <v>1987</v>
      </c>
      <c r="E14" s="27" t="s">
        <v>1988</v>
      </c>
      <c r="F14" s="3308" t="s">
        <v>3245</v>
      </c>
      <c r="G14" s="3308" t="s">
        <v>3245</v>
      </c>
      <c r="H14" s="3308" t="s">
        <v>3245</v>
      </c>
      <c r="I14" s="3308" t="s">
        <v>3245</v>
      </c>
      <c r="J14" s="3308" t="s">
        <v>3245</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3246</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7"/>
      <c r="L16" s="1995"/>
      <c r="M16" s="1995"/>
      <c r="N16" s="1995"/>
      <c r="O16" s="1995"/>
      <c r="P16" s="1995"/>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3250</v>
      </c>
      <c r="E18" s="3325"/>
      <c r="F18" s="3320" t="s">
        <v>3253</v>
      </c>
      <c r="G18" s="3324">
        <f>ROUND(1-(1/(POWER(1+G24,E18))),4)</f>
        <v>0</v>
      </c>
      <c r="H18" s="3320" t="s">
        <v>3255</v>
      </c>
      <c r="I18" s="3324">
        <f>ROUND(1-(1/(POWER(1+G24,J24))),4)</f>
        <v>0.91279999999999994</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3251</v>
      </c>
      <c r="E19" s="3334"/>
      <c r="F19" s="3335" t="s">
        <v>3254</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767" t="s">
        <v>3256</v>
      </c>
      <c r="B20" s="167" t="s">
        <v>1994</v>
      </c>
      <c r="C20" s="3321">
        <f>ROUND(IF(F21="与级别开发程度一致",0,(G21-E21)/C21),0)</f>
        <v>-45</v>
      </c>
      <c r="D20" s="3337" t="s">
        <v>1998</v>
      </c>
      <c r="E20" s="3338"/>
      <c r="F20" s="3773" t="s">
        <v>1995</v>
      </c>
      <c r="G20" s="3774"/>
      <c r="H20" s="3322" t="s">
        <v>3501</v>
      </c>
      <c r="I20" s="3322" t="s">
        <v>3502</v>
      </c>
      <c r="J20" s="3323" t="s">
        <v>3503</v>
      </c>
      <c r="K20" s="2045" t="s">
        <v>3504</v>
      </c>
      <c r="L20" s="2045" t="s">
        <v>3505</v>
      </c>
      <c r="M20" s="2045"/>
      <c r="N20" s="2045"/>
      <c r="O20" s="2046" t="s">
        <v>3506</v>
      </c>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26.25" thickBot="1">
      <c r="A21" s="3768"/>
      <c r="B21" s="2162" t="s">
        <v>1997</v>
      </c>
      <c r="C21" s="2163">
        <f>IF(E3="M4科研用地",SUMPRODUCT((修正!A2:A7=E3)*(修正!B1:M1=G2)*(修正!B2:M7)),SUMPRODUCT((修正!A2:A7=E2)*(修正!B1:M1=G2)*(修正!B2:M7)))</f>
        <v>2</v>
      </c>
      <c r="D21" s="187" t="str">
        <f>IF(OR(G2="八级",G2="九级",G2="十级",G2="十一级",G2="十二级"),"五通一平","七通一平")</f>
        <v>七通一平</v>
      </c>
      <c r="E21" s="2153">
        <f>SUMPRODUCT((修正!B1:M1=G2)*(修正!B17:M17))</f>
        <v>315</v>
      </c>
      <c r="F21" s="2154" t="s">
        <v>3507</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0</v>
      </c>
      <c r="N21" s="2163">
        <f>SUMPRODUCT((七通一平=N20)*(修正!B1:M1=G2)*(修正!B8:M16))</f>
        <v>0</v>
      </c>
      <c r="O21" s="2165">
        <f>SUMPRODUCT((七通一平=O20)*(修正!B1:M1=G2)*(修正!B8:M16))</f>
        <v>15</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2000</v>
      </c>
      <c r="C22" s="2158">
        <f>SUMIF(修正!C20:C51,E3,修正!E20:E51)</f>
        <v>0.8</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2" t="s">
        <v>2002</v>
      </c>
      <c r="E23" s="761">
        <v>44197</v>
      </c>
      <c r="F23" s="2052" t="s">
        <v>2003</v>
      </c>
      <c r="G23" s="762">
        <f>'数据-取费表'!B2</f>
        <v>45631</v>
      </c>
      <c r="H23" s="3339" t="s">
        <v>3257</v>
      </c>
      <c r="I23" s="3340" t="str">
        <f>IF(H23="季度增幅（自定义）",SUMIF(N25:N28,E2,O25:O28),"")</f>
        <v/>
      </c>
      <c r="J23" s="3442" t="s">
        <v>3508</v>
      </c>
      <c r="K23" s="1123"/>
      <c r="L23" s="2053" t="s">
        <v>2004</v>
      </c>
      <c r="M23" s="1326">
        <f>ROUND(SUMIF(地价!B2:G2,E2,地价!B16:G16),0)</f>
        <v>0</v>
      </c>
      <c r="N23" s="2054" t="s">
        <v>2005</v>
      </c>
      <c r="O23" s="763">
        <f>ROUNDDOWN(DATEDIF(E23,G23,"M")/3,0)</f>
        <v>15</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4">
        <f>ROUND(POWER(1+G24,J24-I24)*(POWER(1+G24,I24)-1)/(POWER(1+G24,J24)-1),4)</f>
        <v>0.91600000000000004</v>
      </c>
      <c r="D24" s="2058" t="s">
        <v>2007</v>
      </c>
      <c r="E24" s="1333">
        <f>存贷款利率!E27/100</f>
        <v>4.3499999999999997E-2</v>
      </c>
      <c r="F24" s="2058" t="s">
        <v>1999</v>
      </c>
      <c r="G24" s="768">
        <f>SUMIF(M30:Q30,E2,M33:Q33)</f>
        <v>0.05</v>
      </c>
      <c r="H24" s="2058" t="s">
        <v>2008</v>
      </c>
      <c r="I24" s="769">
        <f>SUMIF('数据-取费表'!C6:C15,E2,'数据-取费表'!F6:F15)/COUNTIF('数据-取费表'!C6:C15,E2)</f>
        <v>37.07</v>
      </c>
      <c r="J24" s="770">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3336</v>
      </c>
      <c r="C25" s="771">
        <f>IF(B25="容积率修正",IF(G3&lt;10,D26,J26),C27)</f>
        <v>0.98170000000000002</v>
      </c>
      <c r="D25" s="2065"/>
      <c r="E25" s="2065"/>
      <c r="F25" s="2065"/>
      <c r="G25" s="2065"/>
      <c r="H25" s="2065"/>
      <c r="I25" s="2065"/>
      <c r="J25" s="2066"/>
      <c r="K25" s="1123"/>
      <c r="L25" s="2784"/>
      <c r="M25" s="2784"/>
      <c r="N25" s="2067"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1" t="s">
        <v>3258</v>
      </c>
      <c r="D26" s="1350">
        <f>IF(E26=G26,F26,IF(G3&lt;10,ROUND(F26+(H26-F26)*(G3-E26)/(G26-E26),4),"——"))</f>
        <v>0.98170000000000002</v>
      </c>
      <c r="E26" s="752">
        <f>ROUNDDOWN(G3,1)</f>
        <v>2.1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1" t="s">
        <v>3259</v>
      </c>
      <c r="J26" s="772" t="str">
        <f>IF(G3&gt;=10,D115,"——")</f>
        <v>——</v>
      </c>
      <c r="K26" s="1123"/>
      <c r="L26" s="2784"/>
      <c r="M26" s="2784"/>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60">
        <f>SUMIF(A47:A101,E2,B47:B101)</f>
        <v>1.0147999999999999</v>
      </c>
      <c r="D28" s="2050"/>
      <c r="E28" s="2075"/>
      <c r="F28" s="2075"/>
      <c r="G28" s="2075"/>
      <c r="H28" s="2075"/>
      <c r="I28" s="2075"/>
      <c r="J28" s="2076"/>
      <c r="K28" s="1123"/>
      <c r="L28" s="2784"/>
      <c r="M28" s="2784"/>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5"/>
      <c r="D29" s="2022"/>
      <c r="E29" s="2022"/>
      <c r="F29" s="2079"/>
      <c r="G29" s="2022"/>
      <c r="H29" s="2022"/>
      <c r="I29" s="2022"/>
      <c r="J29" s="2023"/>
      <c r="K29" s="1117"/>
      <c r="L29" s="1995"/>
      <c r="M29" s="1995"/>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20554</v>
      </c>
      <c r="D30" s="2081"/>
      <c r="E30" s="2044"/>
      <c r="F30" s="2082"/>
      <c r="G30" s="2044"/>
      <c r="H30" s="2044"/>
      <c r="I30" s="2044"/>
      <c r="J30" s="2083"/>
      <c r="K30" s="1117"/>
      <c r="L30" s="3347" t="s">
        <v>1936</v>
      </c>
      <c r="M30" s="3348" t="s">
        <v>1990</v>
      </c>
      <c r="N30" s="3348" t="s">
        <v>1991</v>
      </c>
      <c r="O30" s="3348" t="s">
        <v>1992</v>
      </c>
      <c r="P30" s="3348" t="s">
        <v>1993</v>
      </c>
      <c r="Q30" s="3351"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6">
        <f>E34+SUM(I37:I42)</f>
        <v>133</v>
      </c>
      <c r="D31" s="2085"/>
      <c r="E31" s="2086"/>
      <c r="F31" s="2087"/>
      <c r="G31" s="2086"/>
      <c r="H31" s="2086"/>
      <c r="I31" s="2086"/>
      <c r="J31" s="2088"/>
      <c r="K31" s="1117"/>
      <c r="L31" s="3349" t="s">
        <v>1996</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0" t="s">
        <v>1999</v>
      </c>
      <c r="M32" s="2567">
        <f>ROUND($E$24*(1+M31),3)</f>
        <v>5.3999999999999999E-2</v>
      </c>
      <c r="N32" s="2567">
        <f>ROUND($E$24*(1+N31),3)</f>
        <v>5.1999999999999998E-2</v>
      </c>
      <c r="O32" s="2567">
        <f>ROUND($E$24*(1+O31),3)</f>
        <v>0.05</v>
      </c>
      <c r="P32" s="2567">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3780</v>
      </c>
      <c r="D33" s="2096">
        <f>'数据-汇总表'!F19</f>
        <v>52974.33</v>
      </c>
      <c r="E33" s="773">
        <f>ROUND(C33*D33/10000,0)</f>
        <v>20024</v>
      </c>
      <c r="F33" s="3342" t="s">
        <v>3261</v>
      </c>
      <c r="G33" s="2097"/>
      <c r="H33" s="2097"/>
      <c r="I33" s="2097"/>
      <c r="J33" s="2098"/>
      <c r="K33" s="1117"/>
      <c r="L33" s="3345" t="s">
        <v>3264</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945</v>
      </c>
      <c r="D34" s="2101"/>
      <c r="E34" s="773">
        <f>ROUND(IF(B25="楼层修正",SUM(V2:V16)*M40,C34*D34/10000),0)</f>
        <v>0</v>
      </c>
      <c r="F34" s="2102" t="s">
        <v>2032</v>
      </c>
      <c r="G34" s="2103"/>
      <c r="H34" s="2103"/>
      <c r="I34" s="2103"/>
      <c r="J34" s="2104"/>
      <c r="K34" s="1117"/>
      <c r="L34" s="3345" t="s">
        <v>3265</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3"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3" t="s">
        <v>3266</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1"/>
      <c r="B37" s="2111" t="s">
        <v>2036</v>
      </c>
      <c r="C37" s="175">
        <f>ROUND(D5*C22*C23*C24*C28*F37,0)</f>
        <v>2311</v>
      </c>
      <c r="D37" s="2096"/>
      <c r="E37" s="171">
        <f>ROUND(C37*D37/10000,0)</f>
        <v>0</v>
      </c>
      <c r="F37" s="171">
        <f>SUMIF(修正!A57:A68,G2,修正!B57:B68)</f>
        <v>0.6</v>
      </c>
      <c r="G37" s="171">
        <f>ROUND(IF(E2="工业",C37*$M$42,C37*$M$41),0)</f>
        <v>578</v>
      </c>
      <c r="H37" s="171">
        <f>D37</f>
        <v>0</v>
      </c>
      <c r="I37" s="171">
        <f>ROUND(G37*H37/10000,0)</f>
        <v>0</v>
      </c>
      <c r="J37" s="3008"/>
      <c r="K37" s="3355" t="s">
        <v>3267</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2"/>
      <c r="B38" s="2039" t="s">
        <v>2037</v>
      </c>
      <c r="C38" s="175">
        <f>ROUND(D5*C22*C23*C24*C28*F38,0)</f>
        <v>1155</v>
      </c>
      <c r="D38" s="2096"/>
      <c r="E38" s="171">
        <f t="shared" ref="E38:E42" si="4">ROUND(C38*D38/10000,0)</f>
        <v>0</v>
      </c>
      <c r="F38" s="171">
        <f>SUMIF(修正!A57:A68,G2,修正!C57:C68)</f>
        <v>0.3</v>
      </c>
      <c r="G38" s="171">
        <f>ROUND(IF(E2="工业",C38*$M$42,C38*$M$41),0)</f>
        <v>289</v>
      </c>
      <c r="H38" s="171">
        <f t="shared" ref="H38:H42" si="5">D38</f>
        <v>0</v>
      </c>
      <c r="I38" s="171">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772"/>
      <c r="B39" s="2039" t="s">
        <v>3260</v>
      </c>
      <c r="C39" s="175">
        <f>ROUND(D5*C22*C23*C24*C28*F39,0)</f>
        <v>963</v>
      </c>
      <c r="D39" s="2096"/>
      <c r="E39" s="171">
        <f t="shared" si="4"/>
        <v>0</v>
      </c>
      <c r="F39" s="171">
        <f>SUMIF(修正!A57:A68,G2,修正!D57:D68)</f>
        <v>0.25</v>
      </c>
      <c r="G39" s="171">
        <f>ROUND(IF(E2="工业",C39*$M$42,C39*$M$41),0)</f>
        <v>241</v>
      </c>
      <c r="H39" s="171">
        <f t="shared" si="5"/>
        <v>0</v>
      </c>
      <c r="I39" s="171">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963</v>
      </c>
      <c r="D40" s="2096">
        <f>'数据-基础表'!K18+'数据-基础表'!K22+'数据-基础表'!K28</f>
        <v>5502.54</v>
      </c>
      <c r="E40" s="171">
        <f t="shared" si="4"/>
        <v>530</v>
      </c>
      <c r="F40" s="175">
        <f>SUMIF(修正!A57:A68,G2,修正!E57:E68)</f>
        <v>0.25</v>
      </c>
      <c r="G40" s="171">
        <f>ROUND(IF(E2="工业",C40*$M$42,C40*$M$41),0)</f>
        <v>241</v>
      </c>
      <c r="H40" s="171">
        <f t="shared" si="5"/>
        <v>5502.54</v>
      </c>
      <c r="I40" s="171">
        <f t="shared" si="6"/>
        <v>133</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963</v>
      </c>
      <c r="D41" s="2096"/>
      <c r="E41" s="171">
        <f t="shared" si="4"/>
        <v>0</v>
      </c>
      <c r="F41" s="175">
        <f>SUMIF(修正!A57:A68,G2,修正!F57:F68)</f>
        <v>0.25</v>
      </c>
      <c r="G41" s="171">
        <f>ROUND(IF(E2="工业",C41*$M$42,C41*$M$41),0)</f>
        <v>241</v>
      </c>
      <c r="H41" s="171">
        <f t="shared" si="5"/>
        <v>0</v>
      </c>
      <c r="I41" s="171">
        <f t="shared" si="6"/>
        <v>0</v>
      </c>
      <c r="J41" s="2112"/>
      <c r="L41" s="3356"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578</v>
      </c>
      <c r="D42" s="2101"/>
      <c r="E42" s="187">
        <f t="shared" si="4"/>
        <v>0</v>
      </c>
      <c r="F42" s="767">
        <f>SUMIF(修正!A57:A68,G2,修正!G57:G68)</f>
        <v>0.15</v>
      </c>
      <c r="G42" s="187">
        <f>ROUND(IF(E2="工业",C42*$M$42,C42*$M$41),0)</f>
        <v>145</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2">
        <f>ROUND(POWER(1+E44,H44-G44)*(POWER(1+E44,G44)-1)/(POWER(1+E44,H44)-1),4)</f>
        <v>0.91600000000000004</v>
      </c>
      <c r="D44" s="171" t="s">
        <v>1999</v>
      </c>
      <c r="E44" s="2151">
        <f>G24</f>
        <v>0.05</v>
      </c>
      <c r="F44" s="171" t="s">
        <v>2008</v>
      </c>
      <c r="G44" s="183">
        <f>项目基本情况!F15</f>
        <v>37.07</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41"/>
      <c r="E48" s="742"/>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2"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5">
        <f t="shared" si="7"/>
        <v>0</v>
      </c>
      <c r="E51" s="745"/>
      <c r="F51" s="1812"/>
      <c r="G51" s="1063"/>
      <c r="H51" s="1066" t="str">
        <f t="shared" si="8"/>
        <v>——</v>
      </c>
      <c r="I51" s="3363">
        <v>0.22</v>
      </c>
      <c r="J51" s="1064">
        <f t="shared" si="9"/>
        <v>0</v>
      </c>
      <c r="K51" s="1064">
        <f t="shared" si="10"/>
        <v>0</v>
      </c>
      <c r="L51" s="1064">
        <v>0</v>
      </c>
      <c r="M51" s="1064">
        <f t="shared" si="11"/>
        <v>0</v>
      </c>
      <c r="N51" s="1064">
        <f t="shared" si="11"/>
        <v>0</v>
      </c>
      <c r="AA51" s="1118"/>
      <c r="AB51" s="1118"/>
      <c r="AC51" s="1118"/>
      <c r="AD51" s="1118"/>
      <c r="AE51" s="1118"/>
      <c r="AF51" s="1118"/>
      <c r="AG51" s="1118"/>
      <c r="AH51" s="1118"/>
      <c r="AI51" s="1118"/>
      <c r="AJ51" s="1118"/>
      <c r="AK51" s="1118"/>
    </row>
    <row r="52" spans="1:37" s="1117" customFormat="1" ht="36" hidden="1">
      <c r="A52" s="3365" t="s">
        <v>3270</v>
      </c>
      <c r="B52" s="2132">
        <f>估价对象房地状况!C19</f>
        <v>0</v>
      </c>
      <c r="C52" s="2042"/>
      <c r="D52" s="1065">
        <f t="shared" si="7"/>
        <v>0</v>
      </c>
      <c r="E52" s="745"/>
      <c r="F52" s="1812"/>
      <c r="G52" s="1063"/>
      <c r="H52" s="1066" t="str">
        <f t="shared" si="8"/>
        <v>——</v>
      </c>
      <c r="I52" s="3363">
        <v>0.12</v>
      </c>
      <c r="J52" s="1064">
        <f t="shared" si="9"/>
        <v>0</v>
      </c>
      <c r="K52" s="1064">
        <f t="shared" si="10"/>
        <v>0</v>
      </c>
      <c r="L52" s="1064">
        <v>0</v>
      </c>
      <c r="M52" s="1064">
        <f t="shared" si="11"/>
        <v>0</v>
      </c>
      <c r="N52" s="1064">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5">
        <f t="shared" si="7"/>
        <v>0</v>
      </c>
      <c r="E53" s="745"/>
      <c r="F53" s="1812"/>
      <c r="G53" s="1063"/>
      <c r="H53" s="1066" t="str">
        <f t="shared" si="8"/>
        <v>——</v>
      </c>
      <c r="I53" s="3363">
        <v>0.05</v>
      </c>
      <c r="J53" s="1064">
        <f t="shared" si="9"/>
        <v>0</v>
      </c>
      <c r="K53" s="1064">
        <f t="shared" si="10"/>
        <v>0</v>
      </c>
      <c r="L53" s="1064">
        <v>0</v>
      </c>
      <c r="M53" s="1064">
        <f t="shared" si="11"/>
        <v>0</v>
      </c>
      <c r="N53" s="1064">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5">
        <f t="shared" si="7"/>
        <v>0</v>
      </c>
      <c r="E54" s="745"/>
      <c r="F54" s="1812"/>
      <c r="G54" s="1063"/>
      <c r="H54" s="1066" t="str">
        <f t="shared" si="8"/>
        <v>——</v>
      </c>
      <c r="I54" s="3363">
        <v>0.08</v>
      </c>
      <c r="J54" s="1064">
        <f t="shared" si="9"/>
        <v>0</v>
      </c>
      <c r="K54" s="1064">
        <f t="shared" si="10"/>
        <v>0</v>
      </c>
      <c r="L54" s="1064">
        <v>0</v>
      </c>
      <c r="M54" s="1064">
        <f t="shared" si="11"/>
        <v>0</v>
      </c>
      <c r="N54" s="1064">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5">
        <f t="shared" si="7"/>
        <v>0</v>
      </c>
      <c r="E55" s="745"/>
      <c r="F55" s="1812"/>
      <c r="G55" s="1063"/>
      <c r="H55" s="1066" t="str">
        <f t="shared" si="8"/>
        <v>——</v>
      </c>
      <c r="I55" s="3363">
        <v>0.05</v>
      </c>
      <c r="J55" s="1064">
        <f t="shared" si="9"/>
        <v>0</v>
      </c>
      <c r="K55" s="1064">
        <f t="shared" si="10"/>
        <v>0</v>
      </c>
      <c r="L55" s="1064">
        <v>0</v>
      </c>
      <c r="M55" s="1064">
        <f t="shared" si="11"/>
        <v>0</v>
      </c>
      <c r="N55" s="1064">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5">
        <f t="shared" si="7"/>
        <v>0</v>
      </c>
      <c r="E56" s="745"/>
      <c r="F56" s="1812"/>
      <c r="G56" s="1063"/>
      <c r="H56" s="1066" t="str">
        <f t="shared" si="8"/>
        <v>——</v>
      </c>
      <c r="I56" s="3363">
        <v>0.05</v>
      </c>
      <c r="J56" s="1064">
        <f t="shared" si="9"/>
        <v>0</v>
      </c>
      <c r="K56" s="1064">
        <f t="shared" si="10"/>
        <v>0</v>
      </c>
      <c r="L56" s="1064">
        <v>0</v>
      </c>
      <c r="M56" s="1064">
        <f t="shared" si="11"/>
        <v>0</v>
      </c>
      <c r="N56" s="1064">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5">
        <f t="shared" si="7"/>
        <v>0</v>
      </c>
      <c r="E57" s="745"/>
      <c r="F57" s="1812"/>
      <c r="G57" s="1063"/>
      <c r="H57" s="1066" t="str">
        <f t="shared" si="8"/>
        <v>——</v>
      </c>
      <c r="I57" s="3363">
        <v>0.08</v>
      </c>
      <c r="J57" s="1064">
        <f t="shared" si="9"/>
        <v>0</v>
      </c>
      <c r="K57" s="1064">
        <f t="shared" si="10"/>
        <v>0</v>
      </c>
      <c r="L57" s="1064">
        <v>0</v>
      </c>
      <c r="M57" s="1064">
        <f t="shared" si="11"/>
        <v>0</v>
      </c>
      <c r="N57" s="1064">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5">
        <f t="shared" si="7"/>
        <v>0</v>
      </c>
      <c r="E58" s="746"/>
      <c r="F58" s="1812"/>
      <c r="G58" s="1063"/>
      <c r="H58" s="1066" t="str">
        <f t="shared" si="8"/>
        <v>——</v>
      </c>
      <c r="I58" s="3364">
        <v>0.05</v>
      </c>
      <c r="J58" s="1064">
        <f t="shared" si="9"/>
        <v>0</v>
      </c>
      <c r="K58" s="1064">
        <f t="shared" si="10"/>
        <v>0</v>
      </c>
      <c r="L58" s="1064">
        <v>0</v>
      </c>
      <c r="M58" s="1064">
        <f t="shared" si="11"/>
        <v>0</v>
      </c>
      <c r="N58" s="1064">
        <f t="shared" si="11"/>
        <v>0</v>
      </c>
      <c r="AA58" s="1118"/>
      <c r="AB58" s="1118"/>
      <c r="AC58" s="1118"/>
      <c r="AD58" s="1118"/>
      <c r="AE58" s="1118"/>
      <c r="AF58" s="1118"/>
      <c r="AG58" s="1118"/>
      <c r="AH58" s="1118"/>
      <c r="AI58" s="1118"/>
      <c r="AJ58" s="1118"/>
      <c r="AK58" s="1118"/>
    </row>
    <row r="59" spans="1:37" s="1117" customFormat="1" ht="15" hidden="1">
      <c r="A59" s="2124" t="s">
        <v>2062</v>
      </c>
      <c r="B59" s="2125">
        <f>1+E61</f>
        <v>1</v>
      </c>
      <c r="C59" s="741"/>
      <c r="D59" s="741"/>
      <c r="E59" s="742"/>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hidden="1">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hidden="1">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2"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18"/>
      <c r="AB61" s="1118"/>
      <c r="AC61" s="1118"/>
      <c r="AD61" s="1118"/>
      <c r="AE61" s="1118"/>
      <c r="AF61" s="1118"/>
      <c r="AG61" s="1118"/>
      <c r="AH61" s="1118"/>
      <c r="AI61" s="1118"/>
      <c r="AJ61" s="1118"/>
      <c r="AK61" s="1118"/>
    </row>
    <row r="62" spans="1:37" s="1117" customFormat="1" ht="38.25" hidden="1">
      <c r="A62" s="2128" t="s">
        <v>2053</v>
      </c>
      <c r="B62" s="2132" t="str">
        <f>估价对象房地状况!C18</f>
        <v>估价对象周边道路状况、公共交通通达情况、停车便捷程度，综合评价交通便捷度较好</v>
      </c>
      <c r="C62" s="2042"/>
      <c r="D62" s="1065">
        <f t="shared" si="12"/>
        <v>0</v>
      </c>
      <c r="E62" s="745"/>
      <c r="F62" s="1812"/>
      <c r="G62" s="1063"/>
      <c r="H62" s="1066" t="str">
        <f t="shared" si="13"/>
        <v>——</v>
      </c>
      <c r="I62" s="3363">
        <v>0.26</v>
      </c>
      <c r="J62" s="1064">
        <f t="shared" si="14"/>
        <v>0</v>
      </c>
      <c r="K62" s="1064">
        <f t="shared" si="15"/>
        <v>0</v>
      </c>
      <c r="L62" s="1064">
        <v>0</v>
      </c>
      <c r="M62" s="1064">
        <f t="shared" si="16"/>
        <v>0</v>
      </c>
      <c r="N62" s="1064">
        <f t="shared" si="16"/>
        <v>0</v>
      </c>
      <c r="AA62" s="1118"/>
      <c r="AB62" s="1118"/>
      <c r="AC62" s="1118"/>
      <c r="AD62" s="1118"/>
      <c r="AE62" s="1118"/>
      <c r="AF62" s="1118"/>
      <c r="AG62" s="1118"/>
      <c r="AH62" s="1118"/>
      <c r="AI62" s="1118"/>
      <c r="AJ62" s="1118"/>
      <c r="AK62" s="1118"/>
    </row>
    <row r="63" spans="1:37" s="1117" customFormat="1" ht="36" hidden="1">
      <c r="A63" s="3365" t="s">
        <v>3270</v>
      </c>
      <c r="B63" s="2132">
        <f>估价对象房地状况!C19</f>
        <v>0</v>
      </c>
      <c r="C63" s="2042"/>
      <c r="D63" s="1065">
        <f t="shared" si="12"/>
        <v>0</v>
      </c>
      <c r="E63" s="745"/>
      <c r="F63" s="1812"/>
      <c r="G63" s="1063"/>
      <c r="H63" s="1066" t="str">
        <f t="shared" si="13"/>
        <v>——</v>
      </c>
      <c r="I63" s="3363">
        <v>0.11</v>
      </c>
      <c r="J63" s="1064">
        <f t="shared" si="14"/>
        <v>0</v>
      </c>
      <c r="K63" s="1064">
        <f t="shared" si="15"/>
        <v>0</v>
      </c>
      <c r="L63" s="1064">
        <v>0</v>
      </c>
      <c r="M63" s="1064">
        <f t="shared" si="16"/>
        <v>0</v>
      </c>
      <c r="N63" s="1064">
        <f t="shared" si="16"/>
        <v>0</v>
      </c>
      <c r="AA63" s="1118"/>
      <c r="AB63" s="1118"/>
      <c r="AC63" s="1118"/>
      <c r="AD63" s="1118"/>
      <c r="AE63" s="1118"/>
      <c r="AF63" s="1118"/>
      <c r="AG63" s="1118"/>
      <c r="AH63" s="1118"/>
      <c r="AI63" s="1118"/>
      <c r="AJ63" s="1118"/>
      <c r="AK63" s="1118"/>
    </row>
    <row r="64" spans="1:37" s="1117" customFormat="1" ht="36.75" hidden="1">
      <c r="A64" s="2128" t="s">
        <v>2054</v>
      </c>
      <c r="B64" s="2133" t="s">
        <v>2055</v>
      </c>
      <c r="C64" s="2042"/>
      <c r="D64" s="1065">
        <f t="shared" si="12"/>
        <v>0</v>
      </c>
      <c r="E64" s="745"/>
      <c r="F64" s="1812"/>
      <c r="G64" s="1063"/>
      <c r="H64" s="1066" t="str">
        <f t="shared" si="13"/>
        <v>——</v>
      </c>
      <c r="I64" s="3363">
        <v>0.05</v>
      </c>
      <c r="J64" s="1064">
        <f t="shared" si="14"/>
        <v>0</v>
      </c>
      <c r="K64" s="1064">
        <f t="shared" si="15"/>
        <v>0</v>
      </c>
      <c r="L64" s="1064">
        <v>0</v>
      </c>
      <c r="M64" s="1064">
        <f t="shared" si="16"/>
        <v>0</v>
      </c>
      <c r="N64" s="1064">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5">
        <f t="shared" si="12"/>
        <v>0</v>
      </c>
      <c r="E65" s="745"/>
      <c r="F65" s="1812"/>
      <c r="G65" s="1063"/>
      <c r="H65" s="1066" t="str">
        <f t="shared" si="13"/>
        <v>——</v>
      </c>
      <c r="I65" s="3363">
        <v>0.05</v>
      </c>
      <c r="J65" s="1064">
        <f t="shared" si="14"/>
        <v>0</v>
      </c>
      <c r="K65" s="1064">
        <f t="shared" si="15"/>
        <v>0</v>
      </c>
      <c r="L65" s="1064">
        <v>0</v>
      </c>
      <c r="M65" s="1064">
        <f t="shared" si="16"/>
        <v>0</v>
      </c>
      <c r="N65" s="1064">
        <f t="shared" si="16"/>
        <v>0</v>
      </c>
      <c r="AA65" s="1118"/>
      <c r="AB65" s="1118"/>
      <c r="AC65" s="1118"/>
      <c r="AD65" s="1118"/>
      <c r="AE65" s="1118"/>
      <c r="AF65" s="1118"/>
      <c r="AG65" s="1118"/>
      <c r="AH65" s="1118"/>
      <c r="AI65" s="1118"/>
      <c r="AJ65" s="1118"/>
      <c r="AK65" s="1118"/>
    </row>
    <row r="66" spans="1:37" s="1117" customFormat="1" ht="24" hidden="1">
      <c r="A66" s="2128" t="s">
        <v>2057</v>
      </c>
      <c r="B66" s="2134" t="s">
        <v>2058</v>
      </c>
      <c r="C66" s="2042"/>
      <c r="D66" s="1065">
        <f t="shared" si="12"/>
        <v>0</v>
      </c>
      <c r="E66" s="745"/>
      <c r="F66" s="1812"/>
      <c r="G66" s="1063"/>
      <c r="H66" s="1066" t="str">
        <f t="shared" si="13"/>
        <v>——</v>
      </c>
      <c r="I66" s="3363">
        <v>0.06</v>
      </c>
      <c r="J66" s="1064">
        <f t="shared" si="14"/>
        <v>0</v>
      </c>
      <c r="K66" s="1064">
        <f t="shared" si="15"/>
        <v>0</v>
      </c>
      <c r="L66" s="1064">
        <v>0</v>
      </c>
      <c r="M66" s="1064">
        <f t="shared" si="16"/>
        <v>0</v>
      </c>
      <c r="N66" s="1064">
        <f t="shared" si="16"/>
        <v>0</v>
      </c>
      <c r="AA66" s="1118"/>
      <c r="AB66" s="1118"/>
      <c r="AC66" s="1118"/>
      <c r="AD66" s="1118"/>
      <c r="AE66" s="1118"/>
      <c r="AF66" s="1118"/>
      <c r="AG66" s="1118"/>
      <c r="AH66" s="1118"/>
      <c r="AI66" s="1118"/>
      <c r="AJ66" s="1118"/>
      <c r="AK66" s="1118"/>
    </row>
    <row r="67" spans="1:37" s="1117" customFormat="1" ht="25.5" hidden="1">
      <c r="A67" s="2128" t="s">
        <v>2059</v>
      </c>
      <c r="B67" s="1324" t="str">
        <f>估价对象房地状况!C21</f>
        <v>估价对象所在区域公共配套设施齐备情况</v>
      </c>
      <c r="C67" s="2042"/>
      <c r="D67" s="1065">
        <f t="shared" si="12"/>
        <v>0</v>
      </c>
      <c r="E67" s="745"/>
      <c r="F67" s="1812"/>
      <c r="G67" s="1063"/>
      <c r="H67" s="1066" t="str">
        <f t="shared" si="13"/>
        <v>——</v>
      </c>
      <c r="I67" s="3363">
        <v>0.06</v>
      </c>
      <c r="J67" s="1064">
        <f t="shared" si="14"/>
        <v>0</v>
      </c>
      <c r="K67" s="1064">
        <f t="shared" si="15"/>
        <v>0</v>
      </c>
      <c r="L67" s="1064">
        <v>0</v>
      </c>
      <c r="M67" s="1064">
        <f t="shared" si="16"/>
        <v>0</v>
      </c>
      <c r="N67" s="1064">
        <f t="shared" si="16"/>
        <v>0</v>
      </c>
      <c r="AA67" s="1118"/>
      <c r="AB67" s="1118"/>
      <c r="AC67" s="1118"/>
      <c r="AD67" s="1118"/>
      <c r="AE67" s="1118"/>
      <c r="AF67" s="1118"/>
      <c r="AG67" s="1118"/>
      <c r="AH67" s="1118"/>
      <c r="AI67" s="1118"/>
      <c r="AJ67" s="1118"/>
      <c r="AK67" s="1118"/>
    </row>
    <row r="68" spans="1:37" s="1117" customFormat="1" ht="25.5" hidden="1">
      <c r="A68" s="2128" t="s">
        <v>2060</v>
      </c>
      <c r="B68" s="1324" t="str">
        <f>估价对象房地状况!C22</f>
        <v>估价对象所在区域基础设施水平</v>
      </c>
      <c r="C68" s="2042"/>
      <c r="D68" s="1065">
        <f t="shared" si="12"/>
        <v>0</v>
      </c>
      <c r="E68" s="745"/>
      <c r="F68" s="1812"/>
      <c r="G68" s="1063"/>
      <c r="H68" s="1066" t="str">
        <f t="shared" si="13"/>
        <v>——</v>
      </c>
      <c r="I68" s="3363">
        <v>0.09</v>
      </c>
      <c r="J68" s="1064">
        <f t="shared" si="14"/>
        <v>0</v>
      </c>
      <c r="K68" s="1064">
        <f t="shared" si="15"/>
        <v>0</v>
      </c>
      <c r="L68" s="1064">
        <v>0</v>
      </c>
      <c r="M68" s="1064">
        <f t="shared" si="16"/>
        <v>0</v>
      </c>
      <c r="N68" s="1064">
        <f t="shared" si="16"/>
        <v>0</v>
      </c>
      <c r="AA68" s="1118"/>
      <c r="AB68" s="1118"/>
      <c r="AC68" s="1118"/>
      <c r="AD68" s="1118"/>
      <c r="AE68" s="1118"/>
      <c r="AF68" s="1118"/>
      <c r="AG68" s="1118"/>
      <c r="AH68" s="1118"/>
      <c r="AI68" s="1118"/>
      <c r="AJ68" s="1118"/>
      <c r="AK68" s="1118"/>
    </row>
    <row r="69" spans="1:37" s="1117" customFormat="1" ht="26.25" hidden="1" thickBot="1">
      <c r="A69" s="2136" t="s">
        <v>2061</v>
      </c>
      <c r="B69" s="2138" t="str">
        <f>估价对象房地状况!C20</f>
        <v>区域自然环境：；人文环境；综合评价环境状况一般</v>
      </c>
      <c r="C69" s="2042"/>
      <c r="D69" s="1065">
        <f t="shared" si="12"/>
        <v>0</v>
      </c>
      <c r="E69" s="746"/>
      <c r="F69" s="1812"/>
      <c r="G69" s="1063"/>
      <c r="H69" s="1066" t="str">
        <f t="shared" si="13"/>
        <v>——</v>
      </c>
      <c r="I69" s="3364">
        <v>7.0000000000000007E-2</v>
      </c>
      <c r="J69" s="1064">
        <f t="shared" si="14"/>
        <v>0</v>
      </c>
      <c r="K69" s="1064">
        <f t="shared" si="15"/>
        <v>0</v>
      </c>
      <c r="L69" s="1064">
        <v>0</v>
      </c>
      <c r="M69" s="1064">
        <f t="shared" si="16"/>
        <v>0</v>
      </c>
      <c r="N69" s="1064">
        <f t="shared" si="16"/>
        <v>0</v>
      </c>
      <c r="AA69" s="1118"/>
      <c r="AB69" s="1118"/>
      <c r="AC69" s="1118"/>
      <c r="AD69" s="1118"/>
      <c r="AE69" s="1118"/>
      <c r="AF69" s="1118"/>
      <c r="AG69" s="1118"/>
      <c r="AH69" s="1118"/>
      <c r="AI69" s="1118"/>
      <c r="AJ69" s="1118"/>
      <c r="AK69" s="1118"/>
    </row>
    <row r="70" spans="1:37" s="1117" customFormat="1" ht="15" hidden="1">
      <c r="A70" s="2124" t="s">
        <v>2065</v>
      </c>
      <c r="B70" s="2125">
        <f>1+E72</f>
        <v>1</v>
      </c>
      <c r="C70" s="741"/>
      <c r="D70" s="741"/>
      <c r="E70" s="742"/>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2"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5">
        <f t="shared" si="17"/>
        <v>0</v>
      </c>
      <c r="E73" s="747"/>
      <c r="F73" s="1812"/>
      <c r="G73" s="1063"/>
      <c r="H73" s="1066" t="str">
        <f t="shared" si="18"/>
        <v>——</v>
      </c>
      <c r="I73" s="3363">
        <v>0.26</v>
      </c>
      <c r="J73" s="1064">
        <f t="shared" si="19"/>
        <v>0</v>
      </c>
      <c r="K73" s="1064">
        <f t="shared" si="20"/>
        <v>0</v>
      </c>
      <c r="L73" s="1064">
        <v>0</v>
      </c>
      <c r="M73" s="1064">
        <f t="shared" si="21"/>
        <v>0</v>
      </c>
      <c r="N73" s="1064">
        <f t="shared" si="21"/>
        <v>0</v>
      </c>
      <c r="AA73" s="1118"/>
      <c r="AB73" s="1118"/>
      <c r="AC73" s="1118"/>
      <c r="AD73" s="1118"/>
      <c r="AE73" s="1118"/>
      <c r="AF73" s="1118"/>
      <c r="AG73" s="1118"/>
      <c r="AH73" s="1118"/>
      <c r="AI73" s="1118"/>
      <c r="AJ73" s="1118"/>
      <c r="AK73" s="1118"/>
    </row>
    <row r="74" spans="1:37" s="1995" customFormat="1" ht="36" hidden="1">
      <c r="A74" s="3365" t="s">
        <v>3270</v>
      </c>
      <c r="B74" s="2132">
        <f>估价对象房地状况!C19</f>
        <v>0</v>
      </c>
      <c r="C74" s="2042"/>
      <c r="D74" s="1065">
        <f t="shared" si="17"/>
        <v>0</v>
      </c>
      <c r="E74" s="747"/>
      <c r="F74" s="1812"/>
      <c r="G74" s="1063"/>
      <c r="H74" s="1066" t="str">
        <f t="shared" si="18"/>
        <v>——</v>
      </c>
      <c r="I74" s="3363">
        <v>0.1</v>
      </c>
      <c r="J74" s="1064">
        <f t="shared" si="19"/>
        <v>0</v>
      </c>
      <c r="K74" s="1064">
        <f t="shared" si="20"/>
        <v>0</v>
      </c>
      <c r="L74" s="1064">
        <v>0</v>
      </c>
      <c r="M74" s="1064">
        <f t="shared" si="21"/>
        <v>0</v>
      </c>
      <c r="N74" s="1064">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5">
        <f t="shared" si="17"/>
        <v>0</v>
      </c>
      <c r="E75" s="747"/>
      <c r="F75" s="1812"/>
      <c r="G75" s="1063"/>
      <c r="H75" s="1066" t="str">
        <f t="shared" si="18"/>
        <v>——</v>
      </c>
      <c r="I75" s="3363">
        <v>0.05</v>
      </c>
      <c r="J75" s="1064">
        <f t="shared" si="19"/>
        <v>0</v>
      </c>
      <c r="K75" s="1064">
        <f t="shared" si="20"/>
        <v>0</v>
      </c>
      <c r="L75" s="1064">
        <v>0</v>
      </c>
      <c r="M75" s="1064">
        <f t="shared" si="21"/>
        <v>0</v>
      </c>
      <c r="N75" s="1064">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5">
        <f t="shared" si="17"/>
        <v>0</v>
      </c>
      <c r="E76" s="747"/>
      <c r="F76" s="1812"/>
      <c r="G76" s="1063"/>
      <c r="H76" s="1066" t="str">
        <f t="shared" si="18"/>
        <v>——</v>
      </c>
      <c r="I76" s="3363">
        <v>0.08</v>
      </c>
      <c r="J76" s="1064">
        <f t="shared" si="19"/>
        <v>0</v>
      </c>
      <c r="K76" s="1064">
        <f t="shared" si="20"/>
        <v>0</v>
      </c>
      <c r="L76" s="1064">
        <v>0</v>
      </c>
      <c r="M76" s="1064">
        <f t="shared" si="21"/>
        <v>0</v>
      </c>
      <c r="N76" s="1064">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5">
        <f t="shared" si="17"/>
        <v>0</v>
      </c>
      <c r="E77" s="747"/>
      <c r="F77" s="1812"/>
      <c r="G77" s="1063"/>
      <c r="H77" s="1066" t="str">
        <f t="shared" si="18"/>
        <v>——</v>
      </c>
      <c r="I77" s="3363">
        <v>0.09</v>
      </c>
      <c r="J77" s="1064">
        <f t="shared" si="19"/>
        <v>0</v>
      </c>
      <c r="K77" s="1064">
        <f t="shared" si="20"/>
        <v>0</v>
      </c>
      <c r="L77" s="1064">
        <v>0</v>
      </c>
      <c r="M77" s="1064">
        <f t="shared" si="21"/>
        <v>0</v>
      </c>
      <c r="N77" s="1064">
        <f t="shared" si="21"/>
        <v>0</v>
      </c>
      <c r="O77" s="1117"/>
      <c r="P77" s="1117"/>
      <c r="Z77" s="1996"/>
      <c r="AA77" s="2051"/>
      <c r="AG77" s="1119"/>
      <c r="AK77" s="2051"/>
    </row>
    <row r="78" spans="1:37" ht="24" hidden="1">
      <c r="A78" s="2128" t="s">
        <v>2057</v>
      </c>
      <c r="B78" s="2134" t="s">
        <v>2058</v>
      </c>
      <c r="C78" s="2042"/>
      <c r="D78" s="1065">
        <f t="shared" si="17"/>
        <v>0</v>
      </c>
      <c r="E78" s="747"/>
      <c r="F78" s="1812"/>
      <c r="G78" s="1063"/>
      <c r="H78" s="1066" t="str">
        <f t="shared" si="18"/>
        <v>——</v>
      </c>
      <c r="I78" s="3363">
        <v>0.05</v>
      </c>
      <c r="J78" s="1064">
        <f t="shared" si="19"/>
        <v>0</v>
      </c>
      <c r="K78" s="1064">
        <f t="shared" si="20"/>
        <v>0</v>
      </c>
      <c r="L78" s="1064">
        <v>0</v>
      </c>
      <c r="M78" s="1064">
        <f t="shared" si="21"/>
        <v>0</v>
      </c>
      <c r="N78" s="1064">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5">
        <f t="shared" si="17"/>
        <v>0</v>
      </c>
      <c r="E79" s="747"/>
      <c r="F79" s="1812"/>
      <c r="G79" s="1063"/>
      <c r="H79" s="1066" t="str">
        <f t="shared" si="18"/>
        <v>——</v>
      </c>
      <c r="I79" s="3363">
        <v>0.12</v>
      </c>
      <c r="J79" s="1064">
        <f t="shared" si="19"/>
        <v>0</v>
      </c>
      <c r="K79" s="1064">
        <f t="shared" si="20"/>
        <v>0</v>
      </c>
      <c r="L79" s="1064">
        <v>0</v>
      </c>
      <c r="M79" s="1064">
        <f t="shared" si="21"/>
        <v>0</v>
      </c>
      <c r="N79" s="1064">
        <f t="shared" si="21"/>
        <v>0</v>
      </c>
      <c r="Z79" s="1996"/>
      <c r="AA79" s="2051"/>
      <c r="AG79" s="1119"/>
      <c r="AK79" s="2051"/>
    </row>
    <row r="80" spans="1:37" ht="24.75" hidden="1" thickBot="1">
      <c r="A80" s="2136" t="s">
        <v>2068</v>
      </c>
      <c r="B80" s="2140"/>
      <c r="C80" s="2042"/>
      <c r="D80" s="1065">
        <f t="shared" si="17"/>
        <v>0</v>
      </c>
      <c r="E80" s="748"/>
      <c r="F80" s="1812"/>
      <c r="G80" s="1063"/>
      <c r="H80" s="1066" t="str">
        <f t="shared" si="18"/>
        <v>——</v>
      </c>
      <c r="I80" s="3364">
        <v>0.05</v>
      </c>
      <c r="J80" s="1064">
        <f t="shared" si="19"/>
        <v>0</v>
      </c>
      <c r="K80" s="1064">
        <f t="shared" si="20"/>
        <v>0</v>
      </c>
      <c r="L80" s="1064">
        <v>0</v>
      </c>
      <c r="M80" s="1064">
        <f t="shared" si="21"/>
        <v>0</v>
      </c>
      <c r="N80" s="1064">
        <f t="shared" si="21"/>
        <v>0</v>
      </c>
      <c r="Z80" s="1996"/>
      <c r="AA80" s="2051"/>
      <c r="AG80" s="1119"/>
      <c r="AK80" s="2051"/>
    </row>
    <row r="81" spans="1:37" ht="15" hidden="1">
      <c r="A81" s="2124" t="s">
        <v>2069</v>
      </c>
      <c r="B81" s="2125">
        <f>1+E83</f>
        <v>1</v>
      </c>
      <c r="C81" s="741"/>
      <c r="D81" s="741"/>
      <c r="E81" s="742"/>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3">
        <v>0.3</v>
      </c>
      <c r="J84" s="1064">
        <f t="shared" si="24"/>
        <v>0</v>
      </c>
      <c r="K84" s="1064">
        <f t="shared" si="25"/>
        <v>0</v>
      </c>
      <c r="L84" s="1064">
        <v>0</v>
      </c>
      <c r="M84" s="1064">
        <f t="shared" si="26"/>
        <v>0</v>
      </c>
      <c r="N84" s="1064">
        <f t="shared" si="26"/>
        <v>0</v>
      </c>
      <c r="Z84" s="1996"/>
      <c r="AA84" s="2051"/>
      <c r="AG84" s="1119"/>
      <c r="AK84" s="2051"/>
    </row>
    <row r="85" spans="1:37" ht="36" hidden="1">
      <c r="A85" s="3365" t="s">
        <v>3271</v>
      </c>
      <c r="B85" s="2132">
        <f>估价对象房地状况!G17</f>
        <v>0</v>
      </c>
      <c r="C85" s="2042"/>
      <c r="D85" s="1065">
        <f t="shared" si="22"/>
        <v>0</v>
      </c>
      <c r="E85" s="747"/>
      <c r="F85" s="1812"/>
      <c r="G85" s="1063"/>
      <c r="H85" s="1066" t="str">
        <f t="shared" si="23"/>
        <v>——</v>
      </c>
      <c r="I85" s="3363">
        <v>0.1</v>
      </c>
      <c r="J85" s="1064">
        <f t="shared" si="24"/>
        <v>0</v>
      </c>
      <c r="K85" s="1064">
        <f t="shared" si="25"/>
        <v>0</v>
      </c>
      <c r="L85" s="1064">
        <v>0</v>
      </c>
      <c r="M85" s="1064">
        <f t="shared" si="26"/>
        <v>0</v>
      </c>
      <c r="N85" s="1064">
        <f t="shared" si="26"/>
        <v>0</v>
      </c>
      <c r="Z85" s="1996"/>
      <c r="AA85" s="2051"/>
      <c r="AG85" s="1119"/>
      <c r="AK85" s="2051"/>
    </row>
    <row r="86" spans="1:37" ht="14.25" hidden="1">
      <c r="A86" s="2128" t="s">
        <v>2067</v>
      </c>
      <c r="B86" s="2132">
        <f>估价对象房地状况!G22</f>
        <v>0</v>
      </c>
      <c r="C86" s="2042"/>
      <c r="D86" s="1065">
        <f t="shared" si="22"/>
        <v>0</v>
      </c>
      <c r="E86" s="747"/>
      <c r="F86" s="1812"/>
      <c r="G86" s="1063"/>
      <c r="H86" s="1066" t="str">
        <f t="shared" si="23"/>
        <v>——</v>
      </c>
      <c r="I86" s="3363">
        <v>0.05</v>
      </c>
      <c r="J86" s="1064">
        <f t="shared" si="24"/>
        <v>0</v>
      </c>
      <c r="K86" s="1064">
        <f t="shared" si="25"/>
        <v>0</v>
      </c>
      <c r="L86" s="1064">
        <v>0</v>
      </c>
      <c r="M86" s="1064">
        <f t="shared" si="26"/>
        <v>0</v>
      </c>
      <c r="N86" s="1064">
        <f t="shared" si="26"/>
        <v>0</v>
      </c>
      <c r="Z86" s="1996"/>
      <c r="AA86" s="2051"/>
      <c r="AG86" s="1119"/>
      <c r="AK86" s="2051"/>
    </row>
    <row r="87" spans="1:37" ht="25.5" hidden="1">
      <c r="A87" s="2128" t="s">
        <v>2059</v>
      </c>
      <c r="B87" s="1324" t="str">
        <f>估价对象房地状况!G19</f>
        <v>估价对象所在区域公共配套设施齐备情况</v>
      </c>
      <c r="C87" s="2042"/>
      <c r="D87" s="1065">
        <f t="shared" si="22"/>
        <v>0</v>
      </c>
      <c r="E87" s="747"/>
      <c r="F87" s="1812"/>
      <c r="G87" s="1063"/>
      <c r="H87" s="1066" t="str">
        <f t="shared" si="23"/>
        <v>——</v>
      </c>
      <c r="I87" s="3363">
        <v>0.06</v>
      </c>
      <c r="J87" s="1064">
        <f t="shared" si="24"/>
        <v>0</v>
      </c>
      <c r="K87" s="1064">
        <f t="shared" si="25"/>
        <v>0</v>
      </c>
      <c r="L87" s="1064">
        <v>0</v>
      </c>
      <c r="M87" s="1064">
        <f t="shared" si="26"/>
        <v>0</v>
      </c>
      <c r="N87" s="1064">
        <f t="shared" si="26"/>
        <v>0</v>
      </c>
    </row>
    <row r="88" spans="1:37" ht="25.5" hidden="1">
      <c r="A88" s="2128" t="s">
        <v>2060</v>
      </c>
      <c r="B88" s="1324" t="str">
        <f>估价对象房地状况!G20</f>
        <v>估价对象所在区域基础设施水平</v>
      </c>
      <c r="C88" s="2042"/>
      <c r="D88" s="1065">
        <f t="shared" si="22"/>
        <v>0</v>
      </c>
      <c r="E88" s="747"/>
      <c r="F88" s="1812"/>
      <c r="G88" s="1063"/>
      <c r="H88" s="1066" t="str">
        <f t="shared" si="23"/>
        <v>——</v>
      </c>
      <c r="I88" s="3363">
        <v>0.12</v>
      </c>
      <c r="J88" s="1064">
        <f t="shared" si="24"/>
        <v>0</v>
      </c>
      <c r="K88" s="1064">
        <f t="shared" si="25"/>
        <v>0</v>
      </c>
      <c r="L88" s="1064">
        <v>0</v>
      </c>
      <c r="M88" s="1064">
        <f t="shared" si="26"/>
        <v>0</v>
      </c>
      <c r="N88" s="1064">
        <f t="shared" si="26"/>
        <v>0</v>
      </c>
    </row>
    <row r="89" spans="1:37" ht="24" hidden="1">
      <c r="A89" s="2128" t="s">
        <v>2057</v>
      </c>
      <c r="B89" s="2134" t="s">
        <v>2071</v>
      </c>
      <c r="C89" s="2042"/>
      <c r="D89" s="1065">
        <f t="shared" si="22"/>
        <v>0</v>
      </c>
      <c r="E89" s="747"/>
      <c r="F89" s="1812"/>
      <c r="G89" s="1063"/>
      <c r="H89" s="1066" t="str">
        <f t="shared" si="23"/>
        <v>——</v>
      </c>
      <c r="I89" s="3363">
        <v>0.06</v>
      </c>
      <c r="J89" s="1064">
        <f t="shared" si="24"/>
        <v>0</v>
      </c>
      <c r="K89" s="1064">
        <f t="shared" si="25"/>
        <v>0</v>
      </c>
      <c r="L89" s="1064">
        <v>0</v>
      </c>
      <c r="M89" s="1064">
        <f t="shared" si="26"/>
        <v>0</v>
      </c>
      <c r="N89" s="1064">
        <f t="shared" si="26"/>
        <v>0</v>
      </c>
    </row>
    <row r="90" spans="1:37" ht="39" hidden="1" thickBot="1">
      <c r="A90" s="2136" t="s">
        <v>2072</v>
      </c>
      <c r="B90" s="2141" t="str">
        <f>估价对象房地状况!G18</f>
        <v>该园区内是否有污染型企业，绿化情况，卫生条件，整体环境状况判断</v>
      </c>
      <c r="C90" s="2042"/>
      <c r="D90" s="1065">
        <f t="shared" si="22"/>
        <v>0</v>
      </c>
      <c r="E90" s="748"/>
      <c r="F90" s="1812"/>
      <c r="G90" s="1063"/>
      <c r="H90" s="1066" t="str">
        <f t="shared" si="23"/>
        <v>——</v>
      </c>
      <c r="I90" s="3364">
        <v>0.05</v>
      </c>
      <c r="J90" s="1064">
        <f t="shared" si="24"/>
        <v>0</v>
      </c>
      <c r="K90" s="1064">
        <f t="shared" si="25"/>
        <v>0</v>
      </c>
      <c r="L90" s="1064">
        <v>0</v>
      </c>
      <c r="M90" s="1064">
        <f t="shared" si="26"/>
        <v>0</v>
      </c>
      <c r="N90" s="1064">
        <f t="shared" si="26"/>
        <v>0</v>
      </c>
    </row>
    <row r="91" spans="1:37" ht="15">
      <c r="A91" s="3373" t="s">
        <v>2614</v>
      </c>
      <c r="B91" s="3374">
        <f>1+E93</f>
        <v>1.0147999999999999</v>
      </c>
      <c r="C91" s="3367"/>
      <c r="D91" s="3368"/>
      <c r="E91" s="1812"/>
      <c r="F91" s="1812"/>
      <c r="G91" s="3369"/>
      <c r="H91" s="3370"/>
      <c r="I91" s="3371"/>
      <c r="J91" s="3372"/>
      <c r="K91" s="3372"/>
      <c r="L91" s="3372"/>
      <c r="M91" s="3372"/>
      <c r="N91" s="3372"/>
    </row>
    <row r="92" spans="1:37" ht="24.75">
      <c r="A92" s="3375" t="s">
        <v>3272</v>
      </c>
      <c r="B92" s="3362"/>
      <c r="C92" s="3362" t="s">
        <v>3281</v>
      </c>
      <c r="D92" s="3362" t="s">
        <v>3282</v>
      </c>
      <c r="E92" s="3344" t="s">
        <v>3283</v>
      </c>
      <c r="F92" s="3377" t="s">
        <v>3284</v>
      </c>
      <c r="G92" s="3362" t="s">
        <v>3285</v>
      </c>
      <c r="H92" s="3384" t="s">
        <v>3288</v>
      </c>
      <c r="I92" s="3362" t="s">
        <v>3289</v>
      </c>
      <c r="J92" s="3385" t="s">
        <v>3290</v>
      </c>
      <c r="K92" s="3385" t="s">
        <v>3291</v>
      </c>
      <c r="L92" s="3385" t="s">
        <v>3292</v>
      </c>
      <c r="M92" s="3385" t="s">
        <v>3293</v>
      </c>
      <c r="N92" s="3385" t="s">
        <v>3294</v>
      </c>
    </row>
    <row r="93" spans="1:37" ht="24">
      <c r="A93" s="3365" t="s">
        <v>3273</v>
      </c>
      <c r="B93" s="1304"/>
      <c r="C93" s="2042" t="s">
        <v>3509</v>
      </c>
      <c r="D93" s="3362">
        <f>SUMIF($J$92:$N$92,C93,J93:N93)</f>
        <v>0</v>
      </c>
      <c r="E93" s="3378">
        <f>ROUND(SUM(D93:D101),4)</f>
        <v>1.4800000000000001E-2</v>
      </c>
      <c r="F93" s="1812">
        <f>IF(E2="公共服务",SUMIF(L1:L12,G2,N1:N12),"——")</f>
        <v>0.13</v>
      </c>
      <c r="G93" s="3369">
        <f>H93</f>
        <v>1.6199999999999999E-2</v>
      </c>
      <c r="H93" s="3417">
        <f>IFERROR(ROUNDDOWN($F$93*I93/2,4),"——")</f>
        <v>1.6199999999999999E-2</v>
      </c>
      <c r="I93" s="3363">
        <v>0.25</v>
      </c>
      <c r="J93" s="3341">
        <f t="shared" ref="J93:J101" si="27">K93+$G93</f>
        <v>3.2399999999999998E-2</v>
      </c>
      <c r="K93" s="3341">
        <f t="shared" ref="K93:K101" si="28">$L93+$G93</f>
        <v>1.6199999999999999E-2</v>
      </c>
      <c r="L93" s="3341">
        <v>0</v>
      </c>
      <c r="M93" s="3341">
        <f t="shared" ref="M93:N101" si="29">L93-$G93</f>
        <v>-1.6199999999999999E-2</v>
      </c>
      <c r="N93" s="3341">
        <f t="shared" si="29"/>
        <v>-3.2399999999999998E-2</v>
      </c>
    </row>
    <row r="94" spans="1:37" ht="38.25">
      <c r="A94" s="3375" t="s">
        <v>3274</v>
      </c>
      <c r="B94" s="3366" t="str">
        <f>估价对象房地状况!C18</f>
        <v>估价对象周边道路状况、公共交通通达情况、停车便捷程度，综合评价交通便捷度较好</v>
      </c>
      <c r="C94" s="2042" t="s">
        <v>3509</v>
      </c>
      <c r="D94" s="3362">
        <f t="shared" ref="D94:D101" si="30">SUMIF($J$60:$N$60,C94,J94:N94)</f>
        <v>0</v>
      </c>
      <c r="E94" s="3379"/>
      <c r="F94" s="1812"/>
      <c r="G94" s="3369">
        <f t="shared" ref="G94:G101" si="31">H94</f>
        <v>1.6899999999999998E-2</v>
      </c>
      <c r="H94" s="3417">
        <f>IFERROR(ROUNDDOWN($F$93*I94/2,4),"——")</f>
        <v>1.6899999999999998E-2</v>
      </c>
      <c r="I94" s="3363">
        <v>0.26</v>
      </c>
      <c r="J94" s="3341">
        <f t="shared" si="27"/>
        <v>3.3799999999999997E-2</v>
      </c>
      <c r="K94" s="3341">
        <f t="shared" si="28"/>
        <v>1.6899999999999998E-2</v>
      </c>
      <c r="L94" s="3341">
        <v>0</v>
      </c>
      <c r="M94" s="3341">
        <f t="shared" si="29"/>
        <v>-1.6899999999999998E-2</v>
      </c>
      <c r="N94" s="3341">
        <f t="shared" si="29"/>
        <v>-3.3799999999999997E-2</v>
      </c>
    </row>
    <row r="95" spans="1:37" ht="36">
      <c r="A95" s="3365" t="s">
        <v>3270</v>
      </c>
      <c r="B95" s="3366">
        <f>估价对象房地状况!C19</f>
        <v>0</v>
      </c>
      <c r="C95" s="2042" t="s">
        <v>3510</v>
      </c>
      <c r="D95" s="3362">
        <f t="shared" si="30"/>
        <v>7.1000000000000004E-3</v>
      </c>
      <c r="E95" s="3379"/>
      <c r="F95" s="1812"/>
      <c r="G95" s="3369">
        <f t="shared" si="31"/>
        <v>7.1000000000000004E-3</v>
      </c>
      <c r="H95" s="3417">
        <f t="shared" ref="H95:H101" si="32">IFERROR(ROUNDDOWN($F$93*I95/2,4),"——")</f>
        <v>7.1000000000000004E-3</v>
      </c>
      <c r="I95" s="3363">
        <v>0.11</v>
      </c>
      <c r="J95" s="3341">
        <f t="shared" si="27"/>
        <v>1.4200000000000001E-2</v>
      </c>
      <c r="K95" s="3341">
        <f t="shared" si="28"/>
        <v>7.1000000000000004E-3</v>
      </c>
      <c r="L95" s="3341">
        <v>0</v>
      </c>
      <c r="M95" s="3341">
        <f t="shared" si="29"/>
        <v>-7.1000000000000004E-3</v>
      </c>
      <c r="N95" s="3341">
        <f t="shared" si="29"/>
        <v>-1.4200000000000001E-2</v>
      </c>
    </row>
    <row r="96" spans="1:37" ht="36.75">
      <c r="A96" s="3375" t="s">
        <v>3275</v>
      </c>
      <c r="B96" s="3381" t="s">
        <v>3286</v>
      </c>
      <c r="C96" s="2042" t="s">
        <v>3510</v>
      </c>
      <c r="D96" s="3362">
        <f t="shared" si="30"/>
        <v>3.2000000000000002E-3</v>
      </c>
      <c r="E96" s="3379"/>
      <c r="F96" s="1812"/>
      <c r="G96" s="3369">
        <f t="shared" si="31"/>
        <v>3.2000000000000002E-3</v>
      </c>
      <c r="H96" s="3417">
        <f t="shared" si="32"/>
        <v>3.2000000000000002E-3</v>
      </c>
      <c r="I96" s="3363">
        <v>0.05</v>
      </c>
      <c r="J96" s="3341">
        <f t="shared" si="27"/>
        <v>6.4000000000000003E-3</v>
      </c>
      <c r="K96" s="3341">
        <f t="shared" si="28"/>
        <v>3.2000000000000002E-3</v>
      </c>
      <c r="L96" s="3341">
        <v>0</v>
      </c>
      <c r="M96" s="3341">
        <f t="shared" si="29"/>
        <v>-3.2000000000000002E-3</v>
      </c>
      <c r="N96" s="3341">
        <f t="shared" si="29"/>
        <v>-6.4000000000000003E-3</v>
      </c>
    </row>
    <row r="97" spans="1:14" ht="24">
      <c r="A97" s="3375" t="s">
        <v>3276</v>
      </c>
      <c r="B97" s="3366">
        <f>估价对象房地状况!C24</f>
        <v>0</v>
      </c>
      <c r="C97" s="2042" t="s">
        <v>3509</v>
      </c>
      <c r="D97" s="3362">
        <f t="shared" si="30"/>
        <v>0</v>
      </c>
      <c r="E97" s="3379"/>
      <c r="F97" s="1812"/>
      <c r="G97" s="3369">
        <f t="shared" si="31"/>
        <v>3.2000000000000002E-3</v>
      </c>
      <c r="H97" s="3417">
        <f t="shared" si="32"/>
        <v>3.2000000000000002E-3</v>
      </c>
      <c r="I97" s="3363">
        <v>0.05</v>
      </c>
      <c r="J97" s="3341">
        <f t="shared" si="27"/>
        <v>6.4000000000000003E-3</v>
      </c>
      <c r="K97" s="3341">
        <f t="shared" si="28"/>
        <v>3.2000000000000002E-3</v>
      </c>
      <c r="L97" s="3341">
        <v>0</v>
      </c>
      <c r="M97" s="3341">
        <f t="shared" si="29"/>
        <v>-3.2000000000000002E-3</v>
      </c>
      <c r="N97" s="3341">
        <f t="shared" si="29"/>
        <v>-6.4000000000000003E-3</v>
      </c>
    </row>
    <row r="98" spans="1:14" ht="24">
      <c r="A98" s="3375" t="s">
        <v>3277</v>
      </c>
      <c r="B98" s="3382" t="s">
        <v>3287</v>
      </c>
      <c r="C98" s="2042" t="s">
        <v>3510</v>
      </c>
      <c r="D98" s="3362">
        <f t="shared" si="30"/>
        <v>3.8999999999999998E-3</v>
      </c>
      <c r="E98" s="3379"/>
      <c r="F98" s="1812"/>
      <c r="G98" s="3369">
        <f t="shared" si="31"/>
        <v>3.8999999999999998E-3</v>
      </c>
      <c r="H98" s="3417">
        <f t="shared" si="32"/>
        <v>3.8999999999999998E-3</v>
      </c>
      <c r="I98" s="3363">
        <v>0.06</v>
      </c>
      <c r="J98" s="3341">
        <f t="shared" si="27"/>
        <v>7.7999999999999996E-3</v>
      </c>
      <c r="K98" s="3341">
        <f t="shared" si="28"/>
        <v>3.8999999999999998E-3</v>
      </c>
      <c r="L98" s="3341">
        <v>0</v>
      </c>
      <c r="M98" s="3341">
        <f t="shared" si="29"/>
        <v>-3.8999999999999998E-3</v>
      </c>
      <c r="N98" s="3341">
        <f t="shared" si="29"/>
        <v>-7.7999999999999996E-3</v>
      </c>
    </row>
    <row r="99" spans="1:14" ht="25.5">
      <c r="A99" s="3375" t="s">
        <v>3278</v>
      </c>
      <c r="B99" s="3366" t="str">
        <f>估价对象房地状况!C21</f>
        <v>估价对象所在区域公共配套设施齐备情况</v>
      </c>
      <c r="C99" s="2042" t="s">
        <v>3511</v>
      </c>
      <c r="D99" s="3362">
        <f t="shared" si="30"/>
        <v>-3.8999999999999998E-3</v>
      </c>
      <c r="E99" s="3379"/>
      <c r="F99" s="1812"/>
      <c r="G99" s="3369">
        <f t="shared" si="31"/>
        <v>3.8999999999999998E-3</v>
      </c>
      <c r="H99" s="3417">
        <f t="shared" si="32"/>
        <v>3.8999999999999998E-3</v>
      </c>
      <c r="I99" s="3363">
        <v>0.06</v>
      </c>
      <c r="J99" s="3341">
        <f t="shared" si="27"/>
        <v>7.7999999999999996E-3</v>
      </c>
      <c r="K99" s="3341">
        <f t="shared" si="28"/>
        <v>3.8999999999999998E-3</v>
      </c>
      <c r="L99" s="3341">
        <v>0</v>
      </c>
      <c r="M99" s="3341">
        <f t="shared" si="29"/>
        <v>-3.8999999999999998E-3</v>
      </c>
      <c r="N99" s="3341">
        <f t="shared" si="29"/>
        <v>-7.7999999999999996E-3</v>
      </c>
    </row>
    <row r="100" spans="1:14" ht="25.5">
      <c r="A100" s="3375" t="s">
        <v>3279</v>
      </c>
      <c r="B100" s="3366" t="str">
        <f>估价对象房地状况!C22</f>
        <v>估价对象所在区域基础设施水平</v>
      </c>
      <c r="C100" s="2042" t="s">
        <v>3509</v>
      </c>
      <c r="D100" s="3362">
        <f t="shared" si="30"/>
        <v>0</v>
      </c>
      <c r="E100" s="3379"/>
      <c r="F100" s="1812"/>
      <c r="G100" s="3369">
        <f t="shared" si="31"/>
        <v>5.7999999999999996E-3</v>
      </c>
      <c r="H100" s="3417">
        <f t="shared" si="32"/>
        <v>5.7999999999999996E-3</v>
      </c>
      <c r="I100" s="3363">
        <v>0.09</v>
      </c>
      <c r="J100" s="3341">
        <f t="shared" si="27"/>
        <v>1.1599999999999999E-2</v>
      </c>
      <c r="K100" s="3341">
        <f t="shared" si="28"/>
        <v>5.7999999999999996E-3</v>
      </c>
      <c r="L100" s="3341">
        <v>0</v>
      </c>
      <c r="M100" s="3341">
        <f t="shared" si="29"/>
        <v>-5.7999999999999996E-3</v>
      </c>
      <c r="N100" s="3341">
        <f t="shared" si="29"/>
        <v>-1.1599999999999999E-2</v>
      </c>
    </row>
    <row r="101" spans="1:14" ht="26.25" thickBot="1">
      <c r="A101" s="3376" t="s">
        <v>3280</v>
      </c>
      <c r="B101" s="3383" t="str">
        <f>估价对象房地状况!C20</f>
        <v>区域自然环境：；人文环境；综合评价环境状况一般</v>
      </c>
      <c r="C101" s="2042" t="s">
        <v>3510</v>
      </c>
      <c r="D101" s="3362">
        <f t="shared" si="30"/>
        <v>4.4999999999999997E-3</v>
      </c>
      <c r="E101" s="3380"/>
      <c r="F101" s="1812"/>
      <c r="G101" s="3369">
        <f t="shared" si="31"/>
        <v>4.4999999999999997E-3</v>
      </c>
      <c r="H101" s="3417">
        <f t="shared" si="32"/>
        <v>4.4999999999999997E-3</v>
      </c>
      <c r="I101" s="3364">
        <v>7.0000000000000007E-2</v>
      </c>
      <c r="J101" s="3341">
        <f t="shared" si="27"/>
        <v>8.9999999999999993E-3</v>
      </c>
      <c r="K101" s="3341">
        <f t="shared" si="28"/>
        <v>4.4999999999999997E-3</v>
      </c>
      <c r="L101" s="3341">
        <v>0</v>
      </c>
      <c r="M101" s="3341">
        <f t="shared" si="29"/>
        <v>-4.4999999999999997E-3</v>
      </c>
      <c r="N101" s="3341">
        <f t="shared" si="29"/>
        <v>-8.9999999999999993E-3</v>
      </c>
    </row>
    <row r="103" spans="1:14">
      <c r="A103" s="3769" t="s">
        <v>3295</v>
      </c>
      <c r="B103" s="3769"/>
      <c r="C103" s="3769"/>
      <c r="D103" s="3769"/>
      <c r="E103" s="3769"/>
      <c r="F103" s="3769"/>
      <c r="G103" s="3769"/>
      <c r="H103" s="3769"/>
      <c r="I103" s="3769"/>
      <c r="J103" s="3769"/>
      <c r="K103" s="3386"/>
      <c r="L103" s="3386"/>
      <c r="M103" s="3386"/>
      <c r="N103" s="3386"/>
    </row>
    <row r="104" spans="1:14">
      <c r="A104" s="3770" t="s">
        <v>3296</v>
      </c>
      <c r="B104" s="3770" t="s">
        <v>3297</v>
      </c>
      <c r="C104" s="3387" t="s">
        <v>3298</v>
      </c>
      <c r="D104" s="3388"/>
      <c r="E104" s="3388"/>
      <c r="F104" s="3388"/>
      <c r="G104" s="3388"/>
      <c r="H104" s="3388"/>
      <c r="I104" s="3388"/>
      <c r="J104" s="3389"/>
      <c r="K104" s="3390"/>
      <c r="L104" s="3390"/>
      <c r="M104" s="3390"/>
      <c r="N104" s="3390"/>
    </row>
    <row r="105" spans="1:14">
      <c r="A105" s="3770"/>
      <c r="B105" s="3770"/>
      <c r="C105" s="3391" t="s">
        <v>3299</v>
      </c>
      <c r="D105" s="3391" t="s">
        <v>3300</v>
      </c>
      <c r="E105" s="3391" t="s">
        <v>3301</v>
      </c>
      <c r="F105" s="3391" t="s">
        <v>3302</v>
      </c>
      <c r="G105" s="3391" t="s">
        <v>3303</v>
      </c>
      <c r="H105" s="3391" t="s">
        <v>3304</v>
      </c>
      <c r="I105" s="3391" t="s">
        <v>3305</v>
      </c>
      <c r="J105" s="3391" t="s">
        <v>3306</v>
      </c>
      <c r="K105" s="3391" t="s">
        <v>3307</v>
      </c>
      <c r="L105" s="3391" t="s">
        <v>3308</v>
      </c>
      <c r="M105" s="3391" t="s">
        <v>3309</v>
      </c>
      <c r="N105" s="3391" t="s">
        <v>3310</v>
      </c>
    </row>
    <row r="106" spans="1:14">
      <c r="A106" s="3756" t="s">
        <v>3311</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7"/>
      <c r="B111" s="3391" t="s">
        <v>3269</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58"/>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59" t="s">
        <v>3312</v>
      </c>
      <c r="B113" s="3759"/>
      <c r="C113" s="3759"/>
      <c r="D113" s="3759"/>
      <c r="E113" s="3759"/>
      <c r="F113" s="3759"/>
      <c r="G113" s="3759"/>
      <c r="H113" s="3759"/>
      <c r="I113" s="3759"/>
      <c r="J113" s="375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3313</v>
      </c>
      <c r="B116" s="3412">
        <f>G3</f>
        <v>2.17</v>
      </c>
      <c r="C116" s="3396" t="s">
        <v>3314</v>
      </c>
      <c r="D116" s="3397">
        <f>SUMPRODUCT((A118:A122=F116)*(B117:M117=H116)*B118:M122)</f>
        <v>0.86619999999999997</v>
      </c>
      <c r="E116" s="1998" t="s">
        <v>3315</v>
      </c>
      <c r="F116" s="3398" t="str">
        <f>E2</f>
        <v>公共服务</v>
      </c>
      <c r="G116" s="1998" t="s">
        <v>3316</v>
      </c>
      <c r="H116" s="3398" t="str">
        <f>G2</f>
        <v>七级</v>
      </c>
      <c r="I116" s="1998"/>
      <c r="J116" s="3399"/>
      <c r="K116" s="3399"/>
      <c r="L116" s="3399"/>
      <c r="M116" s="3399"/>
      <c r="N116" s="3394"/>
    </row>
    <row r="117" spans="1:14">
      <c r="A117" s="3400"/>
      <c r="B117" s="3401" t="s">
        <v>3317</v>
      </c>
      <c r="C117" s="3401" t="s">
        <v>3318</v>
      </c>
      <c r="D117" s="3401" t="s">
        <v>3319</v>
      </c>
      <c r="E117" s="3402" t="s">
        <v>3320</v>
      </c>
      <c r="F117" s="3402" t="s">
        <v>3321</v>
      </c>
      <c r="G117" s="3402" t="s">
        <v>3322</v>
      </c>
      <c r="H117" s="3403" t="s">
        <v>3323</v>
      </c>
      <c r="I117" s="3403" t="s">
        <v>3324</v>
      </c>
      <c r="J117" s="3404" t="s">
        <v>3325</v>
      </c>
      <c r="K117" s="3404" t="s">
        <v>3326</v>
      </c>
      <c r="L117" s="3404" t="s">
        <v>3327</v>
      </c>
      <c r="M117" s="3405" t="s">
        <v>3328</v>
      </c>
      <c r="N117" s="3394"/>
    </row>
    <row r="118" spans="1:14">
      <c r="A118" s="3406" t="s">
        <v>3329</v>
      </c>
      <c r="B118" s="3384">
        <f>ROUND(0.9968-0.011*B116,4)</f>
        <v>0.97289999999999999</v>
      </c>
      <c r="C118" s="3384">
        <f>B118</f>
        <v>0.97289999999999999</v>
      </c>
      <c r="D118" s="3384">
        <f>ROUND(0.949-0.014*B116,4)</f>
        <v>0.91859999999999997</v>
      </c>
      <c r="E118" s="3384">
        <f>D118</f>
        <v>0.91859999999999997</v>
      </c>
      <c r="F118" s="3384">
        <f>E118</f>
        <v>0.91859999999999997</v>
      </c>
      <c r="G118" s="3384">
        <f>F118</f>
        <v>0.91859999999999997</v>
      </c>
      <c r="H118" s="3384">
        <f>G118</f>
        <v>0.91859999999999997</v>
      </c>
      <c r="I118" s="3384">
        <f>ROUND(0.8486-0.018*B116,4)</f>
        <v>0.8095</v>
      </c>
      <c r="J118" s="3384">
        <f t="shared" ref="J118:M122" si="36">I118</f>
        <v>0.8095</v>
      </c>
      <c r="K118" s="3384">
        <f t="shared" si="36"/>
        <v>0.8095</v>
      </c>
      <c r="L118" s="3384">
        <f t="shared" si="36"/>
        <v>0.8095</v>
      </c>
      <c r="M118" s="3407">
        <f t="shared" si="36"/>
        <v>0.8095</v>
      </c>
      <c r="N118" s="3394"/>
    </row>
    <row r="119" spans="1:14">
      <c r="A119" s="3406" t="s">
        <v>3330</v>
      </c>
      <c r="B119" s="3384">
        <f>ROUND(0.993-0.0112*B116,4)</f>
        <v>0.96870000000000001</v>
      </c>
      <c r="C119" s="3384">
        <f>B119</f>
        <v>0.96870000000000001</v>
      </c>
      <c r="D119" s="3384">
        <f>ROUND(0.9415-0.0142*B116,4)</f>
        <v>0.91069999999999995</v>
      </c>
      <c r="E119" s="3384">
        <f t="shared" ref="E119:H120" si="37">D119</f>
        <v>0.91069999999999995</v>
      </c>
      <c r="F119" s="3384">
        <f t="shared" si="37"/>
        <v>0.91069999999999995</v>
      </c>
      <c r="G119" s="3384">
        <f t="shared" si="37"/>
        <v>0.91069999999999995</v>
      </c>
      <c r="H119" s="3384">
        <f t="shared" si="37"/>
        <v>0.91069999999999995</v>
      </c>
      <c r="I119" s="3384">
        <f>ROUND(0.838-0.0182*B116,4)</f>
        <v>0.79849999999999999</v>
      </c>
      <c r="J119" s="3384">
        <f t="shared" si="36"/>
        <v>0.79849999999999999</v>
      </c>
      <c r="K119" s="3384">
        <f t="shared" si="36"/>
        <v>0.79849999999999999</v>
      </c>
      <c r="L119" s="3384">
        <f t="shared" si="36"/>
        <v>0.79849999999999999</v>
      </c>
      <c r="M119" s="3407">
        <f t="shared" si="36"/>
        <v>0.79849999999999999</v>
      </c>
      <c r="N119" s="3394"/>
    </row>
    <row r="120" spans="1:14">
      <c r="A120" s="3406" t="s">
        <v>3331</v>
      </c>
      <c r="B120" s="3384">
        <f>ROUND(0.9448-0.0115*B116,4)</f>
        <v>0.91979999999999995</v>
      </c>
      <c r="C120" s="3384">
        <f>B120</f>
        <v>0.91979999999999995</v>
      </c>
      <c r="D120" s="3384">
        <f>ROUND(0.937-0.0145*B116,4)</f>
        <v>0.90549999999999997</v>
      </c>
      <c r="E120" s="3384">
        <f t="shared" si="37"/>
        <v>0.90549999999999997</v>
      </c>
      <c r="F120" s="3384">
        <f t="shared" si="37"/>
        <v>0.90549999999999997</v>
      </c>
      <c r="G120" s="3384">
        <f t="shared" si="37"/>
        <v>0.90549999999999997</v>
      </c>
      <c r="H120" s="3384">
        <f t="shared" si="37"/>
        <v>0.90549999999999997</v>
      </c>
      <c r="I120" s="3384">
        <f>ROUND(0.7965-0.0185*B116,4)</f>
        <v>0.75639999999999996</v>
      </c>
      <c r="J120" s="3384">
        <f t="shared" si="36"/>
        <v>0.75639999999999996</v>
      </c>
      <c r="K120" s="3384">
        <f t="shared" si="36"/>
        <v>0.75639999999999996</v>
      </c>
      <c r="L120" s="3384">
        <f t="shared" si="36"/>
        <v>0.75639999999999996</v>
      </c>
      <c r="M120" s="3407">
        <f t="shared" si="36"/>
        <v>0.75639999999999996</v>
      </c>
      <c r="N120" s="3394"/>
    </row>
    <row r="121" spans="1:14" ht="13.5" thickBot="1">
      <c r="A121" s="3408" t="s">
        <v>3332</v>
      </c>
      <c r="B121" s="3409">
        <f>ROUND(0.7836-0.012*B116,4)</f>
        <v>0.75760000000000005</v>
      </c>
      <c r="C121" s="3409">
        <f>B121</f>
        <v>0.75760000000000005</v>
      </c>
      <c r="D121" s="3409">
        <f>ROUND(0.753-0.015*B116,4)</f>
        <v>0.72050000000000003</v>
      </c>
      <c r="E121" s="3409">
        <f>D121</f>
        <v>0.72050000000000003</v>
      </c>
      <c r="F121" s="3409">
        <f>E121</f>
        <v>0.72050000000000003</v>
      </c>
      <c r="G121" s="3409">
        <f>ROUND(0.6612-0.018*B116,4)</f>
        <v>0.62209999999999999</v>
      </c>
      <c r="H121" s="3409">
        <f>G121</f>
        <v>0.62209999999999999</v>
      </c>
      <c r="I121" s="3409">
        <f>ROUND(0.5905-0.019*B116,4)</f>
        <v>0.54930000000000001</v>
      </c>
      <c r="J121" s="3409">
        <f t="shared" si="36"/>
        <v>0.54930000000000001</v>
      </c>
      <c r="K121" s="3409">
        <f t="shared" si="36"/>
        <v>0.54930000000000001</v>
      </c>
      <c r="L121" s="3409">
        <f t="shared" si="36"/>
        <v>0.54930000000000001</v>
      </c>
      <c r="M121" s="3410">
        <f t="shared" si="36"/>
        <v>0.54930000000000001</v>
      </c>
      <c r="N121" s="3394"/>
    </row>
    <row r="122" spans="1:14">
      <c r="A122" s="3411" t="s">
        <v>2614</v>
      </c>
      <c r="B122" s="3384">
        <f>ROUND(0.9404-0.0106*B116,4)</f>
        <v>0.91739999999999999</v>
      </c>
      <c r="C122" s="3384">
        <f>B122</f>
        <v>0.91739999999999999</v>
      </c>
      <c r="D122" s="3384">
        <f>ROUND(0.8955-0.0135*B116,4)</f>
        <v>0.86619999999999997</v>
      </c>
      <c r="E122" s="3384">
        <f t="shared" ref="E122:H122" si="38">D122</f>
        <v>0.86619999999999997</v>
      </c>
      <c r="F122" s="3384">
        <f t="shared" si="38"/>
        <v>0.86619999999999997</v>
      </c>
      <c r="G122" s="3384">
        <f t="shared" si="38"/>
        <v>0.86619999999999997</v>
      </c>
      <c r="H122" s="3384">
        <f t="shared" si="38"/>
        <v>0.86619999999999997</v>
      </c>
      <c r="I122" s="3384">
        <f>ROUND(0.7632-0.0166*B116,4)</f>
        <v>0.72719999999999996</v>
      </c>
      <c r="J122" s="3384">
        <f t="shared" si="36"/>
        <v>0.72719999999999996</v>
      </c>
      <c r="K122" s="3384">
        <f t="shared" si="36"/>
        <v>0.72719999999999996</v>
      </c>
      <c r="L122" s="3384">
        <f t="shared" si="36"/>
        <v>0.72719999999999996</v>
      </c>
      <c r="M122" s="3407">
        <f t="shared" si="36"/>
        <v>0.72719999999999996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784" t="s">
        <v>2609</v>
      </c>
      <c r="B20" s="3779" t="s">
        <v>2630</v>
      </c>
      <c r="C20" s="3099" t="s">
        <v>2441</v>
      </c>
      <c r="D20" s="3100"/>
      <c r="E20" s="3101">
        <v>1</v>
      </c>
      <c r="F20" s="3102" t="s">
        <v>2442</v>
      </c>
      <c r="G20" s="3102"/>
    </row>
    <row r="21" spans="1:13" ht="19.5" customHeight="1">
      <c r="A21" s="3785"/>
      <c r="B21" s="3778"/>
      <c r="C21" s="3103" t="s">
        <v>2443</v>
      </c>
      <c r="D21" s="3104"/>
      <c r="E21" s="3105">
        <v>1</v>
      </c>
      <c r="F21" s="3102" t="s">
        <v>2444</v>
      </c>
      <c r="G21" s="3102"/>
    </row>
    <row r="22" spans="1:13" ht="19.5" customHeight="1">
      <c r="A22" s="3785"/>
      <c r="B22" s="3778"/>
      <c r="C22" s="3103" t="s">
        <v>2445</v>
      </c>
      <c r="D22" s="3104"/>
      <c r="E22" s="3105">
        <v>0.9</v>
      </c>
      <c r="F22" s="3102" t="s">
        <v>2446</v>
      </c>
      <c r="G22" s="3102"/>
    </row>
    <row r="23" spans="1:13" ht="19.5" customHeight="1">
      <c r="A23" s="3785"/>
      <c r="B23" s="3778"/>
      <c r="C23" s="3103" t="s">
        <v>2447</v>
      </c>
      <c r="D23" s="3104"/>
      <c r="E23" s="3105">
        <v>0.9</v>
      </c>
      <c r="F23" s="3102" t="s">
        <v>2448</v>
      </c>
      <c r="G23" s="3102"/>
    </row>
    <row r="24" spans="1:13" ht="19.5" customHeight="1">
      <c r="A24" s="3785"/>
      <c r="B24" s="3778"/>
      <c r="C24" s="3103" t="s">
        <v>2449</v>
      </c>
      <c r="D24" s="3104"/>
      <c r="E24" s="3105">
        <v>0.8</v>
      </c>
      <c r="F24" s="3102" t="s">
        <v>2450</v>
      </c>
      <c r="G24" s="3102"/>
    </row>
    <row r="25" spans="1:13" ht="19.5" customHeight="1" thickBot="1">
      <c r="A25" s="3786"/>
      <c r="B25" s="3780"/>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781" t="s">
        <v>2633</v>
      </c>
      <c r="B27" s="3779" t="s">
        <v>2614</v>
      </c>
      <c r="C27" s="3099" t="s">
        <v>2454</v>
      </c>
      <c r="D27" s="3100"/>
      <c r="E27" s="3101">
        <v>1</v>
      </c>
      <c r="F27" s="3102" t="s">
        <v>2455</v>
      </c>
      <c r="G27" s="3102"/>
    </row>
    <row r="28" spans="1:13" ht="19.5" customHeight="1">
      <c r="A28" s="3782"/>
      <c r="B28" s="3778"/>
      <c r="C28" s="3103" t="s">
        <v>2456</v>
      </c>
      <c r="D28" s="3104"/>
      <c r="E28" s="3105">
        <v>1</v>
      </c>
      <c r="F28" s="3102" t="s">
        <v>2457</v>
      </c>
      <c r="G28" s="3102"/>
    </row>
    <row r="29" spans="1:13" ht="19.5" customHeight="1">
      <c r="A29" s="3782"/>
      <c r="B29" s="3778"/>
      <c r="C29" s="3103" t="s">
        <v>2458</v>
      </c>
      <c r="D29" s="3104"/>
      <c r="E29" s="3105">
        <v>0.8</v>
      </c>
      <c r="F29" s="3102" t="s">
        <v>2459</v>
      </c>
      <c r="G29" s="3102"/>
    </row>
    <row r="30" spans="1:13" ht="19.5" customHeight="1">
      <c r="A30" s="3782"/>
      <c r="B30" s="3778"/>
      <c r="C30" s="3103" t="s">
        <v>2460</v>
      </c>
      <c r="D30" s="3104"/>
      <c r="E30" s="3105">
        <v>0.8</v>
      </c>
      <c r="F30" s="3102" t="s">
        <v>2461</v>
      </c>
      <c r="G30" s="3102"/>
    </row>
    <row r="31" spans="1:13" ht="19.5" customHeight="1">
      <c r="A31" s="3782"/>
      <c r="B31" s="3778"/>
      <c r="C31" s="3103" t="s">
        <v>2462</v>
      </c>
      <c r="D31" s="3104"/>
      <c r="E31" s="3105">
        <v>0.8</v>
      </c>
      <c r="F31" s="3102" t="s">
        <v>2463</v>
      </c>
      <c r="G31" s="3102"/>
    </row>
    <row r="32" spans="1:13" ht="19.5" customHeight="1">
      <c r="A32" s="3782"/>
      <c r="B32" s="3778"/>
      <c r="C32" s="3103" t="s">
        <v>2464</v>
      </c>
      <c r="D32" s="3104"/>
      <c r="E32" s="3105">
        <v>0.7</v>
      </c>
      <c r="F32" s="3102" t="s">
        <v>2465</v>
      </c>
      <c r="G32" s="3102"/>
    </row>
    <row r="33" spans="1:7" ht="19.5" customHeight="1">
      <c r="A33" s="3782"/>
      <c r="B33" s="3778"/>
      <c r="C33" s="3103" t="s">
        <v>2466</v>
      </c>
      <c r="D33" s="3104"/>
      <c r="E33" s="3105">
        <v>0.8</v>
      </c>
      <c r="F33" s="3102" t="s">
        <v>2467</v>
      </c>
      <c r="G33" s="3102"/>
    </row>
    <row r="34" spans="1:7" ht="19.5" customHeight="1">
      <c r="A34" s="3782"/>
      <c r="B34" s="3778"/>
      <c r="C34" s="3103" t="s">
        <v>2468</v>
      </c>
      <c r="D34" s="3104"/>
      <c r="E34" s="3105">
        <v>0.6</v>
      </c>
      <c r="F34" s="3102" t="s">
        <v>2469</v>
      </c>
      <c r="G34" s="3102"/>
    </row>
    <row r="35" spans="1:7" ht="19.5" customHeight="1">
      <c r="A35" s="3782"/>
      <c r="B35" s="3778"/>
      <c r="C35" s="3103" t="s">
        <v>2470</v>
      </c>
      <c r="D35" s="3104"/>
      <c r="E35" s="3105">
        <v>0.2</v>
      </c>
      <c r="F35" s="3102" t="s">
        <v>2471</v>
      </c>
      <c r="G35" s="3102"/>
    </row>
    <row r="36" spans="1:7" ht="19.5" customHeight="1">
      <c r="A36" s="3782"/>
      <c r="B36" s="3778"/>
      <c r="C36" s="3103" t="s">
        <v>2472</v>
      </c>
      <c r="D36" s="3104"/>
      <c r="E36" s="3105">
        <v>0.2</v>
      </c>
      <c r="F36" s="3102" t="s">
        <v>2473</v>
      </c>
      <c r="G36" s="3102"/>
    </row>
    <row r="37" spans="1:7" ht="19.5" customHeight="1">
      <c r="A37" s="3782"/>
      <c r="B37" s="3776" t="s">
        <v>2634</v>
      </c>
      <c r="C37" s="3103" t="s">
        <v>2474</v>
      </c>
      <c r="D37" s="3104"/>
      <c r="E37" s="3105">
        <v>0.6</v>
      </c>
      <c r="F37" s="3102" t="s">
        <v>2475</v>
      </c>
      <c r="G37" s="3102"/>
    </row>
    <row r="38" spans="1:7" ht="19.5" customHeight="1">
      <c r="A38" s="3782"/>
      <c r="B38" s="3778"/>
      <c r="C38" s="3103" t="s">
        <v>2476</v>
      </c>
      <c r="D38" s="3104"/>
      <c r="E38" s="3105">
        <v>0.6</v>
      </c>
      <c r="F38" s="3102" t="s">
        <v>2477</v>
      </c>
      <c r="G38" s="3102"/>
    </row>
    <row r="39" spans="1:7" ht="19.5" customHeight="1" thickBot="1">
      <c r="A39" s="3783"/>
      <c r="B39" s="3780"/>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784" t="s">
        <v>2612</v>
      </c>
      <c r="B41" s="3779" t="s">
        <v>2636</v>
      </c>
      <c r="C41" s="3099" t="s">
        <v>2481</v>
      </c>
      <c r="D41" s="3100"/>
      <c r="E41" s="3101">
        <v>1</v>
      </c>
      <c r="F41" s="3102" t="s">
        <v>2482</v>
      </c>
      <c r="G41" s="3102"/>
    </row>
    <row r="42" spans="1:7" ht="19.5" customHeight="1">
      <c r="A42" s="3785"/>
      <c r="B42" s="3778"/>
      <c r="C42" s="3103" t="s">
        <v>2483</v>
      </c>
      <c r="D42" s="3104"/>
      <c r="E42" s="3105">
        <v>1</v>
      </c>
      <c r="F42" s="3102" t="s">
        <v>2484</v>
      </c>
      <c r="G42" s="3102"/>
    </row>
    <row r="43" spans="1:7" ht="19.5" customHeight="1">
      <c r="A43" s="3785"/>
      <c r="B43" s="3777"/>
      <c r="C43" s="3103" t="s">
        <v>2485</v>
      </c>
      <c r="D43" s="3104"/>
      <c r="E43" s="3105">
        <v>1.5</v>
      </c>
      <c r="F43" s="3102" t="s">
        <v>2486</v>
      </c>
      <c r="G43" s="3102"/>
    </row>
    <row r="44" spans="1:7" ht="19.5" customHeight="1">
      <c r="A44" s="3785"/>
      <c r="B44" s="3114" t="s">
        <v>2637</v>
      </c>
      <c r="C44" s="3103" t="s">
        <v>2638</v>
      </c>
      <c r="D44" s="3104"/>
      <c r="E44" s="3105">
        <v>2</v>
      </c>
      <c r="F44" s="3102" t="s">
        <v>2487</v>
      </c>
      <c r="G44" s="3102"/>
    </row>
    <row r="45" spans="1:7" ht="19.5" customHeight="1">
      <c r="A45" s="3785"/>
      <c r="B45" s="3776" t="s">
        <v>2639</v>
      </c>
      <c r="C45" s="3103" t="s">
        <v>2488</v>
      </c>
      <c r="D45" s="3104"/>
      <c r="E45" s="3105">
        <v>1</v>
      </c>
      <c r="F45" s="3102" t="s">
        <v>2489</v>
      </c>
      <c r="G45" s="3102"/>
    </row>
    <row r="46" spans="1:7" ht="19.5" customHeight="1">
      <c r="A46" s="3785"/>
      <c r="B46" s="3778"/>
      <c r="C46" s="3103" t="s">
        <v>2490</v>
      </c>
      <c r="D46" s="3104"/>
      <c r="E46" s="3105">
        <v>1</v>
      </c>
      <c r="F46" s="3102" t="s">
        <v>2491</v>
      </c>
      <c r="G46" s="3102"/>
    </row>
    <row r="47" spans="1:7" ht="19.5" customHeight="1">
      <c r="A47" s="3785"/>
      <c r="B47" s="3778"/>
      <c r="C47" s="3103" t="s">
        <v>2492</v>
      </c>
      <c r="D47" s="3104"/>
      <c r="E47" s="3105">
        <v>1</v>
      </c>
      <c r="F47" s="3102" t="s">
        <v>2493</v>
      </c>
      <c r="G47" s="3102"/>
    </row>
    <row r="48" spans="1:7" ht="19.5" customHeight="1">
      <c r="A48" s="3785"/>
      <c r="B48" s="3778"/>
      <c r="C48" s="3103" t="s">
        <v>2494</v>
      </c>
      <c r="D48" s="3104"/>
      <c r="E48" s="3105">
        <v>1</v>
      </c>
      <c r="F48" s="3102" t="s">
        <v>2495</v>
      </c>
      <c r="G48" s="3102"/>
    </row>
    <row r="49" spans="1:7" ht="19.5" customHeight="1">
      <c r="A49" s="3785"/>
      <c r="B49" s="3778"/>
      <c r="C49" s="3103" t="s">
        <v>2496</v>
      </c>
      <c r="D49" s="3104"/>
      <c r="E49" s="3105">
        <v>1</v>
      </c>
      <c r="F49" s="3102" t="s">
        <v>2497</v>
      </c>
      <c r="G49" s="3102"/>
    </row>
    <row r="50" spans="1:7" ht="19.5" customHeight="1">
      <c r="A50" s="3785"/>
      <c r="B50" s="3778"/>
      <c r="C50" s="3103" t="s">
        <v>2498</v>
      </c>
      <c r="D50" s="3104"/>
      <c r="E50" s="3105">
        <v>1</v>
      </c>
      <c r="F50" s="3102" t="s">
        <v>2499</v>
      </c>
      <c r="G50" s="3102"/>
    </row>
    <row r="51" spans="1:7" ht="19.5" customHeight="1" thickBot="1">
      <c r="A51" s="3786"/>
      <c r="B51" s="3780"/>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776" t="s">
        <v>2653</v>
      </c>
      <c r="C73" s="3088" t="s">
        <v>2654</v>
      </c>
      <c r="D73" s="3088" t="s">
        <v>2655</v>
      </c>
      <c r="E73" s="3114">
        <v>0.2</v>
      </c>
      <c r="F73" s="3114">
        <v>25</v>
      </c>
    </row>
    <row r="74" spans="1:7" ht="24">
      <c r="A74" s="3114">
        <v>2</v>
      </c>
      <c r="B74" s="3778"/>
      <c r="C74" s="3088" t="s">
        <v>2656</v>
      </c>
      <c r="D74" s="3088" t="s">
        <v>2657</v>
      </c>
      <c r="E74" s="3114">
        <v>0.2</v>
      </c>
      <c r="F74" s="3114">
        <v>25</v>
      </c>
    </row>
    <row r="75" spans="1:7" ht="24">
      <c r="A75" s="3114">
        <v>3</v>
      </c>
      <c r="B75" s="3778"/>
      <c r="C75" s="3088" t="s">
        <v>2658</v>
      </c>
      <c r="D75" s="3088" t="s">
        <v>2659</v>
      </c>
      <c r="E75" s="3114">
        <v>0.2</v>
      </c>
      <c r="F75" s="3114">
        <v>25</v>
      </c>
    </row>
    <row r="76" spans="1:7" ht="13.5">
      <c r="A76" s="3114">
        <v>4</v>
      </c>
      <c r="B76" s="3778"/>
      <c r="C76" s="3088" t="s">
        <v>2660</v>
      </c>
      <c r="D76" s="3088" t="s">
        <v>2661</v>
      </c>
      <c r="E76" s="3114">
        <v>0.15</v>
      </c>
      <c r="F76" s="3114">
        <v>20</v>
      </c>
    </row>
    <row r="77" spans="1:7" ht="24">
      <c r="A77" s="3114">
        <v>5</v>
      </c>
      <c r="B77" s="3778"/>
      <c r="C77" s="3088" t="s">
        <v>2662</v>
      </c>
      <c r="D77" s="3088" t="s">
        <v>2663</v>
      </c>
      <c r="E77" s="3114">
        <v>0.15</v>
      </c>
      <c r="F77" s="3114">
        <v>20</v>
      </c>
    </row>
    <row r="78" spans="1:7" ht="24">
      <c r="A78" s="3114">
        <v>6</v>
      </c>
      <c r="B78" s="3778"/>
      <c r="C78" s="3088" t="s">
        <v>2664</v>
      </c>
      <c r="D78" s="3088" t="s">
        <v>2665</v>
      </c>
      <c r="E78" s="3114">
        <v>0.15</v>
      </c>
      <c r="F78" s="3114">
        <v>20</v>
      </c>
    </row>
    <row r="79" spans="1:7" ht="24">
      <c r="A79" s="3114">
        <v>7</v>
      </c>
      <c r="B79" s="3778"/>
      <c r="C79" s="3088" t="s">
        <v>2666</v>
      </c>
      <c r="D79" s="3088" t="s">
        <v>2667</v>
      </c>
      <c r="E79" s="3114">
        <v>0.15</v>
      </c>
      <c r="F79" s="3114">
        <v>20</v>
      </c>
    </row>
    <row r="80" spans="1:7" ht="24">
      <c r="A80" s="3114">
        <v>8</v>
      </c>
      <c r="B80" s="3778"/>
      <c r="C80" s="3088" t="s">
        <v>2668</v>
      </c>
      <c r="D80" s="3088" t="s">
        <v>2669</v>
      </c>
      <c r="E80" s="3114">
        <v>0.1</v>
      </c>
      <c r="F80" s="3114">
        <v>15</v>
      </c>
    </row>
    <row r="81" spans="1:6" ht="24">
      <c r="A81" s="3114">
        <v>9</v>
      </c>
      <c r="B81" s="3778"/>
      <c r="C81" s="3088" t="s">
        <v>2670</v>
      </c>
      <c r="D81" s="3088" t="s">
        <v>2671</v>
      </c>
      <c r="E81" s="3114">
        <v>0.1</v>
      </c>
      <c r="F81" s="3114">
        <v>15</v>
      </c>
    </row>
    <row r="82" spans="1:6" ht="24">
      <c r="A82" s="3114">
        <v>10</v>
      </c>
      <c r="B82" s="3778"/>
      <c r="C82" s="3088" t="s">
        <v>2672</v>
      </c>
      <c r="D82" s="3088" t="s">
        <v>2673</v>
      </c>
      <c r="E82" s="3114">
        <v>0.1</v>
      </c>
      <c r="F82" s="3114">
        <v>15</v>
      </c>
    </row>
    <row r="83" spans="1:6" ht="24">
      <c r="A83" s="3114">
        <v>11</v>
      </c>
      <c r="B83" s="3778"/>
      <c r="C83" s="3088" t="s">
        <v>2674</v>
      </c>
      <c r="D83" s="3088" t="s">
        <v>2675</v>
      </c>
      <c r="E83" s="3114">
        <v>0.1</v>
      </c>
      <c r="F83" s="3114">
        <v>15</v>
      </c>
    </row>
    <row r="84" spans="1:6" ht="24">
      <c r="A84" s="3114">
        <v>12</v>
      </c>
      <c r="B84" s="3778"/>
      <c r="C84" s="3088" t="s">
        <v>2676</v>
      </c>
      <c r="D84" s="3088" t="s">
        <v>2677</v>
      </c>
      <c r="E84" s="3114">
        <v>0.1</v>
      </c>
      <c r="F84" s="3114">
        <v>15</v>
      </c>
    </row>
    <row r="85" spans="1:6" ht="13.5">
      <c r="A85" s="3114">
        <v>13</v>
      </c>
      <c r="B85" s="3778"/>
      <c r="C85" s="3088" t="s">
        <v>2678</v>
      </c>
      <c r="D85" s="3088" t="s">
        <v>2679</v>
      </c>
      <c r="E85" s="3114">
        <v>0.1</v>
      </c>
      <c r="F85" s="3114">
        <v>15</v>
      </c>
    </row>
    <row r="86" spans="1:6" ht="13.5">
      <c r="A86" s="3114">
        <v>14</v>
      </c>
      <c r="B86" s="3778"/>
      <c r="C86" s="3088" t="s">
        <v>2680</v>
      </c>
      <c r="D86" s="3088" t="s">
        <v>2681</v>
      </c>
      <c r="E86" s="3114">
        <v>0.1</v>
      </c>
      <c r="F86" s="3114">
        <v>15</v>
      </c>
    </row>
    <row r="87" spans="1:6" ht="13.5">
      <c r="A87" s="3114">
        <v>15</v>
      </c>
      <c r="B87" s="3778"/>
      <c r="C87" s="3088" t="s">
        <v>2682</v>
      </c>
      <c r="D87" s="3088" t="s">
        <v>2683</v>
      </c>
      <c r="E87" s="3114">
        <v>0.1</v>
      </c>
      <c r="F87" s="3114">
        <v>15</v>
      </c>
    </row>
    <row r="88" spans="1:6" ht="24">
      <c r="A88" s="3114">
        <v>16</v>
      </c>
      <c r="B88" s="3778"/>
      <c r="C88" s="3088" t="s">
        <v>2684</v>
      </c>
      <c r="D88" s="3088" t="s">
        <v>2685</v>
      </c>
      <c r="E88" s="3114">
        <v>0.1</v>
      </c>
      <c r="F88" s="3114">
        <v>15</v>
      </c>
    </row>
    <row r="89" spans="1:6" ht="24">
      <c r="A89" s="3114">
        <v>17</v>
      </c>
      <c r="B89" s="3777"/>
      <c r="C89" s="3088" t="s">
        <v>2686</v>
      </c>
      <c r="D89" s="3088" t="s">
        <v>2687</v>
      </c>
      <c r="E89" s="3114">
        <v>0.1</v>
      </c>
      <c r="F89" s="3114">
        <v>15</v>
      </c>
    </row>
    <row r="90" spans="1:6" ht="13.5">
      <c r="A90" s="3114">
        <v>18</v>
      </c>
      <c r="B90" s="3776" t="s">
        <v>2688</v>
      </c>
      <c r="C90" s="3088" t="s">
        <v>2689</v>
      </c>
      <c r="D90" s="3088" t="s">
        <v>2690</v>
      </c>
      <c r="E90" s="3114">
        <v>0.2</v>
      </c>
      <c r="F90" s="3114">
        <v>25</v>
      </c>
    </row>
    <row r="91" spans="1:6" ht="24">
      <c r="A91" s="3114">
        <v>19</v>
      </c>
      <c r="B91" s="3778"/>
      <c r="C91" s="3088" t="s">
        <v>2691</v>
      </c>
      <c r="D91" s="3088" t="s">
        <v>2692</v>
      </c>
      <c r="E91" s="3114">
        <v>0.2</v>
      </c>
      <c r="F91" s="3114">
        <v>25</v>
      </c>
    </row>
    <row r="92" spans="1:6" ht="13.5">
      <c r="A92" s="3114">
        <v>20</v>
      </c>
      <c r="B92" s="3778"/>
      <c r="C92" s="3088" t="s">
        <v>2693</v>
      </c>
      <c r="D92" s="3088" t="s">
        <v>2694</v>
      </c>
      <c r="E92" s="3114">
        <v>0.15</v>
      </c>
      <c r="F92" s="3114">
        <v>20</v>
      </c>
    </row>
    <row r="93" spans="1:6" ht="13.5">
      <c r="A93" s="3114">
        <v>21</v>
      </c>
      <c r="B93" s="3778"/>
      <c r="C93" s="3088" t="s">
        <v>2695</v>
      </c>
      <c r="D93" s="3088" t="s">
        <v>2696</v>
      </c>
      <c r="E93" s="3114">
        <v>0.15</v>
      </c>
      <c r="F93" s="3114">
        <v>20</v>
      </c>
    </row>
    <row r="94" spans="1:6" ht="13.5">
      <c r="A94" s="3114">
        <v>22</v>
      </c>
      <c r="B94" s="3778"/>
      <c r="C94" s="3088" t="s">
        <v>2697</v>
      </c>
      <c r="D94" s="3088" t="s">
        <v>2698</v>
      </c>
      <c r="E94" s="3114">
        <v>0.15</v>
      </c>
      <c r="F94" s="3114">
        <v>20</v>
      </c>
    </row>
    <row r="95" spans="1:6" ht="36">
      <c r="A95" s="3114">
        <v>23</v>
      </c>
      <c r="B95" s="3778"/>
      <c r="C95" s="3088" t="s">
        <v>2699</v>
      </c>
      <c r="D95" s="3088" t="s">
        <v>2700</v>
      </c>
      <c r="E95" s="3114">
        <v>0.15</v>
      </c>
      <c r="F95" s="3114">
        <v>20</v>
      </c>
    </row>
    <row r="96" spans="1:6" ht="13.5">
      <c r="A96" s="3114">
        <v>24</v>
      </c>
      <c r="B96" s="3778"/>
      <c r="C96" s="3088" t="s">
        <v>2701</v>
      </c>
      <c r="D96" s="3088" t="s">
        <v>2702</v>
      </c>
      <c r="E96" s="3114">
        <v>0.1</v>
      </c>
      <c r="F96" s="3114">
        <v>15</v>
      </c>
    </row>
    <row r="97" spans="1:6" ht="13.5">
      <c r="A97" s="3114">
        <v>25</v>
      </c>
      <c r="B97" s="3778"/>
      <c r="C97" s="3088" t="s">
        <v>2703</v>
      </c>
      <c r="D97" s="3088" t="s">
        <v>2704</v>
      </c>
      <c r="E97" s="3114">
        <v>0.1</v>
      </c>
      <c r="F97" s="3114">
        <v>15</v>
      </c>
    </row>
    <row r="98" spans="1:6" ht="24">
      <c r="A98" s="3114">
        <v>26</v>
      </c>
      <c r="B98" s="3778"/>
      <c r="C98" s="3088" t="s">
        <v>2705</v>
      </c>
      <c r="D98" s="3088" t="s">
        <v>2706</v>
      </c>
      <c r="E98" s="3114">
        <v>0.1</v>
      </c>
      <c r="F98" s="3114">
        <v>15</v>
      </c>
    </row>
    <row r="99" spans="1:6" ht="24">
      <c r="A99" s="3114">
        <v>27</v>
      </c>
      <c r="B99" s="3778"/>
      <c r="C99" s="3088" t="s">
        <v>2707</v>
      </c>
      <c r="D99" s="3088" t="s">
        <v>2708</v>
      </c>
      <c r="E99" s="3114">
        <v>0.1</v>
      </c>
      <c r="F99" s="3114">
        <v>15</v>
      </c>
    </row>
    <row r="100" spans="1:6" ht="13.5">
      <c r="A100" s="3114">
        <v>28</v>
      </c>
      <c r="B100" s="3778"/>
      <c r="C100" s="3088" t="s">
        <v>2709</v>
      </c>
      <c r="D100" s="3088" t="s">
        <v>2710</v>
      </c>
      <c r="E100" s="3114">
        <v>0.1</v>
      </c>
      <c r="F100" s="3114">
        <v>15</v>
      </c>
    </row>
    <row r="101" spans="1:6" ht="13.5">
      <c r="A101" s="3114">
        <v>29</v>
      </c>
      <c r="B101" s="3778"/>
      <c r="C101" s="3088" t="s">
        <v>2711</v>
      </c>
      <c r="D101" s="3088" t="s">
        <v>2712</v>
      </c>
      <c r="E101" s="3114">
        <v>0.1</v>
      </c>
      <c r="F101" s="3114">
        <v>15</v>
      </c>
    </row>
    <row r="102" spans="1:6" ht="13.5">
      <c r="A102" s="3114">
        <v>30</v>
      </c>
      <c r="B102" s="3778"/>
      <c r="C102" s="3088" t="s">
        <v>2713</v>
      </c>
      <c r="D102" s="3088" t="s">
        <v>2714</v>
      </c>
      <c r="E102" s="3114">
        <v>0.1</v>
      </c>
      <c r="F102" s="3114">
        <v>15</v>
      </c>
    </row>
    <row r="103" spans="1:6" ht="24">
      <c r="A103" s="3114">
        <v>31</v>
      </c>
      <c r="B103" s="3778"/>
      <c r="C103" s="3088" t="s">
        <v>2715</v>
      </c>
      <c r="D103" s="3088" t="s">
        <v>2716</v>
      </c>
      <c r="E103" s="3114">
        <v>0.1</v>
      </c>
      <c r="F103" s="3114">
        <v>15</v>
      </c>
    </row>
    <row r="104" spans="1:6" ht="24">
      <c r="A104" s="3114">
        <v>32</v>
      </c>
      <c r="B104" s="3778"/>
      <c r="C104" s="3088" t="s">
        <v>2717</v>
      </c>
      <c r="D104" s="3088" t="s">
        <v>2718</v>
      </c>
      <c r="E104" s="3114">
        <v>0.1</v>
      </c>
      <c r="F104" s="3114">
        <v>15</v>
      </c>
    </row>
    <row r="105" spans="1:6" ht="24">
      <c r="A105" s="3114">
        <v>33</v>
      </c>
      <c r="B105" s="3778"/>
      <c r="C105" s="3088" t="s">
        <v>2719</v>
      </c>
      <c r="D105" s="3088" t="s">
        <v>2720</v>
      </c>
      <c r="E105" s="3114">
        <v>0.1</v>
      </c>
      <c r="F105" s="3114">
        <v>15</v>
      </c>
    </row>
    <row r="106" spans="1:6" ht="24">
      <c r="A106" s="3114">
        <v>34</v>
      </c>
      <c r="B106" s="3777"/>
      <c r="C106" s="3088" t="s">
        <v>2721</v>
      </c>
      <c r="D106" s="3088" t="s">
        <v>2722</v>
      </c>
      <c r="E106" s="3114">
        <v>0.1</v>
      </c>
      <c r="F106" s="3114">
        <v>15</v>
      </c>
    </row>
    <row r="107" spans="1:6" ht="24">
      <c r="A107" s="3114">
        <v>35</v>
      </c>
      <c r="B107" s="3776" t="s">
        <v>2723</v>
      </c>
      <c r="C107" s="3114" t="s">
        <v>2724</v>
      </c>
      <c r="D107" s="3088" t="s">
        <v>2725</v>
      </c>
      <c r="E107" s="3114">
        <v>0.15</v>
      </c>
      <c r="F107" s="3114">
        <v>20</v>
      </c>
    </row>
    <row r="108" spans="1:6" ht="13.5">
      <c r="A108" s="3114">
        <v>36</v>
      </c>
      <c r="B108" s="3778"/>
      <c r="C108" s="3114" t="s">
        <v>2726</v>
      </c>
      <c r="D108" s="3088" t="s">
        <v>2727</v>
      </c>
      <c r="E108" s="3114">
        <v>0.15</v>
      </c>
      <c r="F108" s="3114">
        <v>20</v>
      </c>
    </row>
    <row r="109" spans="1:6" ht="13.5">
      <c r="A109" s="3114">
        <v>37</v>
      </c>
      <c r="B109" s="3778"/>
      <c r="C109" s="3114" t="s">
        <v>2728</v>
      </c>
      <c r="D109" s="3088" t="s">
        <v>2729</v>
      </c>
      <c r="E109" s="3114">
        <v>0.15</v>
      </c>
      <c r="F109" s="3114">
        <v>20</v>
      </c>
    </row>
    <row r="110" spans="1:6" ht="13.5">
      <c r="A110" s="3114">
        <v>38</v>
      </c>
      <c r="B110" s="3778"/>
      <c r="C110" s="3114" t="s">
        <v>2730</v>
      </c>
      <c r="D110" s="3088" t="s">
        <v>2731</v>
      </c>
      <c r="E110" s="3114">
        <v>0.1</v>
      </c>
      <c r="F110" s="3114">
        <v>15</v>
      </c>
    </row>
    <row r="111" spans="1:6" ht="24">
      <c r="A111" s="3114">
        <v>39</v>
      </c>
      <c r="B111" s="3778"/>
      <c r="C111" s="3114" t="s">
        <v>2732</v>
      </c>
      <c r="D111" s="3088" t="s">
        <v>2733</v>
      </c>
      <c r="E111" s="3114">
        <v>0.1</v>
      </c>
      <c r="F111" s="3114">
        <v>15</v>
      </c>
    </row>
    <row r="112" spans="1:6" ht="24">
      <c r="A112" s="3114">
        <v>40</v>
      </c>
      <c r="B112" s="3777"/>
      <c r="C112" s="3114" t="s">
        <v>2734</v>
      </c>
      <c r="D112" s="3088" t="s">
        <v>2735</v>
      </c>
      <c r="E112" s="3114">
        <v>0.1</v>
      </c>
      <c r="F112" s="3114">
        <v>15</v>
      </c>
    </row>
    <row r="113" spans="1:6" ht="13.5">
      <c r="A113" s="3114">
        <v>41</v>
      </c>
      <c r="B113" s="3775" t="s">
        <v>2736</v>
      </c>
      <c r="C113" s="3114" t="s">
        <v>2737</v>
      </c>
      <c r="D113" s="3088" t="s">
        <v>2738</v>
      </c>
      <c r="E113" s="3114">
        <v>0.1</v>
      </c>
      <c r="F113" s="3114">
        <v>15</v>
      </c>
    </row>
    <row r="114" spans="1:6" ht="13.5">
      <c r="A114" s="3114">
        <v>42</v>
      </c>
      <c r="B114" s="3775"/>
      <c r="C114" s="3114" t="s">
        <v>2739</v>
      </c>
      <c r="D114" s="3088" t="s">
        <v>2740</v>
      </c>
      <c r="E114" s="3114">
        <v>0.1</v>
      </c>
      <c r="F114" s="3114">
        <v>15</v>
      </c>
    </row>
    <row r="115" spans="1:6" ht="24">
      <c r="A115" s="3114">
        <v>43</v>
      </c>
      <c r="B115" s="3775"/>
      <c r="C115" s="3114" t="s">
        <v>2741</v>
      </c>
      <c r="D115" s="3088" t="s">
        <v>2742</v>
      </c>
      <c r="E115" s="3114">
        <v>0.1</v>
      </c>
      <c r="F115" s="3114">
        <v>15</v>
      </c>
    </row>
    <row r="116" spans="1:6" ht="13.5">
      <c r="A116" s="3114">
        <v>44</v>
      </c>
      <c r="B116" s="3776" t="s">
        <v>2743</v>
      </c>
      <c r="C116" s="3114" t="s">
        <v>2744</v>
      </c>
      <c r="D116" s="3088" t="s">
        <v>2745</v>
      </c>
      <c r="E116" s="3114">
        <v>0.1</v>
      </c>
      <c r="F116" s="3114">
        <v>15</v>
      </c>
    </row>
    <row r="117" spans="1:6" ht="24">
      <c r="A117" s="3114">
        <v>45</v>
      </c>
      <c r="B117" s="3777"/>
      <c r="C117" s="3088" t="s">
        <v>2746</v>
      </c>
      <c r="D117" s="3088" t="s">
        <v>2747</v>
      </c>
      <c r="E117" s="3114">
        <v>0.1</v>
      </c>
      <c r="F117" s="3114">
        <v>15</v>
      </c>
    </row>
    <row r="118" spans="1:6" ht="24">
      <c r="A118" s="3114">
        <v>46</v>
      </c>
      <c r="B118" s="3776" t="s">
        <v>2748</v>
      </c>
      <c r="C118" s="3114" t="s">
        <v>2749</v>
      </c>
      <c r="D118" s="3088" t="s">
        <v>2750</v>
      </c>
      <c r="E118" s="3114">
        <v>0.1</v>
      </c>
      <c r="F118" s="3114">
        <v>15</v>
      </c>
    </row>
    <row r="119" spans="1:6" ht="24">
      <c r="A119" s="3114">
        <v>47</v>
      </c>
      <c r="B119" s="3777"/>
      <c r="C119" s="3114" t="s">
        <v>2751</v>
      </c>
      <c r="D119" s="3088" t="s">
        <v>2752</v>
      </c>
      <c r="E119" s="3114">
        <v>0.1</v>
      </c>
      <c r="F119" s="3114">
        <v>15</v>
      </c>
    </row>
    <row r="120" spans="1:6" ht="13.5">
      <c r="A120" s="3114">
        <v>48</v>
      </c>
      <c r="B120" s="3776" t="s">
        <v>2753</v>
      </c>
      <c r="C120" s="3114" t="s">
        <v>2754</v>
      </c>
      <c r="D120" s="3088" t="s">
        <v>2755</v>
      </c>
      <c r="E120" s="3114">
        <v>0.1</v>
      </c>
      <c r="F120" s="3114">
        <v>15</v>
      </c>
    </row>
    <row r="121" spans="1:6" ht="13.5">
      <c r="A121" s="3114">
        <v>49</v>
      </c>
      <c r="B121" s="3777"/>
      <c r="C121" s="3114" t="s">
        <v>2756</v>
      </c>
      <c r="D121" s="3088" t="s">
        <v>2757</v>
      </c>
      <c r="E121" s="3114">
        <v>0.1</v>
      </c>
      <c r="F121" s="3114">
        <v>15</v>
      </c>
    </row>
    <row r="122" spans="1:6" ht="24">
      <c r="A122" s="3114">
        <v>50</v>
      </c>
      <c r="B122" s="3775" t="s">
        <v>2758</v>
      </c>
      <c r="C122" s="3114" t="s">
        <v>2759</v>
      </c>
      <c r="D122" s="3088" t="s">
        <v>2760</v>
      </c>
      <c r="E122" s="3114">
        <v>0.1</v>
      </c>
      <c r="F122" s="3114">
        <v>15</v>
      </c>
    </row>
    <row r="123" spans="1:6" ht="24">
      <c r="A123" s="3114">
        <v>51</v>
      </c>
      <c r="B123" s="3775"/>
      <c r="C123" s="3114" t="s">
        <v>2761</v>
      </c>
      <c r="D123" s="3088" t="s">
        <v>2762</v>
      </c>
      <c r="E123" s="3114">
        <v>0.1</v>
      </c>
      <c r="F123" s="3114">
        <v>15</v>
      </c>
    </row>
    <row r="124" spans="1:6" ht="24">
      <c r="A124" s="3114">
        <v>52</v>
      </c>
      <c r="B124" s="3775" t="s">
        <v>2763</v>
      </c>
      <c r="C124" s="3114" t="s">
        <v>2764</v>
      </c>
      <c r="D124" s="3088" t="s">
        <v>2765</v>
      </c>
      <c r="E124" s="3114">
        <v>0.1</v>
      </c>
      <c r="F124" s="3114">
        <v>15</v>
      </c>
    </row>
    <row r="125" spans="1:6" ht="24">
      <c r="A125" s="3114">
        <v>53</v>
      </c>
      <c r="B125" s="3775"/>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775" t="s">
        <v>2771</v>
      </c>
      <c r="C127" s="3114" t="s">
        <v>2772</v>
      </c>
      <c r="D127" s="3088" t="s">
        <v>2773</v>
      </c>
      <c r="E127" s="3114">
        <v>0.1</v>
      </c>
      <c r="F127" s="3114">
        <v>15</v>
      </c>
    </row>
    <row r="128" spans="1:6" ht="13.5">
      <c r="A128" s="3114">
        <v>56</v>
      </c>
      <c r="B128" s="3775"/>
      <c r="C128" s="3114" t="s">
        <v>2774</v>
      </c>
      <c r="D128" s="3088" t="s">
        <v>2775</v>
      </c>
      <c r="E128" s="3114">
        <v>0.1</v>
      </c>
      <c r="F128" s="3114">
        <v>15</v>
      </c>
    </row>
    <row r="129" spans="1:6" ht="24">
      <c r="A129" s="3114">
        <v>57</v>
      </c>
      <c r="B129" s="3775"/>
      <c r="C129" s="3114" t="s">
        <v>2776</v>
      </c>
      <c r="D129" s="3088" t="s">
        <v>2777</v>
      </c>
      <c r="E129" s="3114">
        <v>0.1</v>
      </c>
      <c r="F129" s="3114">
        <v>15</v>
      </c>
    </row>
    <row r="130" spans="1:6" ht="24">
      <c r="A130" s="3114">
        <v>58</v>
      </c>
      <c r="B130" s="3775" t="s">
        <v>2778</v>
      </c>
      <c r="C130" s="3114" t="s">
        <v>2779</v>
      </c>
      <c r="D130" s="3088" t="s">
        <v>2780</v>
      </c>
      <c r="E130" s="3114">
        <v>0.1</v>
      </c>
      <c r="F130" s="3114">
        <v>15</v>
      </c>
    </row>
    <row r="131" spans="1:6" ht="13.5">
      <c r="A131" s="3114">
        <v>59</v>
      </c>
      <c r="B131" s="3775"/>
      <c r="C131" s="3114" t="s">
        <v>2781</v>
      </c>
      <c r="D131" s="3088" t="s">
        <v>2782</v>
      </c>
      <c r="E131" s="3114">
        <v>0.1</v>
      </c>
      <c r="F131" s="3114">
        <v>15</v>
      </c>
    </row>
    <row r="132" spans="1:6" ht="13.5">
      <c r="A132" s="3114">
        <v>60</v>
      </c>
      <c r="B132" s="3776" t="s">
        <v>2783</v>
      </c>
      <c r="C132" s="3114" t="s">
        <v>2784</v>
      </c>
      <c r="D132" s="3088" t="s">
        <v>2785</v>
      </c>
      <c r="E132" s="3114">
        <v>0.1</v>
      </c>
      <c r="F132" s="3114">
        <v>15</v>
      </c>
    </row>
    <row r="133" spans="1:6" ht="13.5">
      <c r="A133" s="3114">
        <v>61</v>
      </c>
      <c r="B133" s="3777"/>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775" t="s">
        <v>2791</v>
      </c>
      <c r="C135" s="3114" t="s">
        <v>2792</v>
      </c>
      <c r="D135" s="3088" t="s">
        <v>2793</v>
      </c>
      <c r="E135" s="3114">
        <v>0.1</v>
      </c>
      <c r="F135" s="3114">
        <v>15</v>
      </c>
    </row>
    <row r="136" spans="1:6" ht="13.5">
      <c r="A136" s="3114">
        <v>64</v>
      </c>
      <c r="B136" s="3775"/>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2800</v>
      </c>
      <c r="B1" s="3123"/>
      <c r="C1" s="3123"/>
      <c r="D1" s="3123"/>
      <c r="E1" s="3123"/>
      <c r="F1" s="3123"/>
      <c r="G1" s="3123"/>
      <c r="H1" s="3123"/>
      <c r="I1" s="3123"/>
      <c r="J1" s="3123"/>
      <c r="K1" s="3123"/>
      <c r="L1" s="3123"/>
      <c r="M1" s="3123"/>
      <c r="N1" s="749"/>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50">
        <f>SUMPRODUCT((A95:A184=ROUNDDOWN(基准地价修正!G3,1))*(B94:M94=基准地价修正!G2)*(B95:M184))</f>
        <v>1.0397000000000001</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50">
        <f>SUMPRODUCT((A371:A460=ROUNDDOWN(基准地价修正!G3,1))*(B370:M370=基准地价修正!G2)*(B371:M460))</f>
        <v>0.98899999999999999</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1"/>
      <c r="B4" s="3472" t="s">
        <v>917</v>
      </c>
      <c r="C4" s="3472"/>
      <c r="D4" s="3472"/>
      <c r="E4" s="1491"/>
    </row>
    <row r="5" spans="1:5" ht="16.5" thickTop="1">
      <c r="A5" s="1489"/>
      <c r="B5" s="3470" t="s">
        <v>909</v>
      </c>
      <c r="C5" s="1492" t="s">
        <v>910</v>
      </c>
      <c r="D5" s="850">
        <f ca="1">结果表!H101</f>
        <v>110970</v>
      </c>
      <c r="E5" s="1489"/>
    </row>
    <row r="6" spans="1:5" ht="15.75">
      <c r="A6" s="1489"/>
      <c r="B6" s="3470"/>
      <c r="C6" s="1492" t="s">
        <v>911</v>
      </c>
      <c r="D6" s="850" t="str">
        <f ca="1">NUMBERSTRING(INT(D5*10000),2)&amp;"元整"</f>
        <v>壹拾壹亿零玖佰柒拾万元整</v>
      </c>
      <c r="E6" s="1489"/>
    </row>
    <row r="7" spans="1:5" ht="15.75">
      <c r="A7" s="1489"/>
      <c r="B7" s="3475"/>
      <c r="C7" s="1493" t="s">
        <v>912</v>
      </c>
      <c r="D7" s="851">
        <f ca="1">结果表!H102</f>
        <v>18673</v>
      </c>
      <c r="E7" s="1489"/>
    </row>
    <row r="8" spans="1:5" ht="15.75">
      <c r="A8" s="1489"/>
      <c r="B8" s="3476" t="str">
        <f>结果表!E103</f>
        <v>2.估价师知悉的法定优先受偿款</v>
      </c>
      <c r="C8" s="1494" t="s">
        <v>913</v>
      </c>
      <c r="D8" s="851">
        <f>结果表!H103</f>
        <v>0</v>
      </c>
      <c r="E8" s="1489"/>
    </row>
    <row r="9" spans="1:5" ht="15.75">
      <c r="A9" s="1489"/>
      <c r="B9" s="3478"/>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69" t="str">
        <f>结果表!E107</f>
        <v>3.房地产抵押价值</v>
      </c>
      <c r="C13" s="1497" t="s">
        <v>910</v>
      </c>
      <c r="D13" s="853">
        <f ca="1">结果表!H107</f>
        <v>110970</v>
      </c>
      <c r="E13" s="1489"/>
    </row>
    <row r="14" spans="1:5" ht="15.75">
      <c r="A14" s="1489"/>
      <c r="B14" s="3470"/>
      <c r="C14" s="1492" t="s">
        <v>911</v>
      </c>
      <c r="D14" s="850" t="str">
        <f ca="1">NUMBERSTRING(INT(D13*10000),2)&amp;"元整"</f>
        <v>壹拾壹亿零玖佰柒拾万元整</v>
      </c>
      <c r="E14" s="1489"/>
    </row>
    <row r="15" spans="1:5" ht="15">
      <c r="A15" s="1489"/>
      <c r="B15" s="3475"/>
      <c r="C15" s="1493" t="s">
        <v>921</v>
      </c>
      <c r="D15" s="859">
        <f ca="1">结果表!H108</f>
        <v>18673</v>
      </c>
      <c r="E15" s="1489"/>
    </row>
    <row r="16" spans="1:5" ht="15">
      <c r="A16" s="1489"/>
      <c r="B16" s="3476" t="str">
        <f>结果表!E109</f>
        <v>——</v>
      </c>
      <c r="C16" s="1497" t="s">
        <v>922</v>
      </c>
      <c r="D16" s="1498" t="str">
        <f>结果表!H109</f>
        <v>——</v>
      </c>
      <c r="E16" s="1489"/>
    </row>
    <row r="17" spans="1:5" ht="15.75">
      <c r="A17" s="1489"/>
      <c r="B17" s="3477"/>
      <c r="C17" s="1492" t="s">
        <v>923</v>
      </c>
      <c r="D17" s="850" t="e">
        <f>NUMBERSTRING(INT(D16*10000),2)&amp;"元整"</f>
        <v>#VALUE!</v>
      </c>
      <c r="E17" s="1489"/>
    </row>
    <row r="18" spans="1:5" ht="15">
      <c r="A18" s="1489"/>
      <c r="B18" s="3478"/>
      <c r="C18" s="1493" t="s">
        <v>912</v>
      </c>
      <c r="D18" s="859" t="str">
        <f>结果表!H110</f>
        <v>——</v>
      </c>
      <c r="E18" s="1489"/>
    </row>
    <row r="19" spans="1:5" ht="15.75">
      <c r="A19" s="1489"/>
      <c r="B19" s="3469" t="str">
        <f>结果表!E111</f>
        <v>——</v>
      </c>
      <c r="C19" s="1497" t="s">
        <v>910</v>
      </c>
      <c r="D19" s="851" t="str">
        <f>结果表!H111</f>
        <v>——</v>
      </c>
      <c r="E19" s="1489"/>
    </row>
    <row r="20" spans="1:5" ht="15.75">
      <c r="A20" s="1489"/>
      <c r="B20" s="3470"/>
      <c r="C20" s="1492" t="s">
        <v>923</v>
      </c>
      <c r="D20" s="850" t="e">
        <f>NUMBERSTRING(INT(D19*10000),2)&amp;"元整"</f>
        <v>#VALUE!</v>
      </c>
      <c r="E20" s="1489"/>
    </row>
    <row r="21" spans="1:5" ht="15.75" thickBot="1">
      <c r="A21" s="1489"/>
      <c r="B21" s="3471"/>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111226</v>
      </c>
      <c r="C2" s="2" t="s">
        <v>106</v>
      </c>
      <c r="D2" s="199"/>
      <c r="E2" s="199"/>
      <c r="F2" s="199"/>
      <c r="G2" s="199"/>
    </row>
    <row r="3" spans="1:7" s="200" customFormat="1" ht="18" customHeight="1" thickBot="1">
      <c r="A3" s="203" t="s">
        <v>58</v>
      </c>
      <c r="B3" s="204">
        <f ca="1">ROUND(B2*10000/'数据-汇总表'!E3,0)</f>
        <v>18716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1010</v>
      </c>
      <c r="D10" s="845">
        <f>'数据-汇总表'!E6</f>
        <v>59427.91</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1189</v>
      </c>
      <c r="D19" s="849">
        <f>'数据-汇总表'!E3</f>
        <v>59427.91</v>
      </c>
      <c r="E19" s="211">
        <f>'数据-取费表'!B31</f>
        <v>200</v>
      </c>
      <c r="F19" s="231"/>
      <c r="G19" s="1" t="s">
        <v>436</v>
      </c>
    </row>
    <row r="20" spans="1:7" s="214" customFormat="1" ht="13.5" customHeight="1">
      <c r="A20" s="777" t="s">
        <v>419</v>
      </c>
      <c r="B20" s="210" t="s">
        <v>77</v>
      </c>
      <c r="C20" s="232">
        <f>ROUND((C5+C19)*F20,0)</f>
        <v>654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2099</v>
      </c>
      <c r="D22" s="235">
        <f ca="1">C26</f>
        <v>1.4E-3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1956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113</v>
      </c>
      <c r="D24" s="238"/>
      <c r="E24" s="238"/>
      <c r="F24" s="239"/>
      <c r="G24" s="240" t="s">
        <v>82</v>
      </c>
    </row>
    <row r="25" spans="1:7" s="214" customFormat="1" ht="24">
      <c r="A25" s="780" t="s">
        <v>348</v>
      </c>
      <c r="B25" s="215" t="s">
        <v>420</v>
      </c>
      <c r="C25" s="1105">
        <f ca="1">ROUND(IF('数据-取费表'!B22&lt;=1,C20*F22*'数据-取费表'!B23/2,C20*(POWER((1+F22),'数据-取费表'!B23/2)-1)),0)</f>
        <v>30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4446</v>
      </c>
      <c r="D27" s="235">
        <f>C29</f>
        <v>5.8999999999999999E-3</v>
      </c>
      <c r="E27" s="236" t="s">
        <v>99</v>
      </c>
      <c r="F27" s="246">
        <f>'数据-取费表'!Q16</f>
        <v>0.2</v>
      </c>
      <c r="G27" s="247" t="s">
        <v>431</v>
      </c>
    </row>
    <row r="28" spans="1:7" s="214" customFormat="1" ht="13.5" customHeight="1">
      <c r="A28" s="780" t="s">
        <v>349</v>
      </c>
      <c r="B28" s="248" t="s">
        <v>424</v>
      </c>
      <c r="C28" s="249">
        <f>ROUND((C5+C19+C20)*F27*'数据-取费表'!B21/'数据-取费表'!B20,0)</f>
        <v>4446</v>
      </c>
      <c r="D28" s="235"/>
      <c r="E28" s="236"/>
      <c r="F28" s="246"/>
      <c r="G28" s="247"/>
    </row>
    <row r="29" spans="1:7" s="214" customFormat="1" ht="13.5" customHeight="1">
      <c r="A29" s="780" t="s">
        <v>347</v>
      </c>
      <c r="B29" s="248" t="s">
        <v>425</v>
      </c>
      <c r="C29" s="238">
        <f>ROUND(C21*F27*'数据-取费表'!B21/'数据-取费表'!B20,4)</f>
        <v>5.8999999999999999E-3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31855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56276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48760</v>
      </c>
      <c r="D34" s="217"/>
      <c r="E34" s="220"/>
      <c r="F34" s="257">
        <f>IF('数据-取费表'!B24=0,1,'数据-取费表'!N16)</f>
        <v>0.99</v>
      </c>
      <c r="G34" s="219" t="s">
        <v>89</v>
      </c>
    </row>
    <row r="35" spans="1:7" ht="13.5" customHeight="1">
      <c r="A35" s="780" t="s">
        <v>351</v>
      </c>
      <c r="B35" s="215" t="s">
        <v>33</v>
      </c>
      <c r="C35" s="220">
        <f>ROUND(C34*F35,0)</f>
        <v>4876</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1177</v>
      </c>
      <c r="D37" s="217">
        <f>'数据-汇总表'!E3</f>
        <v>59427.91</v>
      </c>
      <c r="E37" s="249">
        <f>'数据-取费表'!B35</f>
        <v>200</v>
      </c>
      <c r="F37" s="259"/>
      <c r="G37" s="261" t="s">
        <v>92</v>
      </c>
    </row>
    <row r="38" spans="1:7" ht="13.5" customHeight="1">
      <c r="A38" s="780" t="s">
        <v>354</v>
      </c>
      <c r="B38" s="215" t="s">
        <v>36</v>
      </c>
      <c r="C38" s="220">
        <f>ROUND(C34*F38,0)</f>
        <v>1463</v>
      </c>
      <c r="D38" s="220"/>
      <c r="E38" s="220"/>
      <c r="F38" s="259">
        <f>'数据-取费表'!B36</f>
        <v>0.03</v>
      </c>
      <c r="G38" s="219" t="s">
        <v>90</v>
      </c>
    </row>
    <row r="39" spans="1:7" s="214" customFormat="1" ht="13.5" customHeight="1">
      <c r="A39" s="777" t="s">
        <v>338</v>
      </c>
      <c r="B39" s="210" t="s">
        <v>77</v>
      </c>
      <c r="C39" s="232">
        <f>ROUND(C33*F20,0)</f>
        <v>1688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2688</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2610</v>
      </c>
      <c r="D42" s="238"/>
      <c r="E42" s="238"/>
      <c r="F42" s="239"/>
      <c r="G42" s="3651" t="s">
        <v>94</v>
      </c>
    </row>
    <row r="43" spans="1:7" ht="13.5" customHeight="1">
      <c r="A43" s="780" t="s">
        <v>347</v>
      </c>
      <c r="B43" s="215" t="s">
        <v>426</v>
      </c>
      <c r="C43" s="238">
        <f ca="1">ROUND(IF('数据-取费表'!B22&lt;=1,C39*F22*'数据-取费表'!B21/2,C39*(POWER((1+F22),'数据-取费表'!B21/2)-1)),0)</f>
        <v>78</v>
      </c>
      <c r="D43" s="238"/>
      <c r="E43" s="238"/>
      <c r="F43" s="239"/>
      <c r="G43" s="3652"/>
    </row>
    <row r="44" spans="1:7" ht="13.5" customHeight="1">
      <c r="A44" s="780" t="s">
        <v>348</v>
      </c>
      <c r="B44" s="215" t="s">
        <v>428</v>
      </c>
      <c r="C44" s="238">
        <f ca="1">ROUND(IF('数据-取费表'!B22&lt;=1,C40*F22*'数据-取费表'!B21/2,C40*(POWER((1+F22),'数据-取费表'!B21/2)-1)),4)</f>
        <v>1.4E-3</v>
      </c>
      <c r="D44" s="238"/>
      <c r="E44" s="238"/>
      <c r="F44" s="239"/>
      <c r="G44" s="3653"/>
    </row>
    <row r="45" spans="1:7" s="214" customFormat="1" ht="13.5" customHeight="1">
      <c r="A45" s="777" t="s">
        <v>341</v>
      </c>
      <c r="B45" s="244" t="s">
        <v>85</v>
      </c>
      <c r="C45" s="245">
        <f>C46</f>
        <v>11593</v>
      </c>
      <c r="D45" s="235">
        <f>C47</f>
        <v>6.0000000000000001E-3</v>
      </c>
      <c r="E45" s="236" t="s">
        <v>102</v>
      </c>
      <c r="F45" s="246"/>
      <c r="G45" s="247" t="s">
        <v>434</v>
      </c>
    </row>
    <row r="46" spans="1:7" s="214" customFormat="1" ht="13.5" customHeight="1">
      <c r="A46" s="780" t="s">
        <v>349</v>
      </c>
      <c r="B46" s="248" t="s">
        <v>427</v>
      </c>
      <c r="C46" s="249">
        <f>ROUND((C33+C39)*F27,0)</f>
        <v>11593</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79371</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79371</v>
      </c>
      <c r="D51" s="232"/>
      <c r="E51" s="232"/>
      <c r="F51" s="264"/>
      <c r="G51" s="234" t="s">
        <v>37</v>
      </c>
    </row>
    <row r="52" spans="1:7" s="208" customFormat="1" ht="16.5" thickBot="1">
      <c r="A52" s="265" t="s">
        <v>38</v>
      </c>
      <c r="B52" s="266"/>
      <c r="C52" s="267">
        <f ca="1">C31+C51</f>
        <v>111226</v>
      </c>
      <c r="D52" s="266"/>
      <c r="E52" s="266"/>
      <c r="F52" s="266"/>
      <c r="G52" s="268"/>
    </row>
    <row r="55" spans="1:7" ht="15">
      <c r="B55" s="270" t="s">
        <v>39</v>
      </c>
      <c r="C55" s="271"/>
    </row>
    <row r="56" spans="1:7">
      <c r="B56" s="273" t="s">
        <v>40</v>
      </c>
      <c r="C56" s="274">
        <f ca="1">ROUND(C51/C52,3)</f>
        <v>0.71399999999999997</v>
      </c>
    </row>
    <row r="57" spans="1:7">
      <c r="B57" s="273" t="s">
        <v>41</v>
      </c>
      <c r="C57" s="275">
        <f ca="1">1-C56</f>
        <v>0.28600000000000003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9" t="s">
        <v>2841</v>
      </c>
      <c r="B1" s="3789"/>
      <c r="C1" s="3789"/>
      <c r="D1" s="3789"/>
      <c r="E1" s="3789"/>
      <c r="F1" s="3789"/>
      <c r="G1" s="3790"/>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787" t="s">
        <v>2868</v>
      </c>
      <c r="B3" s="3226"/>
      <c r="C3" s="3227" t="s">
        <v>2813</v>
      </c>
      <c r="D3" s="3227" t="s">
        <v>2869</v>
      </c>
      <c r="E3" s="3227" t="s">
        <v>2815</v>
      </c>
      <c r="F3" s="3227" t="s">
        <v>2870</v>
      </c>
      <c r="G3" s="3227" t="s">
        <v>2633</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788"/>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1" t="s">
        <v>3183</v>
      </c>
      <c r="B1" s="3791"/>
    </row>
    <row r="2" spans="1:7" ht="14.25" thickBot="1">
      <c r="A2" s="3251"/>
      <c r="B2" s="3251"/>
    </row>
    <row r="3" spans="1:7" ht="14.25" thickBot="1">
      <c r="A3" s="3251"/>
      <c r="B3" s="3251"/>
      <c r="C3" s="3252" t="s">
        <v>2813</v>
      </c>
      <c r="D3" s="3252" t="s">
        <v>2869</v>
      </c>
      <c r="E3" s="3252" t="s">
        <v>2815</v>
      </c>
      <c r="F3" s="3252" t="s">
        <v>2870</v>
      </c>
      <c r="G3" s="3252" t="s">
        <v>2633</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2" t="s">
        <v>3234</v>
      </c>
      <c r="B1" s="3792"/>
      <c r="C1" s="3792"/>
      <c r="D1" s="3792"/>
      <c r="E1" s="3792"/>
      <c r="F1" s="3793"/>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45631</v>
      </c>
      <c r="B1" s="3206" t="s">
        <v>3383</v>
      </c>
      <c r="C1" s="3207"/>
      <c r="D1" s="3207"/>
      <c r="E1" s="3207"/>
      <c r="F1" s="3207"/>
      <c r="G1" s="3207"/>
      <c r="H1" s="3207"/>
      <c r="I1" s="3207"/>
      <c r="J1" s="3161"/>
      <c r="K1" s="3207" t="s">
        <v>454</v>
      </c>
      <c r="L1" s="3207"/>
      <c r="M1" s="3207"/>
      <c r="N1" s="3207"/>
      <c r="O1" s="3207"/>
      <c r="P1" s="3207"/>
      <c r="Q1" s="3161"/>
      <c r="R1" s="3794" t="s">
        <v>456</v>
      </c>
      <c r="S1" s="3795"/>
      <c r="T1" s="3795"/>
      <c r="U1" s="3795"/>
      <c r="V1" s="3795"/>
      <c r="W1" s="3795"/>
      <c r="X1" s="3161"/>
      <c r="Y1" s="3794" t="s">
        <v>457</v>
      </c>
      <c r="Z1" s="3795"/>
      <c r="AA1" s="3795"/>
      <c r="AB1" s="3795"/>
      <c r="AC1" s="3795"/>
      <c r="AD1" s="3795"/>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3" t="s">
        <v>3379</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3388</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3" t="s">
        <v>3387</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3380</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3376</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3372</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3371</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3369</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3368</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3367</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3365</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3356</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2822</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2823</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2824</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2825</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2826</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3386</v>
      </c>
    </row>
    <row r="24" spans="1:30" s="3005" customFormat="1">
      <c r="I24" s="3204" t="s">
        <v>2827</v>
      </c>
    </row>
    <row r="25" spans="1:30" s="3005" customFormat="1"/>
    <row r="26" spans="1:30" s="3205" customFormat="1" ht="12.75">
      <c r="B26" s="3206" t="s">
        <v>3384</v>
      </c>
      <c r="C26" s="3207"/>
      <c r="D26" s="3207"/>
      <c r="E26" s="3207"/>
      <c r="F26" s="3207"/>
      <c r="G26" s="3207"/>
      <c r="H26" s="3207"/>
      <c r="I26" s="3207"/>
      <c r="J26" s="3161"/>
      <c r="K26" s="3207" t="s">
        <v>2828</v>
      </c>
      <c r="L26" s="3207"/>
      <c r="M26" s="3207"/>
      <c r="N26" s="3207"/>
      <c r="O26" s="3207"/>
      <c r="P26" s="3207"/>
      <c r="Q26" s="3161"/>
      <c r="R26" s="3794" t="s">
        <v>2829</v>
      </c>
      <c r="S26" s="3795"/>
      <c r="T26" s="3795"/>
      <c r="U26" s="3795"/>
      <c r="V26" s="3795"/>
      <c r="W26" s="3795"/>
      <c r="X26" s="3161"/>
      <c r="Y26" s="3794" t="s">
        <v>2830</v>
      </c>
      <c r="Z26" s="3795"/>
      <c r="AA26" s="3795"/>
      <c r="AB26" s="3795"/>
      <c r="AC26" s="3795"/>
      <c r="AD26" s="3795"/>
    </row>
    <row r="27" spans="1:30" s="3139" customFormat="1" ht="14.25" thickBot="1">
      <c r="B27" s="3140"/>
      <c r="C27" s="3141"/>
      <c r="D27" s="3142" t="s">
        <v>2831</v>
      </c>
      <c r="E27" s="3143" t="s">
        <v>2832</v>
      </c>
      <c r="F27" s="3143" t="s">
        <v>2833</v>
      </c>
      <c r="G27" s="3143" t="s">
        <v>2834</v>
      </c>
      <c r="H27" s="3143"/>
      <c r="I27" s="3143" t="s">
        <v>2835</v>
      </c>
      <c r="J27" s="3144"/>
      <c r="K27" s="3142" t="s">
        <v>2831</v>
      </c>
      <c r="L27" s="3143" t="s">
        <v>2832</v>
      </c>
      <c r="M27" s="3143" t="s">
        <v>2833</v>
      </c>
      <c r="N27" s="3143" t="s">
        <v>2834</v>
      </c>
      <c r="O27" s="3143"/>
      <c r="P27" s="3143" t="s">
        <v>2835</v>
      </c>
      <c r="Q27" s="3144"/>
      <c r="R27" s="3142" t="s">
        <v>2831</v>
      </c>
      <c r="S27" s="3143" t="s">
        <v>2832</v>
      </c>
      <c r="T27" s="3143" t="s">
        <v>2833</v>
      </c>
      <c r="U27" s="3143" t="s">
        <v>2834</v>
      </c>
      <c r="V27" s="3143"/>
      <c r="W27" s="3143" t="s">
        <v>2835</v>
      </c>
      <c r="X27" s="3144"/>
      <c r="Y27" s="3142" t="s">
        <v>2831</v>
      </c>
      <c r="Z27" s="3143" t="s">
        <v>2832</v>
      </c>
      <c r="AA27" s="3143" t="s">
        <v>2833</v>
      </c>
      <c r="AB27" s="3143" t="s">
        <v>2834</v>
      </c>
      <c r="AC27" s="3143"/>
      <c r="AD27" s="3143" t="s">
        <v>2835</v>
      </c>
    </row>
    <row r="28" spans="1:30" s="3157" customFormat="1" ht="12.75">
      <c r="A28" s="3145" t="s">
        <v>2836</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3" t="s">
        <v>3379</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3381</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3" t="s">
        <v>3374</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3382</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3375</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3373</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3371</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3370</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3368</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3367</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3366</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3356</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2837</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2838</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2839</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2840</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2826</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45631</v>
      </c>
      <c r="D1" s="1300" t="s">
        <v>603</v>
      </c>
      <c r="E1" s="1295">
        <f>'数据-取费表'!B22</f>
        <v>3</v>
      </c>
      <c r="F1" s="1300" t="s">
        <v>604</v>
      </c>
      <c r="G1" s="1296">
        <f ca="1">INDIRECT("d"&amp;$K$1)/100</f>
        <v>3.1E-2</v>
      </c>
      <c r="H1" s="1300" t="s">
        <v>634</v>
      </c>
      <c r="I1" s="1296">
        <f ca="1">F4/100</f>
        <v>1.4999999999999999E-2</v>
      </c>
      <c r="J1" s="1301">
        <f>IF(C1&gt;C13,0,MATCH(C1,C$13:C$114,-1))+IF(SUMIF(C13:C114,C1,D13:D114)=0,13,12)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3.1</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3.1</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3.1</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3.1</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45586</v>
      </c>
      <c r="D13" s="2818">
        <v>3.1</v>
      </c>
      <c r="E13" s="2818">
        <f>D13</f>
        <v>3.1</v>
      </c>
      <c r="F13" s="2818">
        <f>D13</f>
        <v>3.1</v>
      </c>
      <c r="G13" s="2818">
        <f>D13</f>
        <v>3.1</v>
      </c>
      <c r="H13" s="2818">
        <v>3.6</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45495</v>
      </c>
      <c r="D14" s="2813">
        <v>3.35</v>
      </c>
      <c r="E14" s="2813">
        <f>D14</f>
        <v>3.35</v>
      </c>
      <c r="F14" s="2813">
        <f>D14</f>
        <v>3.35</v>
      </c>
      <c r="G14" s="2813">
        <f>D14</f>
        <v>3.35</v>
      </c>
      <c r="H14" s="2813">
        <v>3.85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45342</v>
      </c>
      <c r="D15" s="2813">
        <v>3.45</v>
      </c>
      <c r="E15" s="2813">
        <f>D15</f>
        <v>3.45</v>
      </c>
      <c r="F15" s="2813">
        <f>D15</f>
        <v>3.45</v>
      </c>
      <c r="G15" s="2813">
        <f>D15</f>
        <v>3.45</v>
      </c>
      <c r="H15" s="2813">
        <v>3.95</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45159</v>
      </c>
      <c r="D16" s="2813">
        <v>3.45</v>
      </c>
      <c r="E16" s="2813">
        <f>D16</f>
        <v>3.45</v>
      </c>
      <c r="F16" s="2813">
        <f>D16</f>
        <v>3.45</v>
      </c>
      <c r="G16" s="2813">
        <f>D16</f>
        <v>3.45</v>
      </c>
      <c r="H16" s="2813">
        <v>4.2</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45097</v>
      </c>
      <c r="D17" s="2813">
        <v>3.55</v>
      </c>
      <c r="E17" s="2813">
        <f>D17</f>
        <v>3.55</v>
      </c>
      <c r="F17" s="2813">
        <f>D17</f>
        <v>3.55</v>
      </c>
      <c r="G17" s="2813">
        <f>D17</f>
        <v>3.55</v>
      </c>
      <c r="H17" s="2813">
        <v>4.2</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2"/>
      <c r="C19" s="2814">
        <v>44701</v>
      </c>
      <c r="D19" s="2813">
        <v>3.7</v>
      </c>
      <c r="E19" s="2813">
        <f>D19</f>
        <v>3.7</v>
      </c>
      <c r="F19" s="2813">
        <f>D19</f>
        <v>3.7</v>
      </c>
      <c r="G19" s="2813">
        <f>D19</f>
        <v>3.7</v>
      </c>
      <c r="H19" s="2813">
        <v>4.45</v>
      </c>
      <c r="I19" s="2818"/>
      <c r="J19" s="2818"/>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4">
        <v>44581</v>
      </c>
      <c r="D20" s="2813">
        <v>3.7</v>
      </c>
      <c r="E20" s="2813">
        <f>D20</f>
        <v>3.7</v>
      </c>
      <c r="F20" s="2813">
        <f>D20</f>
        <v>3.7</v>
      </c>
      <c r="G20" s="2813">
        <f>D20</f>
        <v>3.7</v>
      </c>
      <c r="H20" s="2813">
        <v>4.5999999999999996</v>
      </c>
      <c r="I20" s="2818"/>
      <c r="J20" s="2818"/>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44550</v>
      </c>
      <c r="D21" s="2813">
        <v>3.8</v>
      </c>
      <c r="E21" s="2813">
        <f>D21</f>
        <v>3.8</v>
      </c>
      <c r="F21" s="2813">
        <f>D21</f>
        <v>3.8</v>
      </c>
      <c r="G21" s="2813">
        <f>D21</f>
        <v>3.8</v>
      </c>
      <c r="H21" s="2813">
        <v>4.6500000000000004</v>
      </c>
      <c r="I21" s="2813"/>
      <c r="J21" s="2818"/>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43941</v>
      </c>
      <c r="D22" s="2813">
        <v>3.85</v>
      </c>
      <c r="E22" s="2813">
        <v>3.85</v>
      </c>
      <c r="F22" s="2813">
        <v>3.85</v>
      </c>
      <c r="G22" s="2813">
        <v>3.85</v>
      </c>
      <c r="H22" s="2813">
        <v>4.6500000000000004</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3"/>
      <c r="C23" s="2814">
        <v>43881</v>
      </c>
      <c r="D23" s="2813">
        <v>4.05</v>
      </c>
      <c r="E23" s="2813">
        <v>4.05</v>
      </c>
      <c r="F23" s="2813">
        <v>4.05</v>
      </c>
      <c r="G23" s="2813">
        <v>4.05</v>
      </c>
      <c r="H23" s="2813">
        <v>4.75</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3"/>
      <c r="C24" s="2814">
        <v>43789</v>
      </c>
      <c r="D24" s="2813">
        <v>4.1500000000000004</v>
      </c>
      <c r="E24" s="2813">
        <v>4.1500000000000004</v>
      </c>
      <c r="F24" s="2813">
        <v>4.1500000000000004</v>
      </c>
      <c r="G24" s="2813">
        <v>4.1500000000000004</v>
      </c>
      <c r="H24" s="2813">
        <v>4.8</v>
      </c>
      <c r="I24" s="2813"/>
      <c r="J24" s="281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3"/>
      <c r="C25" s="2814">
        <v>43728</v>
      </c>
      <c r="D25" s="2813">
        <v>4.2</v>
      </c>
      <c r="E25" s="2813">
        <v>4.2</v>
      </c>
      <c r="F25" s="2813">
        <v>4.2</v>
      </c>
      <c r="G25" s="2813">
        <v>4.2</v>
      </c>
      <c r="H25" s="2813">
        <v>4.8499999999999996</v>
      </c>
      <c r="I25" s="2813"/>
      <c r="J25" s="2813"/>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12" t="s">
        <v>2311</v>
      </c>
      <c r="C26" s="2815">
        <v>43697</v>
      </c>
      <c r="D26" s="2816">
        <v>4.25</v>
      </c>
      <c r="E26" s="2816">
        <v>4.25</v>
      </c>
      <c r="F26" s="2816">
        <v>4.25</v>
      </c>
      <c r="G26" s="2816">
        <v>4.25</v>
      </c>
      <c r="H26" s="2816">
        <v>4.8499999999999996</v>
      </c>
      <c r="I26" s="2816"/>
      <c r="J26" s="2816"/>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20"/>
      <c r="C27" s="2821">
        <v>42301</v>
      </c>
      <c r="D27" s="2822">
        <v>4.3499999999999996</v>
      </c>
      <c r="E27" s="2822">
        <v>4.3499999999999996</v>
      </c>
      <c r="F27" s="2822">
        <v>4.75</v>
      </c>
      <c r="G27" s="2822">
        <v>4.75</v>
      </c>
      <c r="H27" s="2822">
        <v>4.9000000000000004</v>
      </c>
      <c r="I27" s="2822"/>
      <c r="J27" s="2822"/>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42242</v>
      </c>
      <c r="D28" s="1288">
        <v>4.5999999999999996</v>
      </c>
      <c r="E28" s="1288">
        <v>4.5999999999999996</v>
      </c>
      <c r="F28" s="1288">
        <v>5</v>
      </c>
      <c r="G28" s="1288">
        <v>5</v>
      </c>
      <c r="H28" s="1288">
        <v>5.15</v>
      </c>
      <c r="I28" s="1288">
        <v>2.75</v>
      </c>
      <c r="J28" s="1288">
        <v>3.25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42183</v>
      </c>
      <c r="D29" s="1288">
        <v>4.8499999999999996</v>
      </c>
      <c r="E29" s="1288">
        <v>4.8499999999999996</v>
      </c>
      <c r="F29" s="1288">
        <v>5.25</v>
      </c>
      <c r="G29" s="1288">
        <v>5.25</v>
      </c>
      <c r="H29" s="1288">
        <v>5.4</v>
      </c>
      <c r="I29" s="1288">
        <v>3</v>
      </c>
      <c r="J29" s="1288">
        <v>3.5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42135</v>
      </c>
      <c r="D30" s="1288">
        <v>5.0999999999999996</v>
      </c>
      <c r="E30" s="1288">
        <v>5.0999999999999996</v>
      </c>
      <c r="F30" s="1288">
        <v>5.5</v>
      </c>
      <c r="G30" s="1288">
        <v>5.5</v>
      </c>
      <c r="H30" s="1288">
        <v>5.65</v>
      </c>
      <c r="I30" s="1288">
        <v>3.25</v>
      </c>
      <c r="J30" s="1288">
        <v>3.75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42064</v>
      </c>
      <c r="D31" s="1288">
        <v>5.35</v>
      </c>
      <c r="E31" s="1288">
        <v>5.35</v>
      </c>
      <c r="F31" s="1288">
        <v>5.75</v>
      </c>
      <c r="G31" s="1288">
        <v>5.75</v>
      </c>
      <c r="H31" s="1288">
        <v>5.9</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41965</v>
      </c>
      <c r="D32" s="1288">
        <v>5.6</v>
      </c>
      <c r="E32" s="1288">
        <v>5.6</v>
      </c>
      <c r="F32" s="1288">
        <v>6</v>
      </c>
      <c r="G32" s="1288">
        <v>6</v>
      </c>
      <c r="H32" s="1288">
        <v>6.15</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41096</v>
      </c>
      <c r="D33" s="1288">
        <v>5.6</v>
      </c>
      <c r="E33" s="1288">
        <v>6</v>
      </c>
      <c r="F33" s="1288">
        <v>6.15</v>
      </c>
      <c r="G33" s="1288">
        <v>6.4</v>
      </c>
      <c r="H33" s="1288">
        <v>6.55</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41068</v>
      </c>
      <c r="D34" s="1288">
        <v>5.85</v>
      </c>
      <c r="E34" s="1288">
        <v>6.31</v>
      </c>
      <c r="F34" s="1288">
        <v>6.4</v>
      </c>
      <c r="G34" s="1288">
        <v>6.65</v>
      </c>
      <c r="H34" s="1288">
        <v>6.8</v>
      </c>
      <c r="I34" s="1288">
        <v>4.2</v>
      </c>
      <c r="J34" s="1288">
        <v>4.7</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40731</v>
      </c>
      <c r="D35" s="1288">
        <v>6.1</v>
      </c>
      <c r="E35" s="1288">
        <v>6.56</v>
      </c>
      <c r="F35" s="1288">
        <v>6.65</v>
      </c>
      <c r="G35" s="1288">
        <v>6.9</v>
      </c>
      <c r="H35" s="1288">
        <v>7.05</v>
      </c>
      <c r="I35" s="1288">
        <v>4.45</v>
      </c>
      <c r="J35" s="1288">
        <v>4.9000000000000004</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40639</v>
      </c>
      <c r="D36" s="1288">
        <v>5.85</v>
      </c>
      <c r="E36" s="1288">
        <v>6.31</v>
      </c>
      <c r="F36" s="1288">
        <v>6.4</v>
      </c>
      <c r="G36" s="1288">
        <v>6.65</v>
      </c>
      <c r="H36" s="1288">
        <v>6.8</v>
      </c>
      <c r="I36" s="1288">
        <v>4.2</v>
      </c>
      <c r="J36" s="1288">
        <v>4.7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40583</v>
      </c>
      <c r="D37" s="1288">
        <v>5.6</v>
      </c>
      <c r="E37" s="1288">
        <v>6.06</v>
      </c>
      <c r="F37" s="1288">
        <v>6.1</v>
      </c>
      <c r="G37" s="1288">
        <v>6.45</v>
      </c>
      <c r="H37" s="1288">
        <v>6.6</v>
      </c>
      <c r="I37" s="1288">
        <v>4</v>
      </c>
      <c r="J37" s="1288">
        <v>4.5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40538</v>
      </c>
      <c r="D38" s="1288">
        <v>5.35</v>
      </c>
      <c r="E38" s="1288">
        <v>5.81</v>
      </c>
      <c r="F38" s="1288">
        <v>5.85</v>
      </c>
      <c r="G38" s="1288">
        <v>6.22</v>
      </c>
      <c r="H38" s="1288">
        <v>6.4</v>
      </c>
      <c r="I38" s="1288">
        <v>3.75</v>
      </c>
      <c r="J38" s="1288">
        <v>4.3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40471</v>
      </c>
      <c r="D39" s="1288">
        <v>5.0999999999999996</v>
      </c>
      <c r="E39" s="1288">
        <v>5.56</v>
      </c>
      <c r="F39" s="1288">
        <v>5.6</v>
      </c>
      <c r="G39" s="1288">
        <v>5.96</v>
      </c>
      <c r="H39" s="1288">
        <v>6.14</v>
      </c>
      <c r="I39" s="1288">
        <v>3.5</v>
      </c>
      <c r="J39" s="1288">
        <v>4.05</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39805</v>
      </c>
      <c r="D40" s="1288">
        <v>4.8600000000000003</v>
      </c>
      <c r="E40" s="1288">
        <v>5.31</v>
      </c>
      <c r="F40" s="1288">
        <v>5.4</v>
      </c>
      <c r="G40" s="1288">
        <v>5.76</v>
      </c>
      <c r="H40" s="1288">
        <v>5.94</v>
      </c>
      <c r="I40" s="1288">
        <v>3.33</v>
      </c>
      <c r="J40" s="1288">
        <v>3.87</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39779</v>
      </c>
      <c r="D41" s="1288">
        <v>5.04</v>
      </c>
      <c r="E41" s="1288">
        <v>5.58</v>
      </c>
      <c r="F41" s="1288">
        <v>5.67</v>
      </c>
      <c r="G41" s="1288">
        <v>5.94</v>
      </c>
      <c r="H41" s="1288">
        <v>6.12</v>
      </c>
      <c r="I41" s="1288">
        <v>3.51</v>
      </c>
      <c r="J41" s="1288">
        <v>4.05</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39751</v>
      </c>
      <c r="D42" s="1288">
        <v>6.03</v>
      </c>
      <c r="E42" s="1288">
        <v>6.66</v>
      </c>
      <c r="F42" s="1288">
        <v>6.75</v>
      </c>
      <c r="G42" s="1288">
        <v>7.02</v>
      </c>
      <c r="H42" s="1288">
        <v>7.2</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90">
        <v>39748</v>
      </c>
      <c r="D43" s="1288">
        <v>6.12</v>
      </c>
      <c r="E43" s="1288">
        <v>6.93</v>
      </c>
      <c r="F43" s="1288">
        <v>7.02</v>
      </c>
      <c r="G43" s="1288">
        <v>7.29</v>
      </c>
      <c r="H43" s="1288">
        <v>7.47</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39730</v>
      </c>
      <c r="D44" s="1288">
        <v>6.12</v>
      </c>
      <c r="E44" s="1288">
        <v>6.93</v>
      </c>
      <c r="F44" s="1288">
        <v>7.02</v>
      </c>
      <c r="G44" s="1288">
        <v>7.29</v>
      </c>
      <c r="H44" s="1288">
        <v>7.47</v>
      </c>
      <c r="I44" s="1288">
        <v>4.32</v>
      </c>
      <c r="J44" s="1288">
        <v>4.8600000000000003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39707</v>
      </c>
      <c r="D45" s="1288">
        <v>6.21</v>
      </c>
      <c r="E45" s="1288">
        <v>7.2</v>
      </c>
      <c r="F45" s="1288">
        <v>7.29</v>
      </c>
      <c r="G45" s="1288">
        <v>7.56</v>
      </c>
      <c r="H45" s="1288">
        <v>7.74</v>
      </c>
      <c r="I45" s="1288">
        <v>4.59</v>
      </c>
      <c r="J45" s="1288">
        <v>5.13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39437</v>
      </c>
      <c r="D46" s="1288">
        <v>6.57</v>
      </c>
      <c r="E46" s="1288">
        <v>7.47</v>
      </c>
      <c r="F46" s="1288">
        <v>7.56</v>
      </c>
      <c r="G46" s="1288">
        <v>7.74</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39340</v>
      </c>
      <c r="D47" s="1288">
        <v>6.48</v>
      </c>
      <c r="E47" s="1288">
        <v>7.29</v>
      </c>
      <c r="F47" s="1288">
        <v>7.47</v>
      </c>
      <c r="G47" s="1288">
        <v>7.65</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39316</v>
      </c>
      <c r="D48" s="1288">
        <v>6.21</v>
      </c>
      <c r="E48" s="1288">
        <v>7.02</v>
      </c>
      <c r="F48" s="1288">
        <v>7.2</v>
      </c>
      <c r="G48" s="1288">
        <v>7.38</v>
      </c>
      <c r="H48" s="1288">
        <v>7.56</v>
      </c>
      <c r="I48" s="1288">
        <v>4.59</v>
      </c>
      <c r="J48" s="1288">
        <v>5.04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39284</v>
      </c>
      <c r="D49" s="1288">
        <v>6.03</v>
      </c>
      <c r="E49" s="1288">
        <v>6.84</v>
      </c>
      <c r="F49" s="1288">
        <v>7.02</v>
      </c>
      <c r="G49" s="1288">
        <v>7.2</v>
      </c>
      <c r="H49" s="1288">
        <v>7.38</v>
      </c>
      <c r="I49" s="1288">
        <v>4.5</v>
      </c>
      <c r="J49" s="1288">
        <v>4.95</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39221</v>
      </c>
      <c r="D50" s="1288">
        <v>5.85</v>
      </c>
      <c r="E50" s="1288">
        <v>6.57</v>
      </c>
      <c r="F50" s="1288">
        <v>6.75</v>
      </c>
      <c r="G50" s="1288">
        <v>6.93</v>
      </c>
      <c r="H50" s="1288">
        <v>7.2</v>
      </c>
      <c r="I50" s="1288">
        <v>4.41</v>
      </c>
      <c r="J50" s="1288">
        <v>4.8600000000000003</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39159</v>
      </c>
      <c r="D51" s="1288">
        <v>5.67</v>
      </c>
      <c r="E51" s="1288">
        <v>6.39</v>
      </c>
      <c r="F51" s="1288">
        <v>6.57</v>
      </c>
      <c r="G51" s="1288">
        <v>6.75</v>
      </c>
      <c r="H51" s="1288">
        <v>7.11</v>
      </c>
      <c r="I51" s="1288">
        <v>4.32</v>
      </c>
      <c r="J51" s="1288">
        <v>4.7699999999999996</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38948</v>
      </c>
      <c r="D52" s="1288">
        <v>5.58</v>
      </c>
      <c r="E52" s="1288">
        <v>6.12</v>
      </c>
      <c r="F52" s="1288">
        <v>6.3</v>
      </c>
      <c r="G52" s="1288">
        <v>6.48</v>
      </c>
      <c r="H52" s="1288">
        <v>6.84</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38835</v>
      </c>
      <c r="D53" s="1288">
        <v>5.4</v>
      </c>
      <c r="E53" s="1288">
        <v>5.85</v>
      </c>
      <c r="F53" s="1288">
        <v>6.03</v>
      </c>
      <c r="G53" s="1288">
        <v>6.12</v>
      </c>
      <c r="H53" s="1288">
        <v>6.39</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38428</v>
      </c>
      <c r="D54" s="1288">
        <v>5.22</v>
      </c>
      <c r="E54" s="1288">
        <v>5.58</v>
      </c>
      <c r="F54" s="1288">
        <v>5.76</v>
      </c>
      <c r="G54" s="1288">
        <v>5.85</v>
      </c>
      <c r="H54" s="1288">
        <v>6.12</v>
      </c>
      <c r="I54" s="1288">
        <v>3.96</v>
      </c>
      <c r="J54" s="1288">
        <v>4.41</v>
      </c>
      <c r="L54" s="1288"/>
      <c r="M54" s="1289"/>
      <c r="N54" s="1288"/>
      <c r="O54" s="1288"/>
      <c r="P54" s="1288"/>
      <c r="Q54" s="1288"/>
      <c r="R54" s="1288"/>
      <c r="S54" s="1288"/>
      <c r="T54" s="1288"/>
      <c r="U54" s="1288"/>
      <c r="V54" s="1288"/>
      <c r="W54" s="1288"/>
      <c r="X54" s="1288"/>
      <c r="Y54" s="1288"/>
      <c r="Z54" s="1288"/>
    </row>
    <row r="55" spans="2:26">
      <c r="B55" s="1288"/>
      <c r="C55" s="1289">
        <v>38289</v>
      </c>
      <c r="D55" s="1288">
        <v>5.22</v>
      </c>
      <c r="E55" s="1288">
        <v>5.58</v>
      </c>
      <c r="F55" s="1288">
        <v>5.76</v>
      </c>
      <c r="G55" s="1288">
        <v>5.85</v>
      </c>
      <c r="H55" s="1288">
        <v>6.12</v>
      </c>
      <c r="I55" s="1288">
        <v>3.78</v>
      </c>
      <c r="J55" s="1288">
        <v>4.2300000000000004</v>
      </c>
      <c r="L55" s="1288"/>
      <c r="M55" s="1289"/>
      <c r="N55" s="1288"/>
      <c r="O55" s="1288"/>
      <c r="P55" s="1288"/>
      <c r="Q55" s="1288"/>
      <c r="R55" s="1288"/>
      <c r="S55" s="1288"/>
      <c r="T55" s="1288"/>
      <c r="U55" s="1288"/>
      <c r="V55" s="1288"/>
      <c r="W55" s="1288"/>
      <c r="X55" s="1288"/>
      <c r="Y55" s="1288"/>
      <c r="Z55" s="1288"/>
    </row>
    <row r="56" spans="2:26">
      <c r="B56" s="1288"/>
      <c r="C56" s="1289">
        <v>37308</v>
      </c>
      <c r="D56" s="1288">
        <v>5.04</v>
      </c>
      <c r="E56" s="1288">
        <v>5.31</v>
      </c>
      <c r="F56" s="1288">
        <v>5.49</v>
      </c>
      <c r="G56" s="1288">
        <v>5.58</v>
      </c>
      <c r="H56" s="1288">
        <v>5.76</v>
      </c>
      <c r="I56" s="1288">
        <v>3.6</v>
      </c>
      <c r="J56" s="1288">
        <v>4.05</v>
      </c>
      <c r="L56" s="1288"/>
      <c r="M56" s="1289"/>
      <c r="N56" s="1288"/>
      <c r="O56" s="1288"/>
      <c r="P56" s="1288"/>
      <c r="Q56" s="1288"/>
      <c r="R56" s="1288"/>
      <c r="S56" s="1288"/>
      <c r="T56" s="1288"/>
      <c r="U56" s="1288"/>
      <c r="V56" s="1288"/>
      <c r="W56" s="1288"/>
      <c r="X56" s="1288"/>
      <c r="Y56" s="1288"/>
      <c r="Z56" s="1288"/>
    </row>
    <row r="57" spans="2:26">
      <c r="B57" s="1288"/>
      <c r="C57" s="1289">
        <v>36321</v>
      </c>
      <c r="D57" s="1288">
        <v>5.58</v>
      </c>
      <c r="E57" s="1288">
        <v>5.85</v>
      </c>
      <c r="F57" s="1288">
        <v>5.94</v>
      </c>
      <c r="G57" s="1288">
        <v>6.03</v>
      </c>
      <c r="H57" s="1288">
        <v>6.21</v>
      </c>
      <c r="I57" s="1288">
        <v>4.1399999999999997</v>
      </c>
      <c r="J57" s="1288">
        <v>4.59</v>
      </c>
      <c r="L57" s="1288"/>
      <c r="M57" s="1289"/>
      <c r="N57" s="1288"/>
      <c r="O57" s="1288"/>
      <c r="P57" s="1288"/>
      <c r="Q57" s="1288"/>
      <c r="R57" s="1288"/>
      <c r="S57" s="1288"/>
      <c r="T57" s="1288"/>
      <c r="U57" s="1288"/>
      <c r="V57" s="1288"/>
      <c r="W57" s="1288"/>
      <c r="X57" s="1288"/>
      <c r="Y57" s="1288"/>
      <c r="Z57" s="1288"/>
    </row>
    <row r="58" spans="2:26">
      <c r="B58" s="1288"/>
      <c r="C58" s="1289">
        <v>36136</v>
      </c>
      <c r="D58" s="1288">
        <v>6.12</v>
      </c>
      <c r="E58" s="1288">
        <v>6.39</v>
      </c>
      <c r="F58" s="1288">
        <v>6.66</v>
      </c>
      <c r="G58" s="1288">
        <v>7.2</v>
      </c>
      <c r="H58" s="1288">
        <v>7.56</v>
      </c>
      <c r="I58" s="1288">
        <v>0</v>
      </c>
      <c r="J58" s="1288">
        <v>0</v>
      </c>
    </row>
    <row r="59" spans="2:26">
      <c r="B59" s="1288"/>
      <c r="C59" s="1289">
        <v>35977</v>
      </c>
      <c r="D59" s="1288">
        <v>6.57</v>
      </c>
      <c r="E59" s="1288">
        <v>6.93</v>
      </c>
      <c r="F59" s="1288">
        <v>7.11</v>
      </c>
      <c r="G59" s="1288">
        <v>7.65</v>
      </c>
      <c r="H59" s="1288">
        <v>8.01</v>
      </c>
      <c r="I59" s="1288">
        <v>0</v>
      </c>
      <c r="J59" s="1288">
        <v>0</v>
      </c>
    </row>
    <row r="60" spans="2:26">
      <c r="B60" s="1288"/>
      <c r="C60" s="1289">
        <v>35879</v>
      </c>
      <c r="D60" s="1288">
        <v>7.02</v>
      </c>
      <c r="E60" s="1288">
        <v>7.92</v>
      </c>
      <c r="F60" s="1288">
        <v>9</v>
      </c>
      <c r="G60" s="1288">
        <v>9.7200000000000006</v>
      </c>
      <c r="H60" s="1288">
        <v>10.35</v>
      </c>
      <c r="I60" s="1288">
        <v>0</v>
      </c>
      <c r="J60" s="1288">
        <v>0</v>
      </c>
    </row>
    <row r="61" spans="2:26">
      <c r="B61" s="1288"/>
      <c r="C61" s="1289">
        <v>35726</v>
      </c>
      <c r="D61" s="1288">
        <v>7.65</v>
      </c>
      <c r="E61" s="1288">
        <v>8.64</v>
      </c>
      <c r="F61" s="1288">
        <v>9.36</v>
      </c>
      <c r="G61" s="1288">
        <v>9.9</v>
      </c>
      <c r="H61" s="1288">
        <v>10.53</v>
      </c>
      <c r="I61" s="1288">
        <v>0</v>
      </c>
      <c r="J61" s="1288">
        <v>0</v>
      </c>
    </row>
    <row r="62" spans="2:26">
      <c r="B62" s="1288"/>
      <c r="C62" s="1289">
        <v>35300</v>
      </c>
      <c r="D62" s="1288">
        <v>9.18</v>
      </c>
      <c r="E62" s="1288">
        <v>10.08</v>
      </c>
      <c r="F62" s="1288">
        <v>10.98</v>
      </c>
      <c r="G62" s="1288">
        <v>11.7</v>
      </c>
      <c r="H62" s="1288">
        <v>12.42</v>
      </c>
      <c r="I62" s="1288">
        <v>0</v>
      </c>
      <c r="J62" s="1288">
        <v>0</v>
      </c>
    </row>
    <row r="63" spans="2:26">
      <c r="B63" s="1288"/>
      <c r="C63" s="1289">
        <v>35186</v>
      </c>
      <c r="D63" s="1288">
        <v>9.7200000000000006</v>
      </c>
      <c r="E63" s="1288">
        <v>10.98</v>
      </c>
      <c r="F63" s="1288">
        <v>13.14</v>
      </c>
      <c r="G63" s="1288">
        <v>14.94</v>
      </c>
      <c r="H63" s="1288">
        <v>15.12</v>
      </c>
      <c r="I63" s="1288">
        <v>0</v>
      </c>
      <c r="J63" s="1288">
        <v>0</v>
      </c>
    </row>
    <row r="64" spans="2:26">
      <c r="B64" s="1288"/>
      <c r="C64" s="1289">
        <v>34881</v>
      </c>
      <c r="D64" s="1288">
        <v>10.08</v>
      </c>
      <c r="E64" s="1288">
        <v>12.06</v>
      </c>
      <c r="F64" s="1288">
        <v>13.5</v>
      </c>
      <c r="G64" s="1288">
        <v>15.12</v>
      </c>
      <c r="H64" s="1288">
        <v>15.3</v>
      </c>
      <c r="I64" s="1288">
        <v>0</v>
      </c>
      <c r="J64" s="1288">
        <v>0</v>
      </c>
    </row>
    <row r="65" spans="2:10">
      <c r="B65" s="1288"/>
      <c r="C65" s="1289">
        <v>34700</v>
      </c>
      <c r="D65" s="1288">
        <v>9</v>
      </c>
      <c r="E65" s="1288">
        <v>10.98</v>
      </c>
      <c r="F65" s="1288">
        <v>12.96</v>
      </c>
      <c r="G65" s="1288">
        <v>14.58</v>
      </c>
      <c r="H65" s="1288">
        <v>14.76</v>
      </c>
      <c r="I65" s="1288">
        <v>0</v>
      </c>
      <c r="J65" s="1288">
        <v>0</v>
      </c>
    </row>
    <row r="66" spans="2:10">
      <c r="B66" s="1288"/>
      <c r="C66" s="1289">
        <v>34161</v>
      </c>
      <c r="D66" s="1288">
        <v>9</v>
      </c>
      <c r="E66" s="1288">
        <v>10.98</v>
      </c>
      <c r="F66" s="1288">
        <v>12.24</v>
      </c>
      <c r="G66" s="1288">
        <v>13.86</v>
      </c>
      <c r="H66" s="1288">
        <v>14.04</v>
      </c>
      <c r="I66" s="1288">
        <v>0</v>
      </c>
      <c r="J66" s="1288">
        <v>0</v>
      </c>
    </row>
    <row r="67" spans="2:10">
      <c r="B67" s="1288"/>
      <c r="C67" s="1289">
        <v>34104</v>
      </c>
      <c r="D67" s="1288">
        <v>8.82</v>
      </c>
      <c r="E67" s="1288">
        <v>9.36</v>
      </c>
      <c r="F67" s="1288">
        <v>10.8</v>
      </c>
      <c r="G67" s="1288">
        <v>12.06</v>
      </c>
      <c r="H67" s="1288">
        <v>12.24</v>
      </c>
      <c r="I67" s="1288">
        <v>0</v>
      </c>
      <c r="J67" s="1288">
        <v>0</v>
      </c>
    </row>
    <row r="68" spans="2:10">
      <c r="B68" s="1288"/>
      <c r="C68" s="1289">
        <v>33349</v>
      </c>
      <c r="D68" s="1288">
        <v>8.1</v>
      </c>
      <c r="E68" s="1288">
        <v>8.64</v>
      </c>
      <c r="F68" s="1288">
        <v>9</v>
      </c>
      <c r="G68" s="1288">
        <v>9.5399999999999991</v>
      </c>
      <c r="H68" s="1288">
        <v>9.7200000000000006</v>
      </c>
      <c r="I68" s="1288">
        <v>0</v>
      </c>
      <c r="J68" s="1288">
        <v>0</v>
      </c>
    </row>
    <row r="69" spans="2:10">
      <c r="B69" s="1288"/>
      <c r="C69" s="1289">
        <v>33318</v>
      </c>
      <c r="D69" s="1288">
        <v>9</v>
      </c>
      <c r="E69" s="1288">
        <v>10.08</v>
      </c>
      <c r="F69" s="1288">
        <v>10.8</v>
      </c>
      <c r="G69" s="1288">
        <v>11.52</v>
      </c>
      <c r="H69" s="1288">
        <v>11.88</v>
      </c>
      <c r="I69" s="1288" t="s">
        <v>633</v>
      </c>
      <c r="J69" s="1288" t="s">
        <v>633</v>
      </c>
    </row>
    <row r="70" spans="2:10">
      <c r="B70" s="1288"/>
      <c r="C70" s="1289">
        <v>33106</v>
      </c>
      <c r="D70" s="1288">
        <v>8.64</v>
      </c>
      <c r="E70" s="1288">
        <v>9.36</v>
      </c>
      <c r="F70" s="1288">
        <v>10.08</v>
      </c>
      <c r="G70" s="1288">
        <v>10.8</v>
      </c>
      <c r="H70" s="1288">
        <v>11.16</v>
      </c>
      <c r="I70" s="1288">
        <v>0</v>
      </c>
      <c r="J70" s="1288">
        <v>0</v>
      </c>
    </row>
    <row r="71" spans="2:10">
      <c r="B71" s="1288"/>
      <c r="C71" s="1289">
        <v>32540</v>
      </c>
      <c r="D71" s="1288">
        <v>11.34</v>
      </c>
      <c r="E71" s="1288">
        <v>11.34</v>
      </c>
      <c r="F71" s="1288">
        <v>12.78</v>
      </c>
      <c r="G71" s="1288">
        <v>14.4</v>
      </c>
      <c r="H71" s="1288">
        <v>19.260000000000002</v>
      </c>
      <c r="I71" s="1288">
        <v>0</v>
      </c>
      <c r="J71" s="1288">
        <v>0</v>
      </c>
    </row>
    <row r="72" spans="2:10">
      <c r="B72" s="1288"/>
      <c r="C72" s="1289"/>
      <c r="D72" s="1288"/>
      <c r="E72" s="1288"/>
      <c r="F72" s="1288"/>
      <c r="G72" s="1288"/>
      <c r="H72" s="1288"/>
      <c r="I72" s="1288"/>
      <c r="J72" s="1288"/>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40"/>
      <c r="C76" s="1240"/>
      <c r="D76" s="1240"/>
      <c r="E76" s="1240"/>
      <c r="F76" s="1240"/>
      <c r="G76" s="1240"/>
      <c r="H76" s="1240"/>
      <c r="I76" s="1240"/>
      <c r="J76" s="1240"/>
    </row>
    <row r="77" spans="2:10">
      <c r="B77" s="1240"/>
      <c r="C77" s="1240"/>
      <c r="D77" s="1240"/>
      <c r="E77" s="1240"/>
      <c r="F77" s="1240"/>
      <c r="G77" s="1240"/>
      <c r="H77" s="1240"/>
      <c r="I77" s="1240"/>
      <c r="J77"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30">
      <c r="A4" s="1503" t="str">
        <f>项目基本情况!S2</f>
        <v>北京市通州区宋庄镇尹各庄村新建科研用地房地产</v>
      </c>
      <c r="B4" s="854">
        <f>项目基本情况!C17</f>
        <v>59427.91</v>
      </c>
      <c r="C4" s="854">
        <f>项目基本情况!C18</f>
        <v>20455.650000000001</v>
      </c>
      <c r="D4" s="854">
        <f ca="1">结果表!D118</f>
        <v>32181</v>
      </c>
      <c r="E4" s="854">
        <f ca="1">结果表!E118</f>
        <v>5415</v>
      </c>
      <c r="F4" s="854">
        <f ca="1">结果表!F118</f>
        <v>78789</v>
      </c>
      <c r="G4" s="854">
        <f ca="1">结果表!G118</f>
        <v>13258</v>
      </c>
      <c r="H4" s="854">
        <f ca="1">结果表!H118</f>
        <v>110970</v>
      </c>
      <c r="I4" s="854">
        <f ca="1">结果表!I118</f>
        <v>18673</v>
      </c>
    </row>
    <row r="5" spans="1:9" ht="30" customHeight="1">
      <c r="A5" s="3482" t="s">
        <v>927</v>
      </c>
      <c r="B5" s="3482"/>
      <c r="C5" s="3482"/>
      <c r="D5" s="3482" t="str">
        <f ca="1">结果表!D119</f>
        <v>叁亿贰仟壹佰捌拾壹万元整</v>
      </c>
      <c r="E5" s="3482"/>
      <c r="F5" s="3482" t="str">
        <f ca="1">结果表!F119</f>
        <v>柒亿捌仟柒佰捌拾玖万元整</v>
      </c>
      <c r="G5" s="3482"/>
      <c r="H5" s="3482" t="str">
        <f ca="1">结果表!H119</f>
        <v>壹拾壹亿零玖佰柒拾万元整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110970</v>
      </c>
      <c r="E8" s="3481"/>
      <c r="F8" s="3481"/>
      <c r="G8" s="3481"/>
      <c r="H8" s="3481"/>
      <c r="I8" s="3481"/>
    </row>
    <row r="9" spans="1:9" ht="15">
      <c r="A9" s="3482" t="s">
        <v>927</v>
      </c>
      <c r="B9" s="3482"/>
      <c r="C9" s="3482"/>
      <c r="D9" s="3482" t="str">
        <f ca="1">结果表!D123</f>
        <v>壹拾壹亿零玖佰柒拾万元整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4" t="s">
        <v>949</v>
      </c>
      <c r="B1" s="3494"/>
      <c r="C1" s="3494"/>
      <c r="D1" s="3494"/>
    </row>
    <row r="2" spans="1:4" ht="18">
      <c r="A2" s="3495" t="s">
        <v>933</v>
      </c>
      <c r="B2" s="3495"/>
      <c r="C2" s="3495"/>
      <c r="D2" s="349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5" t="s">
        <v>939</v>
      </c>
      <c r="B6" s="3495"/>
      <c r="C6" s="3495"/>
      <c r="D6" s="3495"/>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2" t="s">
        <v>956</v>
      </c>
      <c r="B15" s="3497" t="s">
        <v>109</v>
      </c>
      <c r="C15" s="3498"/>
    </row>
    <row r="16" spans="1:7" ht="13.5">
      <c r="A16" s="3503"/>
      <c r="B16" s="3497" t="s">
        <v>42</v>
      </c>
      <c r="C16" s="3498"/>
    </row>
    <row r="17" spans="1:3" ht="13.5">
      <c r="A17" s="3503"/>
      <c r="B17" s="3500" t="s">
        <v>957</v>
      </c>
      <c r="C17" s="1530" t="s">
        <v>956</v>
      </c>
    </row>
    <row r="18" spans="1:3" ht="13.5">
      <c r="A18" s="3503"/>
      <c r="B18" s="3500"/>
      <c r="C18" s="1530" t="s">
        <v>958</v>
      </c>
    </row>
    <row r="19" spans="1:3" ht="13.5">
      <c r="A19" s="3503"/>
      <c r="B19" s="3500"/>
      <c r="C19" s="1530" t="s">
        <v>959</v>
      </c>
    </row>
    <row r="20" spans="1:3" ht="13.5">
      <c r="A20" s="3504"/>
      <c r="B20" s="3499" t="s">
        <v>960</v>
      </c>
      <c r="C20" s="3498"/>
    </row>
    <row r="21" spans="1:3" ht="13.5">
      <c r="A21" s="1531" t="s">
        <v>961</v>
      </c>
      <c r="B21" s="1532"/>
      <c r="C21" s="1533"/>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0" t="s">
        <v>967</v>
      </c>
    </row>
    <row r="26" spans="1:3" ht="13.5">
      <c r="A26" s="3501"/>
      <c r="B26" s="3500"/>
      <c r="C26" s="1530" t="s">
        <v>968</v>
      </c>
    </row>
    <row r="27" spans="1:3" ht="13.5">
      <c r="A27" s="3501"/>
      <c r="B27" s="3500"/>
      <c r="C27" s="1530" t="s">
        <v>969</v>
      </c>
    </row>
    <row r="28" spans="1:3" ht="13.5">
      <c r="A28" s="3501"/>
      <c r="B28" s="3500"/>
      <c r="C28" s="1530" t="s">
        <v>970</v>
      </c>
    </row>
    <row r="29" spans="1:3" ht="13.5">
      <c r="A29" s="3501"/>
      <c r="B29" s="3500"/>
      <c r="C29" s="1530" t="s">
        <v>971</v>
      </c>
    </row>
    <row r="30" spans="1:3" ht="13.5">
      <c r="A30" s="3501"/>
      <c r="B30" s="3500"/>
      <c r="C30" s="1530" t="s">
        <v>972</v>
      </c>
    </row>
    <row r="31" spans="1:3" ht="13.5">
      <c r="A31" s="3501"/>
      <c r="B31" s="3500"/>
      <c r="C31" s="1530" t="s">
        <v>973</v>
      </c>
    </row>
    <row r="32" spans="1:3" ht="13.5">
      <c r="A32" s="3501"/>
      <c r="B32" s="3500"/>
      <c r="C32" s="1530" t="s">
        <v>974</v>
      </c>
    </row>
    <row r="33" spans="1:3" ht="13.5">
      <c r="A33" s="3501"/>
      <c r="B33" s="350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45638</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t="str">
        <f ca="1">IF(C9&lt;B2,"已过期",1120060040)</f>
        <v>已过期</v>
      </c>
      <c r="C9" s="2348">
        <v>45592</v>
      </c>
      <c r="D9" s="2344" t="str">
        <f t="shared" ca="1" si="0"/>
        <v>陈颖（注册号：已过期）</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1"/>
      <c r="E18" s="3507" t="s">
        <v>2162</v>
      </c>
      <c r="F18" s="3506"/>
      <c r="G18" s="350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2024-12-12T08:26:18Z</dcterms:modified>
</cp:coreProperties>
</file>