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表"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AY3" i="3"/>
  <c r="D40" i="43" l="1"/>
  <c r="D33" i="43"/>
  <c r="G44" i="43"/>
  <c r="G94" i="43"/>
  <c r="G95" i="43"/>
  <c r="G96" i="43"/>
  <c r="G97" i="43"/>
  <c r="G98" i="43"/>
  <c r="G99" i="43"/>
  <c r="G100" i="43"/>
  <c r="G101" i="43"/>
  <c r="G93" i="43"/>
  <c r="N14" i="1"/>
  <c r="L6" i="1"/>
  <c r="D31" i="80"/>
  <c r="F51" i="80"/>
  <c r="I46" i="80"/>
  <c r="J46" i="80" s="1"/>
  <c r="E46" i="80"/>
  <c r="G46" i="80" s="1"/>
  <c r="D46" i="80"/>
  <c r="C46" i="80"/>
  <c r="J45" i="80"/>
  <c r="G45" i="80"/>
  <c r="L44" i="80"/>
  <c r="D44" i="80"/>
  <c r="C44" i="80"/>
  <c r="E44" i="80" s="1"/>
  <c r="G43" i="80"/>
  <c r="E43" i="80"/>
  <c r="Q43" i="80" s="1"/>
  <c r="F37" i="80"/>
  <c r="F38" i="80" s="1"/>
  <c r="I27" i="80" s="1"/>
  <c r="J27" i="80" s="1"/>
  <c r="A32" i="80"/>
  <c r="F31" i="80"/>
  <c r="E31" i="80"/>
  <c r="I30" i="80"/>
  <c r="F30" i="80"/>
  <c r="G30" i="80" s="1"/>
  <c r="E30" i="80"/>
  <c r="J30" i="80" s="1"/>
  <c r="I29" i="80"/>
  <c r="F29" i="80"/>
  <c r="D29" i="80"/>
  <c r="C29" i="80"/>
  <c r="E29" i="80" s="1"/>
  <c r="D28" i="80"/>
  <c r="C28" i="80"/>
  <c r="E28" i="80" s="1"/>
  <c r="E27" i="80"/>
  <c r="D27" i="80"/>
  <c r="C27" i="80"/>
  <c r="B22" i="80"/>
  <c r="E21" i="80"/>
  <c r="E22" i="80" s="1"/>
  <c r="D21" i="80"/>
  <c r="D22" i="80" s="1"/>
  <c r="C21" i="80"/>
  <c r="C22" i="80" s="1"/>
  <c r="F20" i="80"/>
  <c r="F19" i="80"/>
  <c r="F18" i="80"/>
  <c r="F17" i="80"/>
  <c r="F16" i="80"/>
  <c r="F15" i="80"/>
  <c r="F14" i="80"/>
  <c r="F13" i="80"/>
  <c r="F12" i="80"/>
  <c r="M11" i="80"/>
  <c r="F11" i="80"/>
  <c r="F10" i="80"/>
  <c r="F9" i="80"/>
  <c r="F8" i="80"/>
  <c r="F7" i="80"/>
  <c r="M7" i="80" s="1"/>
  <c r="F6" i="80"/>
  <c r="F5" i="80"/>
  <c r="F22" i="80" s="1"/>
  <c r="F4" i="80"/>
  <c r="F3" i="80"/>
  <c r="B59" i="1"/>
  <c r="G19" i="6"/>
  <c r="F19" i="6"/>
  <c r="G47" i="80" l="1"/>
  <c r="E32" i="80"/>
  <c r="Q44" i="80"/>
  <c r="Q47" i="80" s="1"/>
  <c r="P47" i="80" s="1"/>
  <c r="G44" i="80"/>
  <c r="E47" i="80"/>
  <c r="J47" i="80" s="1"/>
  <c r="G28" i="80"/>
  <c r="J28" i="80"/>
  <c r="G29" i="80"/>
  <c r="F52" i="80"/>
  <c r="I43" i="80" s="1"/>
  <c r="J29" i="80"/>
  <c r="G31" i="80"/>
  <c r="J31" i="80"/>
  <c r="Q46" i="80"/>
  <c r="G27" i="80"/>
  <c r="J32" i="80" l="1"/>
  <c r="K32" i="80" s="1"/>
  <c r="J43" i="80"/>
  <c r="I44" i="80"/>
  <c r="J44" i="80" s="1"/>
  <c r="F47" i="80"/>
  <c r="G32" i="80"/>
  <c r="F32" i="80" s="1"/>
  <c r="J48" i="80" l="1"/>
  <c r="K48" i="80" s="1"/>
  <c r="U6" i="1" s="1"/>
  <c r="F13" i="4" l="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D101" i="43" l="1"/>
  <c r="E93" i="43" s="1"/>
  <c r="B91" i="43" s="1"/>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F93" i="43" l="1"/>
  <c r="H94" i="43" s="1"/>
  <c r="C15" i="78"/>
  <c r="G23" i="78"/>
  <c r="G24" i="78"/>
  <c r="G25" i="78"/>
  <c r="B15" i="78"/>
  <c r="B18" i="78"/>
  <c r="G19" i="73"/>
  <c r="F19" i="73"/>
  <c r="E19" i="73"/>
  <c r="H93" i="43" l="1"/>
  <c r="H97" i="43"/>
  <c r="H95" i="43"/>
  <c r="H100" i="43"/>
  <c r="H101" i="43"/>
  <c r="H96" i="43"/>
  <c r="H98" i="43"/>
  <c r="H99" i="43"/>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J15" i="15"/>
  <c r="L47" i="67"/>
  <c r="E12" i="76"/>
  <c r="F40" i="67"/>
  <c r="D6" i="73"/>
  <c r="L47" i="15"/>
  <c r="F38" i="67"/>
  <c r="F7" i="67"/>
  <c r="F6" i="73"/>
  <c r="M24" i="15"/>
  <c r="M26" i="15"/>
  <c r="F3" i="73"/>
  <c r="F16" i="67"/>
  <c r="M23" i="67"/>
  <c r="M6" i="15"/>
  <c r="F8" i="67"/>
  <c r="F7" i="73"/>
  <c r="F5" i="73"/>
  <c r="M22" i="67"/>
  <c r="F26" i="67"/>
  <c r="J15" i="67"/>
  <c r="B12" i="76"/>
  <c r="F37" i="67"/>
  <c r="M23" i="15"/>
  <c r="F8" i="15"/>
  <c r="B8" i="76"/>
  <c r="B13" i="76"/>
  <c r="M8" i="67"/>
  <c r="F42" i="67"/>
  <c r="F6" i="15"/>
  <c r="L48" i="15"/>
  <c r="F4" i="73"/>
  <c r="E9" i="76"/>
  <c r="M22" i="15"/>
  <c r="L48" i="67"/>
  <c r="F43" i="15"/>
  <c r="M29" i="15"/>
  <c r="F9" i="15"/>
  <c r="F36" i="67"/>
  <c r="M26" i="67"/>
  <c r="F20" i="31"/>
  <c r="AO13" i="1"/>
  <c r="M9" i="67"/>
  <c r="E11" i="76"/>
  <c r="E2" i="69"/>
  <c r="E13" i="76"/>
  <c r="B11" i="76"/>
  <c r="M9" i="15"/>
  <c r="M29" i="67"/>
  <c r="F36" i="15"/>
  <c r="C76" i="15"/>
  <c r="F6" i="67"/>
  <c r="M28" i="67"/>
  <c r="F13" i="15"/>
  <c r="M8" i="15"/>
  <c r="B7" i="76"/>
  <c r="F42" i="15"/>
  <c r="B9" i="76"/>
  <c r="F16" i="15"/>
  <c r="F26" i="15"/>
  <c r="F40" i="15"/>
  <c r="F37" i="15"/>
  <c r="F9" i="67"/>
  <c r="F38" i="15"/>
  <c r="E8" i="76"/>
  <c r="M6" i="67"/>
  <c r="F43" i="67"/>
  <c r="F13" i="67"/>
  <c r="B10" i="76"/>
  <c r="E10" i="76"/>
  <c r="C76" i="67"/>
  <c r="F7" i="15"/>
  <c r="M28" i="15"/>
  <c r="E2" i="68"/>
  <c r="E7" i="76"/>
  <c r="M24" i="67"/>
  <c r="C21" i="68" l="1"/>
  <c r="AZ14" i="3"/>
  <c r="BL20" i="3"/>
  <c r="BL28" i="3"/>
  <c r="G19" i="3"/>
  <c r="BL24" i="3"/>
  <c r="G31" i="3"/>
  <c r="BA25" i="3"/>
  <c r="BA26" i="3"/>
  <c r="BA29" i="3"/>
  <c r="G23" i="3"/>
  <c r="BA22" i="3"/>
  <c r="BL15" i="3"/>
  <c r="AZ15" i="3" s="1"/>
  <c r="AZ25" i="3"/>
  <c r="F29" i="6"/>
  <c r="BL16" i="3"/>
  <c r="AZ16" i="3" s="1"/>
  <c r="BL18" i="3"/>
  <c r="BL19" i="3"/>
  <c r="BA20" i="3"/>
  <c r="BL25" i="3"/>
  <c r="BL27" i="3"/>
  <c r="BA28" i="3"/>
  <c r="AZ28" i="3" s="1"/>
  <c r="BA31" i="3"/>
  <c r="BA19" i="3"/>
  <c r="BA27" i="3"/>
  <c r="BL30" i="3"/>
  <c r="BL31" i="3"/>
  <c r="BA18" i="3"/>
  <c r="BL21" i="3"/>
  <c r="AZ21" i="3" s="1"/>
  <c r="BL29" i="3"/>
  <c r="AZ29"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D3" i="73"/>
  <c r="C16" i="15"/>
  <c r="D5" i="73"/>
  <c r="D4" i="73"/>
  <c r="C16" i="67"/>
  <c r="D7" i="73"/>
  <c r="P6" i="1" l="1"/>
  <c r="C13" i="12" s="1"/>
  <c r="K16" i="1"/>
  <c r="AZ19" i="3"/>
  <c r="AZ20" i="3"/>
  <c r="N94" i="46"/>
  <c r="N370" i="46"/>
  <c r="J26" i="43"/>
  <c r="F26" i="43"/>
  <c r="AZ18" i="3"/>
  <c r="AZ27" i="3"/>
  <c r="AZ31" i="3"/>
  <c r="G26" i="43"/>
  <c r="E26" i="43"/>
  <c r="D17" i="53"/>
  <c r="B36" i="72"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F41" i="67"/>
  <c r="G1" i="73"/>
  <c r="AE6" i="1"/>
  <c r="D26" i="43" l="1"/>
  <c r="C25" i="43" s="1"/>
  <c r="C33"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F25" i="12" l="1"/>
  <c r="D116" i="43"/>
  <c r="F22" i="68"/>
  <c r="F22" i="11"/>
  <c r="F24" i="67"/>
  <c r="C24" i="67" s="1"/>
  <c r="F24" i="15"/>
  <c r="C24" i="15" s="1"/>
  <c r="F22" i="69"/>
  <c r="F41" i="69"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B2" i="74" l="1"/>
  <c r="C28" i="11"/>
  <c r="C27" i="11" s="1"/>
  <c r="B23" i="1"/>
  <c r="C26" i="68" s="1"/>
  <c r="D22" i="68" s="1"/>
  <c r="B24" i="1"/>
  <c r="C26" i="12" s="1"/>
  <c r="D25" i="12" s="1"/>
  <c r="C29" i="68"/>
  <c r="D27" i="68" s="1"/>
  <c r="C29" i="11"/>
  <c r="D27" i="11" s="1"/>
  <c r="C24" i="11"/>
  <c r="C23" i="11"/>
  <c r="C44" i="11"/>
  <c r="D41" i="11" s="1"/>
  <c r="C26" i="69"/>
  <c r="D22" i="69" s="1"/>
  <c r="F41" i="68"/>
  <c r="C44" i="68"/>
  <c r="D41" i="68" s="1"/>
  <c r="C44" i="69"/>
  <c r="D41" i="69" s="1"/>
  <c r="C16" i="71"/>
  <c r="D17" i="71"/>
  <c r="C18" i="67"/>
  <c r="C15" i="67"/>
  <c r="H23" i="6"/>
  <c r="C30" i="43"/>
  <c r="B2" i="43" s="1"/>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B3" i="43" l="1"/>
  <c r="C6" i="68"/>
  <c r="C7" i="68" s="1"/>
  <c r="C5" i="68"/>
  <c r="C23" i="68" s="1"/>
  <c r="C18" i="12"/>
  <c r="C25" i="11"/>
  <c r="C22" i="11" s="1"/>
  <c r="C26" i="11"/>
  <c r="D22" i="11" s="1"/>
  <c r="F34" i="68"/>
  <c r="M59" i="67"/>
  <c r="M59" i="15"/>
  <c r="L59" i="15" s="1"/>
  <c r="C29" i="12"/>
  <c r="D28" i="12" s="1"/>
  <c r="F50" i="69"/>
  <c r="F11" i="12"/>
  <c r="C14" i="12" s="1"/>
  <c r="C16" i="12" s="1"/>
  <c r="C21" i="12" s="1"/>
  <c r="C15" i="71"/>
  <c r="T16" i="71"/>
  <c r="D16" i="71"/>
  <c r="U16" i="71" s="1"/>
  <c r="C19" i="67"/>
  <c r="C20" i="67" s="1"/>
  <c r="C26" i="67" s="1"/>
  <c r="T16" i="1"/>
  <c r="C18" i="15"/>
  <c r="C15" i="15"/>
  <c r="C36" i="11"/>
  <c r="C37" i="11"/>
  <c r="C34" i="1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2" i="12" l="1"/>
  <c r="Q74" i="15"/>
  <c r="Q61" i="15"/>
  <c r="C31" i="11"/>
  <c r="C37" i="68"/>
  <c r="C36" i="68"/>
  <c r="C34"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8" i="68" l="1"/>
  <c r="C35" i="68"/>
  <c r="D14" i="71"/>
  <c r="C13" i="71"/>
  <c r="W7" i="21"/>
  <c r="AA7" i="21"/>
  <c r="R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15"/>
  <c r="F35" i="67"/>
  <c r="M21" i="15"/>
  <c r="M21" i="67"/>
  <c r="C33" i="68" l="1"/>
  <c r="C39" i="68" s="1"/>
  <c r="C43"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2" i="68" l="1"/>
  <c r="C41" i="68" s="1"/>
  <c r="C46" i="68"/>
  <c r="C45"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9" i="68" l="1"/>
  <c r="C51" i="68" s="1"/>
  <c r="C52" i="68" s="1"/>
  <c r="B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C57" i="68" l="1"/>
  <c r="C56" i="68" s="1"/>
  <c r="C102" i="9"/>
  <c r="C21" i="9"/>
  <c r="B3" i="68"/>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35" i="9"/>
  <c r="D34" i="9"/>
  <c r="D2" i="35"/>
  <c r="C20" i="9"/>
  <c r="D2" i="34"/>
  <c r="C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2" i="1"/>
  <c r="AO8" i="1"/>
  <c r="AO9" i="1"/>
  <c r="AO10" i="1"/>
  <c r="C7" i="71" l="1"/>
  <c r="D8"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C27" i="12" s="1"/>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5" i="12" l="1"/>
  <c r="C30" i="12"/>
  <c r="C28" i="12" s="1"/>
  <c r="D6" i="71"/>
  <c r="C5" i="71"/>
  <c r="D5" i="71" s="1"/>
  <c r="M24" i="43" s="1"/>
  <c r="C42" i="40"/>
  <c r="C43" i="40"/>
  <c r="E47" i="40"/>
  <c r="F47" i="40" s="1"/>
  <c r="E46" i="40"/>
  <c r="F46" i="40" s="1"/>
  <c r="I47" i="40"/>
  <c r="J47" i="40" s="1"/>
  <c r="C32" i="12" l="1"/>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G19" i="9" l="1"/>
  <c r="D28" i="9" s="1"/>
  <c r="D22" i="9"/>
  <c r="D102" i="9"/>
  <c r="D21" i="9"/>
  <c r="D103" i="9"/>
  <c r="G20" i="9"/>
  <c r="G21" i="9" l="1"/>
  <c r="C32" i="9"/>
  <c r="C35" i="9" s="1"/>
  <c r="C34" i="9" s="1"/>
  <c r="D118" i="9" l="1"/>
  <c r="F118" i="9"/>
  <c r="H118" i="9"/>
  <c r="D4" i="52" l="1"/>
  <c r="B47" i="72" s="1"/>
  <c r="F119" i="9"/>
  <c r="F5" i="52" s="1"/>
  <c r="B53" i="72" s="1"/>
  <c r="H4" i="52"/>
  <c r="D14" i="74"/>
  <c r="G118" i="9"/>
  <c r="G4" i="52" s="1"/>
  <c r="B52" i="72" s="1"/>
  <c r="I118" i="9"/>
  <c r="H101" i="9"/>
  <c r="D119" i="9"/>
  <c r="D5" i="52" s="1"/>
  <c r="B49" i="72" s="1"/>
  <c r="C104" i="9"/>
  <c r="H119" i="9"/>
  <c r="H5" i="52" s="1"/>
  <c r="F4" i="52"/>
  <c r="B51" i="72" s="1"/>
  <c r="F14" i="74" l="1"/>
  <c r="B5" i="74"/>
  <c r="D5" i="74" s="1"/>
  <c r="E14" i="74"/>
  <c r="M48" i="9"/>
  <c r="D45" i="9"/>
  <c r="D5" i="53"/>
  <c r="H107" i="9"/>
  <c r="I4" i="52"/>
  <c r="H102" i="9"/>
  <c r="C105" i="9"/>
  <c r="E118" i="9"/>
  <c r="E4" i="52" s="1"/>
  <c r="B48" i="72" s="1"/>
  <c r="H108" i="9" l="1"/>
  <c r="M49" i="9"/>
  <c r="D122" i="9"/>
  <c r="G14" i="74" s="1"/>
  <c r="D13" i="53"/>
  <c r="B20" i="72"/>
  <c r="D6" i="53"/>
  <c r="B22" i="72" s="1"/>
  <c r="C5" i="74"/>
  <c r="D7" i="53"/>
  <c r="B21" i="72" s="1"/>
  <c r="C93" i="9"/>
  <c r="C86" i="9" s="1"/>
  <c r="C72" i="9"/>
  <c r="D53" i="9"/>
  <c r="C78" i="9"/>
  <c r="C73" i="9" s="1"/>
  <c r="C64" i="9"/>
  <c r="C63" i="9" s="1"/>
  <c r="C67" i="9" s="1"/>
  <c r="D52" i="9"/>
  <c r="D55" i="9"/>
  <c r="M53" i="9" s="1"/>
  <c r="C85" i="9"/>
  <c r="B6" i="74" l="1"/>
  <c r="D6" i="74" s="1"/>
  <c r="C79" i="9"/>
  <c r="C80" i="9" s="1"/>
  <c r="E80" i="9" s="1"/>
  <c r="E81" i="9" s="1"/>
  <c r="C95" i="9"/>
  <c r="C96" i="9" s="1"/>
  <c r="E96" i="9" s="1"/>
  <c r="E97" i="9" s="1"/>
  <c r="B30" i="72"/>
  <c r="D14" i="53"/>
  <c r="B32" i="72" s="1"/>
  <c r="D123" i="9"/>
  <c r="D9" i="52" s="1"/>
  <c r="D8" i="52"/>
  <c r="L64" i="9"/>
  <c r="M64" i="9" s="1"/>
  <c r="L66" i="9"/>
  <c r="M66" i="9" s="1"/>
  <c r="L68" i="9"/>
  <c r="M68" i="9" s="1"/>
  <c r="L65" i="9"/>
  <c r="M65" i="9" s="1"/>
  <c r="L67" i="9"/>
  <c r="M67" i="9" s="1"/>
  <c r="L63" i="9"/>
  <c r="M63" i="9" s="1"/>
  <c r="C68" i="9"/>
  <c r="D54" i="9" s="1"/>
  <c r="D59" i="9"/>
  <c r="M55" i="9" s="1"/>
  <c r="D15" i="53"/>
  <c r="B31" i="72" s="1"/>
  <c r="C6" i="74" l="1"/>
  <c r="C97" i="9"/>
  <c r="D58" i="9" s="1"/>
  <c r="D56" i="9" s="1"/>
  <c r="M54" i="9" s="1"/>
  <c r="N57" i="9" s="1"/>
  <c r="N59" i="9" s="1"/>
  <c r="M69" i="9"/>
  <c r="N69" i="9" s="1"/>
  <c r="C81" i="9"/>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<sst xmlns="http://schemas.openxmlformats.org/spreadsheetml/2006/main" count="7995" uniqueCount="3518">
  <si>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</si>
  <si>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</si>
  <si>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</si>
  <si>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</si>
  <si>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</si>
  <si>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</si>
  <si>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</si>
  <si>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</si>
  <si>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</si>
  <si>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</si>
  <si>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</si>
  <si>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</si>
  <si>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</si>
  <si>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</si>
  <si>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</si>
  <si>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</si>
  <si>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</si>
  <si>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</si>
  <si>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</si>
  <si>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</si>
  <si>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</si>
  <si>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</si>
  <si>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</si>
  <si>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</si>
  <si>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</si>
  <si>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</si>
  <si>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</si>
  <si>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</si>
  <si>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</si>
  <si>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</si>
  <si>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</si>
  <si>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</si>
  <si>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</si>
  <si>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</si>
  <si>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</si>
  <si>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</si>
  <si>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</si>
  <si>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</si>
  <si>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</si>
  <si>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</si>
  <si>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</si>
  <si>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</si>
  <si>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</si>
  <si>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</si>
  <si>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</si>
  <si>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</si>
  <si>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</si>
  <si>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</si>
  <si>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</si>
  <si>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</si>
  <si>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</si>
  <si>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</si>
  <si>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</si>
  <si>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</si>
  <si>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</si>
  <si>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</si>
  <si>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</si>
  <si>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</si>
  <si>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</si>
  <si>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</si>
  <si>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</si>
  <si>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</si>
  <si>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</si>
  <si>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</si>
  <si>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</si>
  <si>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</si>
  <si>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</si>
  <si>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</si>
  <si>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</si>
  <si>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</si>
  <si>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</si>
  <si>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</si>
  <si>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</si>
  <si>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</si>
  <si>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</si>
  <si>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</si>
  <si>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</si>
  <si>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</si>
  <si>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</si>
  <si>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</si>
  <si>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</si>
  <si>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</si>
  <si>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</si>
  <si>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</si>
  <si>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</si>
  <si>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</si>
  <si>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</si>
  <si>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</si>
  <si>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</si>
  <si>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</si>
  <si>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</si>
  <si>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</si>
  <si>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</si>
  <si>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</si>
  <si>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</si>
  <si>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</si>
  <si>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</si>
  <si>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</si>
  <si>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</si>
  <si>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</si>
  <si>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</si>
  <si>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</si>
  <si>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</si>
  <si>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</si>
  <si>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</si>
  <si>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</si>
  <si>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</si>
  <si>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</si>
  <si>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</si>
  <si>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</si>
  <si>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</si>
  <si>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</si>
  <si>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</si>
  <si>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</si>
  <si>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</si>
  <si>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</si>
  <si>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</si>
  <si>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</si>
  <si>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</si>
  <si>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</si>
  <si>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</si>
  <si>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</si>
  <si>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</si>
  <si>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</si>
  <si>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</si>
  <si>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</si>
  <si>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</si>
  <si>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</si>
  <si>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</si>
  <si>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</si>
  <si>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</si>
  <si>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</si>
  <si>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</si>
  <si>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</si>
  <si>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</si>
  <si>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</si>
  <si>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</si>
  <si>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</si>
  <si>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</si>
  <si>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</si>
  <si>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</si>
  <si>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</si>
  <si>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</si>
  <si>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</si>
  <si>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</si>
  <si>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</si>
  <si>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</si>
  <si>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</si>
  <si>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</si>
  <si>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</si>
  <si>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</si>
  <si>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</si>
  <si>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</si>
  <si>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</si>
  <si>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</si>
  <si>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</si>
  <si>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</si>
  <si>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</si>
  <si>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</si>
  <si>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</si>
  <si>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</si>
  <si>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</si>
  <si>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</si>
  <si>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</si>
  <si>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</si>
  <si>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</si>
  <si>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</si>
  <si>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</si>
  <si>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</si>
  <si>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</si>
  <si>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</si>
  <si>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</si>
  <si>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</si>
  <si>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</si>
  <si>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</si>
  <si>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</si>
  <si>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</si>
  <si>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</si>
  <si>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</si>
  <si>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</si>
  <si>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</si>
  <si>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</si>
  <si>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</si>
  <si>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</si>
  <si>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</si>
  <si>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</si>
  <si>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</si>
  <si>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</si>
  <si>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</si>
  <si>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</si>
  <si>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</si>
  <si>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</si>
  <si>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</si>
  <si>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</si>
  <si>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</si>
  <si>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</si>
  <si>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</si>
  <si>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</si>
  <si>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</si>
  <si>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</si>
  <si>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</si>
  <si>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</si>
  <si>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</si>
  <si>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</si>
  <si>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</si>
  <si>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</si>
  <si>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</si>
  <si>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</si>
  <si>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</si>
  <si>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</si>
  <si>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</si>
  <si>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</si>
  <si>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</si>
  <si>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</si>
  <si>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</si>
  <si>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</si>
  <si>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</si>
  <si>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</si>
  <si>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</si>
  <si>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</si>
  <si>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</si>
  <si>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</si>
  <si>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</si>
  <si>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</si>
  <si>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</si>
  <si>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</si>
  <si>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</si>
  <si>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</si>
  <si>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</si>
  <si>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</si>
  <si>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</si>
  <si>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</si>
  <si>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</si>
  <si>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</si>
  <si>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</si>
  <si>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</si>
  <si>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</si>
  <si>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</si>
  <si>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</si>
  <si>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</si>
  <si>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</si>
  <si>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</si>
  <si>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</si>
  <si>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</si>
  <si>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</si>
  <si>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</si>
  <si>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</si>
  <si>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</si>
  <si>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</si>
  <si>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</si>
  <si>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</si>
  <si>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</si>
  <si>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</si>
  <si>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</si>
  <si>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</si>
  <si>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</si>
  <si>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</si>
  <si>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</si>
  <si>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</si>
  <si>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</si>
  <si>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</si>
  <si>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</si>
  <si>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</si>
  <si>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</si>
  <si>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</si>
  <si>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</si>
  <si>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</si>
  <si>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</si>
  <si>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</si>
  <si>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</si>
  <si>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</si>
  <si>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</si>
  <si>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</si>
  <si>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</si>
  <si>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</si>
  <si>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</si>
  <si>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</si>
  <si>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</si>
  <si>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</si>
  <si>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</si>
  <si>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</si>
  <si>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</si>
  <si>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</si>
  <si>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</si>
  <si>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</si>
  <si>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</si>
  <si>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</si>
  <si>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</si>
  <si>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</si>
  <si>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</si>
  <si>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</si>
  <si>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</si>
  <si>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</si>
  <si>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</si>
  <si>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</si>
  <si>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</si>
  <si>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</si>
  <si>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</si>
  <si>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</si>
  <si>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</si>
  <si>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</si>
  <si>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</si>
  <si>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</si>
  <si>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</si>
  <si>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</si>
  <si>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</si>
  <si>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</si>
  <si>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</si>
  <si>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</si>
  <si>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</si>
  <si>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</si>
  <si>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</si>
  <si>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</si>
  <si>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</si>
  <si>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</si>
  <si>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</si>
  <si>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</si>
  <si>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</si>
  <si>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</si>
  <si>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</si>
  <si>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</si>
  <si>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</si>
  <si>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</si>
  <si>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</si>
  <si>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</si>
  <si>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</si>
  <si>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</si>
  <si>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</si>
  <si>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</si>
  <si>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</si>
  <si>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</si>
  <si>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</si>
  <si>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</si>
  <si>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</si>
  <si>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</si>
  <si>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</si>
  <si>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</si>
  <si>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</si>
  <si>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</si>
  <si>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</si>
  <si>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</si>
  <si>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</si>
  <si>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</si>
  <si>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</si>
  <si>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</si>
  <si>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</si>
  <si>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</si>
  <si>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</si>
  <si>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</si>
  <si>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</si>
  <si>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</si>
  <si>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</si>
  <si>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</si>
  <si>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</si>
  <si>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</si>
  <si>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</si>
  <si>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</si>
  <si>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</si>
  <si>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</si>
  <si>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</si>
  <si>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</si>
  <si>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</si>
  <si>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</si>
  <si>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</si>
  <si>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</si>
  <si>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</si>
  <si>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</si>
  <si>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</si>
  <si>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</si>
  <si>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</si>
  <si>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</si>
  <si>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</si>
  <si>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</si>
  <si>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</si>
  <si>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</si>
  <si>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</si>
  <si>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</si>
  <si>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</si>
  <si>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</si>
  <si>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</si>
  <si>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</si>
  <si>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</si>
  <si>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</si>
  <si>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</si>
  <si>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</si>
  <si>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</si>
  <si>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</si>
  <si>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</si>
  <si>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</si>
  <si>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</si>
  <si>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</si>
  <si>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</si>
  <si>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</si>
  <si>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</si>
  <si>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</si>
  <si>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</si>
  <si>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</si>
  <si>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</si>
  <si>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</si>
  <si>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</si>
  <si>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</si>
  <si>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</si>
  <si>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</si>
  <si>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</si>
  <si>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</si>
  <si>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</si>
  <si>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</si>
  <si>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</si>
  <si>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</si>
  <si>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</si>
  <si>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</si>
  <si>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</si>
  <si>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</si>
  <si>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</si>
  <si>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</si>
  <si>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</si>
  <si>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</si>
  <si>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</si>
  <si>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</si>
  <si>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</si>
  <si>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</si>
  <si>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</si>
  <si>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</si>
  <si>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</si>
  <si>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</si>
  <si>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</si>
  <si>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</si>
  <si>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</si>
  <si>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</si>
  <si>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</si>
  <si>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</si>
  <si>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</si>
  <si>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</si>
  <si>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</si>
  <si>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</si>
  <si>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</si>
  <si>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</si>
  <si>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</si>
  <si>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</si>
  <si>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</si>
  <si>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</si>
  <si>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</si>
  <si>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</si>
  <si>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</si>
  <si>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</si>
  <si>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</si>
  <si>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</si>
  <si>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</si>
  <si>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</si>
  <si>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</si>
  <si>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</si>
  <si>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</si>
  <si>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</si>
  <si>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</si>
  <si>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</si>
  <si>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</si>
  <si>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</si>
  <si>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</si>
  <si>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</si>
  <si>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</si>
  <si>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</si>
  <si>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</si>
  <si>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</si>
  <si>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</si>
  <si>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</si>
  <si>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</si>
  <si>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</si>
  <si>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</si>
  <si>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</si>
  <si>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</si>
  <si>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</si>
  <si>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</si>
  <si>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</si>
  <si>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</si>
  <si>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</si>
  <si>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</si>
  <si>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</si>
  <si>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</si>
  <si>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</si>
  <si>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</si>
  <si>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</si>
  <si>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</si>
  <si>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</si>
  <si>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</si>
  <si>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</si>
  <si>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</si>
  <si>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</si>
  <si>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</si>
  <si>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</si>
  <si>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</si>
  <si>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</si>
  <si>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</si>
  <si>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</si>
  <si>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</si>
  <si>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</si>
  <si>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</si>
  <si>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</si>
  <si>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</si>
  <si>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</si>
  <si>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</si>
  <si>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</si>
  <si>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</si>
  <si>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</si>
  <si>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</si>
  <si>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</si>
  <si>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</si>
  <si>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</si>
  <si>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</si>
  <si>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</si>
  <si>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</si>
  <si>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</si>
  <si>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</si>
  <si>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</si>
  <si>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</si>
  <si>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</si>
  <si>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</si>
  <si>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</si>
  <si>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</si>
  <si>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</si>
  <si>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</si>
  <si>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</si>
  <si>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</si>
  <si>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</si>
  <si>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</si>
  <si>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</si>
  <si>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</si>
  <si>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</si>
  <si>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</si>
  <si>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</si>
  <si>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</si>
  <si>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</si>
  <si>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</si>
  <si>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</si>
  <si>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</si>
  <si>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</si>
  <si>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</si>
  <si>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</si>
  <si>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</si>
  <si>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</si>
  <si>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</si>
  <si>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</si>
  <si>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</si>
  <si>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</si>
  <si>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</si>
  <si>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</si>
  <si>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</si>
  <si>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</si>
  <si>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</si>
  <si>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</si>
  <si>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</si>
  <si>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</si>
  <si>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</si>
  <si>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</si>
  <si>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</si>
  <si>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</si>
  <si>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</si>
  <si>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</si>
  <si>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</si>
  <si>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</si>
  <si>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</si>
  <si>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</si>
  <si>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</si>
  <si>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</si>
  <si>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</si>
  <si>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</si>
  <si>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</si>
  <si>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</si>
  <si>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</si>
  <si>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</si>
  <si>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</si>
  <si>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</si>
  <si>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</si>
  <si>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</si>
  <si>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</si>
  <si>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</si>
  <si>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</si>
  <si>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</si>
  <si>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</si>
  <si>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</si>
  <si>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</si>
  <si>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</si>
  <si>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</si>
  <si>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</si>
  <si>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</si>
  <si>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</si>
  <si>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</si>
  <si>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</si>
  <si>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</si>
  <si>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</si>
  <si>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</si>
  <si>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</si>
  <si>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</si>
  <si>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</si>
  <si>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</si>
  <si>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</si>
  <si>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</si>
  <si>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</si>
  <si>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</si>
  <si>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</si>
  <si>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</si>
  <si>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</si>
  <si>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</si>
  <si>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</si>
  <si>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</si>
  <si>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</si>
  <si>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</si>
  <si>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</si>
  <si>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</si>
  <si>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</si>
  <si>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</si>
  <si>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</si>
  <si>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</si>
  <si>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</si>
  <si>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</si>
  <si>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</si>
  <si>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</si>
  <si>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</si>
  <si>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</si>
  <si>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</si>
  <si>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</si>
  <si>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</si>
  <si>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</si>
  <si>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</si>
  <si>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</si>
  <si>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</si>
  <si>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</si>
  <si>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</si>
  <si>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</si>
  <si>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</si>
  <si>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</si>
  <si>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</si>
  <si>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</si>
  <si>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</si>
  <si>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</si>
  <si>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</si>
  <si>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</si>
  <si>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</si>
  <si>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</si>
  <si>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</si>
  <si>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</si>
  <si>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</si>
  <si>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</si>
  <si>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</si>
  <si>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</si>
  <si>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</si>
  <si>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</si>
  <si>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</si>
  <si>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</si>
  <si>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</si>
  <si>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</si>
  <si>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</si>
  <si>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</si>
  <si>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</si>
  <si>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</si>
  <si>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</si>
  <si>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</si>
  <si>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</si>
  <si>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</si>
  <si>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</si>
  <si>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</si>
  <si>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</si>
  <si>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</si>
  <si>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</si>
  <si>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</si>
  <si>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</si>
  <si>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</si>
  <si>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</si>
  <si>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</si>
  <si>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</si>
  <si>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</si>
  <si>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</si>
  <si>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</si>
  <si>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</si>
  <si>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</si>
  <si>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</si>
  <si>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</si>
  <si>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</si>
  <si>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</si>
  <si>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</si>
  <si>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</si>
  <si>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</si>
  <si>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</si>
  <si>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</si>
  <si>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</si>
  <si>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</si>
  <si>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</si>
  <si>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</si>
  <si>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</si>
  <si>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</si>
  <si>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</si>
  <si>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</si>
  <si>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</si>
  <si>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</si>
  <si>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</si>
  <si>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</si>
  <si>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</si>
  <si>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</si>
  <si>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</si>
  <si>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</si>
  <si>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</si>
  <si>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</si>
  <si>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</si>
  <si>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</si>
  <si>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</si>
  <si>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</si>
  <si>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</si>
  <si>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</si>
  <si>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</si>
  <si>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</si>
  <si>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</si>
  <si>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</si>
  <si>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</si>
  <si>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</si>
  <si>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</si>
  <si>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</si>
  <si>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</si>
  <si>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</si>
  <si>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</si>
  <si>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</si>
  <si>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</si>
  <si>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</si>
  <si>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</si>
  <si>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</si>
  <si>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</si>
  <si>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</si>
  <si>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</si>
  <si>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</si>
  <si>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</si>
  <si>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</si>
  <si>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</si>
  <si>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</si>
  <si>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</si>
  <si>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</si>
  <si>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</si>
  <si>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</si>
  <si>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</si>
  <si>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</si>
  <si>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</si>
  <si>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</si>
  <si>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</si>
  <si>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</si>
  <si>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</si>
  <si>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</si>
  <si>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</si>
  <si>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</si>
  <si>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</si>
  <si>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</si>
  <si>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</si>
  <si>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</si>
  <si>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</si>
  <si>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</si>
  <si>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</si>
  <si>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</si>
  <si>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</si>
  <si>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</si>
  <si>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</si>
  <si>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</si>
  <si>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</si>
  <si>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</si>
  <si>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</si>
  <si>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</si>
  <si>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</si>
  <si>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</si>
  <si>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</si>
  <si>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</si>
  <si>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</si>
  <si>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</si>
  <si>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</si>
  <si>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</si>
  <si>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</si>
  <si>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</si>
  <si>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</si>
  <si>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</si>
  <si>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</si>
  <si>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</si>
  <si>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</si>
  <si>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</si>
  <si>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</si>
  <si>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</si>
  <si>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</si>
  <si>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</si>
  <si>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</si>
  <si>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</si>
  <si>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</si>
  <si>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</si>
  <si>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</si>
  <si>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</si>
  <si>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</si>
  <si>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</si>
  <si>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</si>
  <si>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</si>
  <si>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</si>
  <si>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</si>
  <si>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</si>
  <si>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</si>
  <si>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</si>
  <si>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</si>
  <si>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</si>
  <si>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</si>
  <si>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</si>
  <si>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</si>
  <si>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</si>
  <si>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</si>
  <si>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</si>
  <si>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</si>
  <si>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</si>
  <si>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</si>
  <si>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</si>
  <si>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</si>
  <si>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</si>
  <si>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</si>
  <si>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</si>
  <si>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</si>
  <si>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</si>
  <si>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</si>
  <si>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</si>
  <si>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</si>
  <si>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</si>
  <si>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</si>
  <si>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</si>
  <si>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</si>
  <si>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</si>
  <si>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</si>
  <si>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</si>
  <si>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</si>
  <si>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</si>
  <si>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</si>
  <si>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</si>
  <si>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</si>
  <si>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</si>
  <si>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</si>
  <si>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</si>
  <si>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</si>
  <si>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</si>
  <si>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</si>
  <si>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</si>
  <si>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</si>
  <si>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</si>
  <si>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</si>
  <si>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</si>
  <si>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</si>
  <si>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</si>
  <si>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</si>
  <si>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</si>
  <si>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</si>
  <si>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</si>
  <si>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</si>
  <si>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</si>
  <si>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</si>
  <si>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</si>
  <si>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</si>
  <si>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</si>
  <si>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</si>
  <si>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</si>
  <si>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</si>
  <si>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</si>
  <si>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</si>
  <si>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</si>
  <si>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</si>
  <si>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</si>
  <si>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</si>
  <si>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</si>
  <si>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</si>
  <si>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</si>
  <si>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</si>
  <si>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</si>
  <si>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</si>
  <si>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</si>
  <si>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</si>
  <si>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</si>
  <si>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</si>
  <si>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</si>
  <si>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</si>
  <si>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</si>
  <si>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</si>
  <si>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</si>
  <si>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</si>
  <si>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</si>
  <si>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</si>
  <si>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</si>
  <si>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</si>
  <si>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</si>
  <si>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</si>
  <si>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</si>
  <si>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</si>
  <si>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</si>
  <si>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</si>
  <si>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</si>
  <si>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</si>
  <si>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</si>
  <si>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</si>
  <si>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</si>
  <si>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</si>
  <si>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</si>
  <si>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</si>
  <si>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</si>
  <si>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</si>
  <si>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</si>
  <si>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</si>
  <si>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</si>
  <si>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</si>
  <si>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</si>
  <si>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</si>
  <si>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</si>
  <si>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</si>
  <si>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</si>
  <si>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</si>
  <si>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</si>
  <si>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</si>
  <si>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</si>
  <si>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</si>
  <si>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</si>
  <si>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</si>
  <si>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</si>
  <si>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</si>
  <si>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</si>
  <si>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</si>
  <si>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</si>
  <si>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</si>
  <si>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</si>
  <si>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</si>
  <si>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</si>
  <si>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</si>
  <si>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</si>
  <si>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</si>
  <si>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</si>
  <si>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</si>
  <si>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</si>
  <si>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</si>
  <si>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</si>
  <si>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</si>
  <si>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</si>
  <si>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</si>
  <si>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</si>
  <si>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</si>
  <si>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</si>
  <si>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</si>
  <si>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</si>
  <si>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</si>
  <si>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</si>
  <si>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</si>
  <si>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</si>
  <si>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</si>
  <si>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</si>
  <si>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</si>
  <si>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</si>
  <si>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</si>
  <si>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</si>
  <si>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</si>
  <si>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</si>
  <si>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</si>
  <si>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</si>
  <si>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</si>
  <si>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</si>
  <si>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</si>
  <si>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</si>
  <si>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</si>
  <si>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</si>
  <si>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</si>
  <si>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</si>
  <si>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</si>
  <si>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</si>
  <si>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</si>
  <si>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</si>
  <si>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</si>
  <si>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</si>
  <si>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</si>
  <si>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</si>
  <si>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</si>
  <si>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</si>
  <si>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</si>
  <si>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</si>
  <si>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</si>
  <si>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</si>
  <si>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</si>
  <si>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</si>
  <si>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</si>
  <si>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</si>
  <si>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</si>
  <si>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</si>
  <si>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</si>
  <si>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</si>
  <si>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</si>
  <si>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</si>
  <si>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</si>
  <si>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</si>
  <si>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</si>
  <si>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</si>
  <si>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</si>
  <si>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</si>
  <si>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</si>
  <si>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</si>
  <si>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</si>
  <si>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</si>
  <si>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</si>
  <si>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</si>
  <si>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</si>
  <si>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</si>
  <si>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</si>
  <si>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</si>
  <si>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</si>
  <si>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</si>
  <si>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</si>
  <si>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</si>
  <si>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</si>
  <si>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</si>
  <si>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</si>
  <si>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</si>
  <si>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</si>
  <si>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</si>
  <si>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</si>
  <si>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</si>
  <si>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</si>
  <si>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</si>
  <si>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</si>
  <si>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</si>
  <si>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</si>
  <si>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</si>
  <si>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</si>
  <si>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</si>
  <si>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</si>
  <si>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</si>
  <si>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</si>
  <si>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</si>
  <si>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</si>
  <si>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</si>
  <si>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</si>
  <si>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</si>
  <si>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</si>
  <si>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</si>
  <si>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</si>
  <si>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</si>
  <si>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</si>
  <si>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</si>
  <si>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</si>
  <si>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</si>
  <si>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</si>
  <si>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</si>
  <si>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</si>
  <si>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</si>
  <si>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</si>
  <si>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</si>
  <si>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</si>
  <si>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</si>
  <si>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</si>
  <si>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</si>
  <si>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</si>
  <si>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</si>
  <si>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</si>
  <si>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</si>
  <si>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</si>
  <si>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</si>
  <si>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</si>
  <si>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</si>
  <si>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</si>
  <si>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</si>
  <si>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</si>
  <si>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</si>
  <si>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</si>
  <si>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</si>
  <si>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</si>
  <si>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</si>
  <si>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</si>
  <si>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</si>
  <si>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</si>
  <si>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</si>
  <si>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</si>
  <si>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</si>
  <si>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</si>
  <si>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</si>
  <si>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</si>
  <si>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</si>
  <si>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</si>
  <si>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</si>
  <si>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</si>
  <si>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</si>
  <si>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</si>
  <si>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</si>
  <si>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</si>
  <si>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</si>
  <si>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</si>
  <si>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</si>
  <si>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</si>
  <si>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</si>
  <si>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</si>
  <si>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</si>
  <si>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</si>
  <si>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</si>
  <si>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</si>
  <si>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</si>
  <si>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</si>
  <si>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</si>
  <si>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</si>
  <si>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</si>
  <si>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</si>
  <si>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</si>
  <si>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</si>
  <si>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</si>
  <si>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</si>
  <si>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</si>
  <si>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</si>
  <si>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</si>
  <si>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</si>
  <si>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</si>
  <si>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</si>
  <si>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</si>
  <si>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</si>
  <si>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</si>
  <si>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</si>
  <si>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</si>
  <si>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</si>
  <si>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</si>
  <si>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</si>
  <si>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</si>
  <si>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</si>
  <si>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</si>
  <si>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</si>
  <si>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</si>
  <si>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</si>
  <si>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</si>
  <si>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</si>
  <si>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</si>
  <si>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</si>
  <si>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</si>
  <si>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</si>
  <si>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</si>
  <si>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</si>
  <si>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</si>
  <si>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</si>
  <si>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</si>
  <si>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</si>
  <si>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</si>
  <si>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</si>
  <si>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</si>
  <si>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</si>
  <si>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</si>
  <si>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</si>
  <si>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</si>
  <si>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</si>
  <si>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</si>
  <si>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</si>
  <si>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</si>
  <si>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</si>
  <si>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</si>
  <si>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</si>
  <si>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</si>
  <si>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</si>
  <si>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</si>
  <si>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</si>
  <si>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</si>
  <si>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</si>
  <si>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</si>
  <si>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</si>
  <si>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</si>
  <si>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</si>
  <si>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</si>
  <si>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</si>
  <si>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</si>
  <si>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</si>
  <si>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</si>
  <si>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</si>
  <si>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</si>
  <si>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</si>
  <si>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</si>
  <si>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</si>
  <si>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</si>
  <si>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</si>
  <si>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</si>
  <si>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</si>
  <si>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</si>
  <si>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</si>
  <si>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</si>
  <si>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</si>
  <si>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</si>
  <si>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</si>
  <si>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</si>
  <si>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</si>
  <si>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</si>
  <si>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</si>
  <si>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</si>
  <si>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</si>
  <si>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</si>
  <si>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</si>
  <si>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</si>
  <si>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</si>
  <si>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</si>
  <si>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</si>
  <si>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</si>
  <si>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</si>
  <si>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</si>
  <si>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</si>
  <si>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</si>
  <si>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</si>
  <si>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</si>
  <si>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</si>
  <si>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</si>
  <si>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</si>
  <si>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</si>
  <si>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</si>
  <si>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</si>
  <si>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</si>
  <si>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</si>
  <si>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</si>
  <si>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</si>
  <si>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</si>
  <si>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</si>
  <si>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</si>
  <si>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</si>
  <si>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</si>
  <si>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</si>
  <si>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</si>
  <si>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</si>
  <si>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</si>
  <si>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</si>
  <si>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</si>
  <si>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</si>
  <si>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</si>
  <si>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</si>
  <si>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</si>
  <si>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</si>
  <si>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</si>
  <si>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</si>
  <si>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</si>
  <si>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</si>
  <si>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</si>
  <si>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</si>
  <si>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</si>
  <si>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</si>
  <si>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</si>
  <si>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</si>
  <si>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</si>
  <si>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</si>
  <si>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</si>
  <si>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</si>
  <si>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</si>
  <si>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</si>
  <si>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</si>
  <si>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</si>
  <si>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</si>
  <si>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</si>
  <si>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</si>
  <si>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</si>
  <si>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</si>
  <si>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</si>
  <si>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</si>
  <si>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</si>
  <si>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</si>
  <si>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</si>
  <si>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</si>
  <si>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</si>
  <si>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</si>
  <si>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</si>
  <si>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</si>
  <si>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</si>
  <si>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</si>
  <si>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</si>
  <si>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</si>
  <si>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</si>
  <si>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</si>
  <si>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</si>
  <si>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</si>
  <si>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</si>
  <si>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</si>
  <si>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</si>
  <si>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</si>
  <si>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</si>
  <si>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</si>
  <si>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</si>
  <si>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</si>
  <si>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</si>
  <si>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</si>
  <si>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</si>
  <si>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</si>
  <si>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</si>
  <si>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</si>
  <si>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</si>
  <si>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</si>
  <si>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</si>
  <si>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</si>
  <si>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</si>
  <si>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</si>
  <si>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</si>
  <si>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</si>
  <si>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</si>
  <si>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</si>
  <si>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</si>
  <si>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</si>
  <si>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</si>
  <si>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</si>
  <si>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</si>
  <si>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</si>
  <si>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</si>
  <si>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</si>
  <si>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</si>
  <si>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</si>
  <si>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</si>
  <si>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</si>
  <si>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</si>
  <si>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</si>
  <si>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</si>
  <si>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</si>
  <si>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</si>
  <si>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</si>
  <si>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</si>
  <si>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</si>
  <si>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</si>
  <si>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</si>
  <si>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</si>
  <si>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</si>
  <si>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</si>
  <si>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</si>
  <si>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</si>
  <si>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</si>
  <si>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</si>
  <si>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</si>
  <si>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</si>
  <si>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</si>
  <si>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</si>
  <si>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</si>
  <si>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</si>
  <si>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</si>
  <si>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</si>
  <si>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</si>
  <si>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</si>
  <si>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</si>
  <si>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</si>
  <si>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</si>
  <si>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</si>
  <si>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</si>
  <si>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</si>
  <si>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</si>
  <si>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</si>
  <si>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</si>
  <si>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</si>
  <si>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</si>
  <si>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</si>
  <si>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</si>
  <si>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</si>
  <si>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</si>
  <si>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</si>
  <si>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</si>
  <si>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</si>
  <si>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</si>
  <si>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</si>
  <si>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</si>
  <si>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</si>
  <si>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</si>
  <si>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</si>
  <si>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</si>
  <si>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</si>
  <si>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</si>
  <si>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</si>
  <si>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</si>
  <si>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</si>
  <si>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</si>
  <si>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</si>
  <si>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</si>
  <si>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</si>
  <si>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</si>
  <si>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</si>
  <si>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</si>
  <si>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</si>
  <si>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</si>
  <si>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</si>
  <si>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</si>
  <si>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</si>
  <si>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</si>
  <si>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</si>
  <si>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</si>
  <si>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</si>
  <si>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</si>
  <si>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</si>
  <si>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</si>
  <si>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</si>
  <si>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</si>
  <si>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</si>
  <si>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</si>
  <si>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</si>
  <si>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</si>
  <si>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</si>
  <si>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</si>
  <si>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</si>
  <si>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</si>
  <si>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</si>
  <si>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</si>
  <si>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</si>
  <si>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</si>
  <si>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</si>
  <si>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</si>
  <si>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</si>
  <si>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</si>
  <si>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</si>
  <si>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</si>
  <si>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</si>
  <si>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</si>
  <si>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</si>
  <si>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</si>
  <si>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</si>
  <si>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</si>
  <si>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</si>
  <si>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</si>
  <si>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</si>
  <si>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</si>
  <si>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</si>
  <si>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</si>
  <si>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</si>
  <si>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</si>
  <si>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</si>
  <si>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</si>
  <si>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</si>
  <si>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</si>
  <si>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</si>
  <si>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</si>
  <si>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</si>
  <si>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</si>
  <si>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</si>
  <si>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</si>
  <si>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</si>
  <si>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</si>
  <si>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</si>
  <si>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</si>
  <si>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</si>
  <si>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</si>
  <si>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</si>
  <si>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</si>
  <si>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</si>
  <si>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</si>
  <si>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</si>
  <si>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</si>
  <si>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</si>
  <si>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</si>
  <si>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</si>
  <si>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</si>
  <si>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</si>
  <si>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</si>
  <si>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</si>
  <si>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</si>
  <si>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</si>
  <si>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</si>
  <si>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</si>
  <si>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</si>
  <si>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</si>
  <si>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</si>
  <si>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</si>
  <si>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</si>
  <si>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</si>
  <si>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</si>
  <si>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</si>
  <si>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</si>
  <si>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</si>
  <si>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</si>
  <si>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</si>
  <si>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</si>
  <si>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</si>
  <si>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</si>
  <si>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</si>
  <si>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</si>
  <si>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</si>
  <si>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</si>
  <si>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</si>
  <si>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</si>
  <si>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</si>
  <si>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</si>
  <si>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</si>
  <si>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</si>
  <si>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</si>
  <si>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</si>
  <si>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</si>
  <si>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</si>
  <si>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</si>
  <si>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</si>
  <si>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</si>
  <si>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</si>
  <si>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</si>
  <si>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</si>
  <si>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</si>
  <si>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</si>
  <si>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</si>
  <si>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</si>
  <si>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</si>
  <si>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</si>
  <si>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</si>
  <si>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</si>
  <si>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</si>
  <si>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</si>
  <si>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</si>
  <si>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</si>
  <si>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</si>
  <si>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</si>
  <si>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</si>
  <si>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</si>
  <si>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</si>
  <si>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</si>
  <si>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</si>
  <si>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</si>
  <si>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</si>
  <si>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</si>
  <si>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</si>
  <si>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</si>
  <si>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</si>
  <si>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</si>
  <si>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</si>
  <si>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</si>
  <si>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</si>
  <si>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</si>
  <si>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</si>
  <si>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</si>
  <si>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</si>
  <si>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</si>
  <si>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</si>
  <si>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</si>
  <si>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</si>
  <si>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</si>
  <si>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</si>
  <si>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</si>
  <si>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</si>
  <si>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</si>
  <si>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</si>
  <si>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</si>
  <si>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</si>
  <si>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</si>
  <si>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</si>
  <si>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</si>
  <si>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</si>
  <si>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</si>
  <si>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</si>
  <si>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</si>
  <si>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</si>
  <si>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</si>
  <si>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</si>
  <si>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</si>
  <si>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</si>
  <si>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</si>
  <si>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</si>
  <si>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</si>
  <si>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</si>
  <si>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</si>
  <si>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</si>
  <si>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</si>
  <si>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</si>
  <si>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</si>
  <si>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</si>
  <si>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</si>
  <si>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</si>
  <si>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</si>
  <si>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</si>
  <si>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</si>
  <si>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</si>
  <si>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</si>
  <si>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</si>
  <si>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</si>
  <si>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</si>
  <si>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</si>
  <si>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</si>
  <si>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</si>
  <si>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</si>
  <si>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</si>
  <si>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</si>
  <si>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</si>
  <si>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</si>
  <si>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</si>
  <si>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</si>
  <si>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</si>
  <si>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</si>
  <si>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</si>
  <si>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</si>
  <si>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</si>
  <si>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</si>
  <si>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</si>
  <si>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</si>
  <si>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</si>
  <si>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</si>
  <si>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</si>
  <si>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</si>
  <si>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</si>
  <si>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</si>
  <si>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</si>
  <si>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</si>
  <si>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</si>
  <si>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</si>
  <si>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</si>
  <si>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</si>
  <si>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</si>
  <si>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</si>
  <si>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</si>
  <si>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</si>
  <si>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</si>
  <si>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</si>
  <si>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</si>
  <si>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</si>
  <si>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</si>
  <si>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</si>
  <si>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</si>
  <si>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</si>
  <si>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</si>
  <si>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</si>
  <si>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</si>
  <si>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</si>
  <si>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</si>
  <si>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</si>
  <si>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</si>
  <si>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</si>
  <si>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</si>
  <si>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</si>
  <si>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</si>
  <si>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</si>
  <si>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</si>
  <si>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</si>
  <si>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</si>
  <si>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</si>
  <si>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</si>
  <si>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</si>
  <si>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</si>
  <si>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</si>
  <si>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</si>
  <si>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</si>
  <si>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</si>
  <si>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</si>
  <si>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</si>
  <si>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</si>
  <si>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</si>
  <si>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</si>
  <si>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</si>
  <si>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</si>
  <si>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</si>
  <si>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</si>
  <si>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</si>
  <si>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</si>
  <si>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</si>
  <si>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</si>
  <si>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</si>
  <si>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</si>
  <si>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</si>
  <si>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</si>
  <si>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</si>
  <si>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</si>
  <si>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</si>
  <si>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</si>
  <si>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</si>
  <si>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</si>
  <si>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</si>
  <si>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</si>
  <si>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</si>
  <si>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</si>
  <si>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</si>
  <si>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</si>
  <si>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</si>
  <si>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</si>
  <si>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</si>
  <si>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</si>
  <si>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</si>
  <si>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</si>
  <si>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</si>
  <si>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</si>
  <si>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</si>
  <si>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</si>
  <si>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</si>
  <si>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</si>
  <si>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</si>
  <si>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</si>
  <si>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</si>
  <si>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</si>
  <si>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</si>
  <si>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</si>
  <si>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</si>
  <si>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</si>
  <si>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</si>
  <si>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</si>
  <si>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</si>
  <si>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</si>
  <si>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</si>
  <si>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</si>
  <si>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</si>
  <si>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</si>
  <si>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</si>
  <si>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</si>
  <si>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</si>
  <si>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</si>
  <si>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</si>
  <si>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</si>
  <si>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</si>
  <si>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</si>
  <si>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</si>
  <si>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</si>
  <si>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</si>
  <si>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</si>
  <si>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</si>
  <si>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</si>
  <si>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</si>
  <si>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</si>
  <si>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</si>
  <si>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</si>
  <si>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</si>
  <si>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</si>
  <si>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</si>
  <si>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</si>
  <si>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</si>
  <si>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</si>
  <si>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</si>
  <si>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</si>
  <si>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</si>
  <si>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</si>
  <si>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</si>
  <si>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</si>
  <si>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</si>
  <si>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</si>
  <si>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</si>
  <si>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</si>
  <si>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</si>
  <si>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</si>
  <si>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</si>
  <si>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</si>
  <si>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</si>
  <si>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</si>
  <si>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</si>
  <si>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</si>
  <si>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</si>
  <si>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</si>
  <si>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</si>
  <si>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</si>
  <si>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</si>
  <si>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</si>
  <si>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</si>
  <si>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</si>
  <si>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</si>
  <si>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</si>
  <si>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</si>
  <si>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</si>
  <si>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</si>
  <si>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</si>
  <si>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</si>
  <si>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</si>
  <si>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</si>
  <si>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</si>
  <si>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</si>
  <si>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</si>
  <si>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</si>
  <si>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</si>
  <si>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</si>
  <si>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</si>
  <si>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</si>
  <si>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</si>
  <si>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</si>
  <si>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</si>
  <si>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</si>
  <si>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</si>
  <si>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</si>
  <si>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</si>
  <si>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</si>
  <si>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</si>
  <si>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</si>
  <si>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</si>
  <si>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</si>
  <si>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</si>
  <si>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</si>
  <si>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</si>
  <si>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</si>
  <si>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</si>
  <si>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</si>
  <si>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</si>
  <si>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</si>
  <si>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</si>
  <si>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</si>
  <si>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</si>
  <si>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</si>
  <si>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</si>
  <si>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</si>
  <si>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</si>
  <si>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</si>
  <si>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</si>
  <si>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</si>
  <si>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</si>
  <si>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</si>
  <si>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</si>
  <si>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</si>
  <si>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</si>
  <si>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</si>
  <si>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</si>
  <si>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</si>
  <si>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</si>
  <si>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</si>
  <si>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</si>
  <si>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</si>
  <si>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</si>
  <si>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</si>
  <si>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</si>
  <si>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</si>
  <si>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</si>
  <si>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</si>
  <si>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</si>
  <si>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</si>
  <si>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</si>
  <si>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</si>
  <si>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</si>
  <si>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</si>
  <si>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</si>
  <si>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</si>
  <si>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</si>
  <si>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</si>
  <si>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</si>
  <si>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</si>
  <si>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</si>
  <si>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</si>
  <si>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</si>
  <si>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</si>
  <si>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</si>
  <si>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</si>
  <si>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</si>
  <si>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</si>
  <si>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</si>
  <si>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</si>
  <si>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</si>
  <si>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</si>
  <si>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</si>
  <si>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</si>
  <si>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</si>
  <si>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</si>
  <si>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</si>
  <si>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</si>
  <si>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</si>
  <si>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</si>
  <si>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</si>
  <si>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</si>
  <si>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</si>
  <si>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</si>
  <si>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</si>
  <si>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</si>
  <si>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</si>
  <si>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</si>
  <si>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</si>
  <si>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</si>
  <si>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</si>
  <si>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</si>
  <si>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</si>
  <si>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</si>
  <si>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</si>
  <si>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</si>
  <si>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</si>
  <si>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</si>
  <si>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</si>
  <si>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</si>
  <si>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</si>
  <si>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</si>
  <si>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</si>
  <si>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</si>
  <si>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</si>
  <si>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</si>
  <si>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</si>
  <si>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</si>
  <si>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</si>
  <si>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</si>
  <si>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</si>
  <si>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</si>
  <si>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</si>
  <si>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</si>
  <si>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</si>
  <si>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</si>
  <si>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</si>
  <si>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</si>
  <si>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</si>
  <si>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</si>
  <si>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</si>
  <si>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</si>
  <si>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</si>
  <si>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</si>
  <si>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</si>
  <si>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</si>
  <si>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</si>
  <si>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</si>
  <si>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</si>
  <si>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</si>
  <si>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</si>
  <si>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</si>
  <si>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</si>
  <si>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</si>
  <si>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</si>
  <si>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</si>
  <si>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</si>
  <si>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</si>
  <si>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</si>
  <si>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</si>
  <si>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</si>
  <si>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</si>
  <si>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</si>
  <si>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</si>
  <si>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</si>
  <si>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</si>
  <si>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</si>
  <si>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</si>
  <si>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</si>
  <si>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</si>
  <si>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</si>
  <si>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</si>
  <si>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</si>
  <si>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</si>
  <si>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</si>
  <si>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</si>
  <si>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</si>
  <si>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</si>
  <si>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</si>
  <si>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</si>
  <si>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</si>
  <si>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</si>
  <si>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</si>
  <si>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</si>
  <si>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</si>
  <si>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</si>
  <si>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</si>
  <si>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</si>
  <si>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</si>
  <si>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</si>
  <si>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</si>
  <si>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</si>
  <si>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</si>
  <si>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</si>
  <si>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</si>
  <si>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</si>
  <si>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</si>
  <si>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</si>
  <si>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</si>
  <si>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</si>
  <si>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</si>
  <si>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</si>
  <si>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</si>
  <si>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</si>
  <si>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</si>
  <si>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</si>
  <si>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</si>
  <si>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</si>
  <si>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</si>
  <si>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</si>
  <si>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</si>
  <si>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</si>
  <si>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</si>
  <si>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</si>
  <si>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</si>
  <si>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</si>
  <si>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</si>
  <si>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</si>
  <si>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</si>
  <si>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</si>
  <si>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</si>
  <si>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</si>
  <si>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</si>
  <si>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</si>
  <si>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</si>
  <si>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</si>
  <si>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</si>
  <si>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</si>
  <si>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</si>
  <si>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</si>
  <si>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</si>
  <si>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</si>
  <si>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</si>
  <si>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</si>
  <si>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</si>
  <si>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</si>
  <si>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</si>
  <si>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</si>
  <si>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</si>
  <si>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</si>
  <si>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</si>
  <si>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</si>
  <si>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</si>
  <si>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</si>
  <si>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</si>
  <si>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</si>
  <si>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</si>
  <si>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</si>
  <si>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</si>
  <si>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</si>
  <si>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</si>
  <si>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</si>
  <si>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</si>
  <si>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</si>
  <si>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</si>
  <si>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</si>
  <si>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</si>
  <si>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</si>
  <si>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</si>
  <si>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</si>
  <si>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</si>
  <si>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</si>
  <si>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</si>
  <si>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</si>
  <si>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</si>
  <si>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</si>
  <si>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</si>
  <si>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</si>
  <si>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</si>
  <si>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</si>
  <si>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</si>
  <si>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</si>
  <si>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</si>
  <si>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</si>
  <si>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</si>
  <si>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</si>
  <si>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</si>
  <si>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</si>
  <si>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</si>
  <si>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</si>
  <si>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</si>
  <si>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</si>
  <si>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</si>
  <si>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</si>
  <si>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</si>
  <si>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</si>
  <si>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</si>
  <si>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</si>
  <si>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</si>
  <si>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</si>
  <si>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</si>
  <si>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</si>
  <si>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</si>
  <si>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</si>
  <si>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</si>
  <si>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</si>
  <si>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</si>
  <si>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</si>
  <si>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</si>
  <si>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</si>
  <si>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</si>
  <si>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</si>
  <si>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</si>
  <si>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</si>
  <si>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</si>
  <si>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</si>
  <si>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</si>
  <si>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</si>
  <si>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</si>
  <si>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</si>
  <si>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</si>
  <si>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</si>
  <si>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</si>
  <si>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</si>
  <si>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</si>
  <si>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</si>
  <si>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</si>
  <si>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</si>
  <si>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</si>
  <si>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</si>
  <si>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</si>
  <si>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</si>
  <si>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</si>
  <si>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</si>
  <si>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</si>
  <si>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</si>
  <si>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</si>
  <si>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</si>
  <si>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</si>
  <si>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</si>
  <si>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</si>
  <si>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</si>
  <si>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</si>
  <si>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</si>
  <si>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</si>
  <si>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</si>
  <si>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</si>
  <si>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</si>
  <si>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</si>
  <si>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</si>
  <si>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</si>
  <si>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</si>
  <si>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</si>
  <si>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</si>
  <si>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</si>
  <si>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</si>
  <si>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</si>
  <si>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</si>
  <si>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</si>
  <si>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</si>
  <si>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</si>
  <si>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</si>
  <si>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</si>
  <si>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</si>
  <si>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</si>
  <si>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</si>
  <si>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</si>
  <si>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</si>
  <si>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</si>
  <si>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</si>
  <si>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</si>
  <si>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</si>
  <si>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</si>
  <si>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</si>
  <si>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</si>
  <si>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</si>
  <si>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</si>
  <si>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</si>
  <si>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</si>
  <si>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</si>
  <si>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</si>
  <si>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</si>
  <si>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</si>
  <si>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</si>
  <si>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</si>
  <si>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</si>
  <si>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</si>
  <si>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</si>
  <si>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</si>
  <si>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</si>
  <si>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</si>
  <si>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</si>
  <si>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</si>
  <si>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</si>
  <si>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</si>
  <si>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</si>
  <si>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</si>
  <si>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</si>
  <si>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</si>
  <si>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</si>
  <si>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</si>
  <si>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</si>
  <si>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</si>
  <si>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</si>
  <si>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</si>
  <si>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</si>
  <si>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</si>
  <si>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</si>
  <si>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</si>
  <si>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</si>
  <si>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</si>
  <si>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</si>
  <si>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</si>
  <si>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</si>
  <si>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</si>
  <si>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</si>
  <si>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</si>
  <si>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</si>
  <si>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</si>
  <si>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</si>
  <si>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</si>
  <si>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</si>
  <si>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</si>
  <si>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</si>
  <si>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</si>
  <si>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</si>
  <si>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</si>
  <si>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</si>
  <si>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</si>
  <si>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</si>
  <si>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</si>
  <si>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</si>
  <si>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</si>
  <si>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</si>
  <si>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</si>
  <si>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</si>
  <si>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</si>
  <si>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</si>
  <si>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</si>
  <si>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</si>
  <si>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</si>
  <si>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</si>
  <si>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</si>
  <si>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</si>
  <si>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</si>
  <si>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</si>
  <si>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</si>
  <si>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</si>
  <si>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</si>
  <si>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</si>
  <si>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</si>
  <si>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</si>
  <si>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</si>
  <si>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</si>
  <si>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</si>
  <si>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</si>
  <si>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</si>
  <si>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</si>
  <si>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</si>
  <si>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</si>
  <si>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</si>
  <si>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</si>
  <si>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</si>
  <si>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</si>
  <si>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</si>
  <si>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</si>
  <si>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</si>
  <si>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</si>
  <si>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</si>
  <si>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</si>
  <si>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</si>
  <si>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</si>
  <si>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</si>
  <si>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</si>
  <si>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</si>
  <si>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</si>
  <si>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</si>
  <si>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</si>
  <si>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</si>
  <si>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</si>
  <si>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</si>
  <si>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</si>
  <si>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</si>
  <si>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</si>
  <si>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</si>
  <si>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</si>
  <si>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</si>
  <si>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</si>
  <si>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</si>
  <si>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</si>
  <si>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</si>
  <si>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</si>
  <si>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</si>
  <si>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</si>
  <si>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</si>
  <si>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</si>
  <si>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</si>
  <si>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</si>
  <si>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</si>
  <si>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</si>
  <si>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</si>
  <si>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</si>
  <si>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</si>
  <si>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</si>
  <si>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</si>
  <si>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</si>
  <si>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</si>
  <si>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</si>
  <si>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</si>
  <si>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</si>
  <si>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</si>
  <si>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</si>
  <si>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</si>
  <si>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</si>
  <si>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</si>
  <si>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</si>
  <si>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</si>
  <si>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</si>
  <si>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</si>
  <si>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</si>
  <si>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</si>
  <si>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</si>
  <si>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</si>
  <si>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</si>
  <si>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</si>
  <si>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</si>
  <si>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</si>
  <si>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</si>
  <si>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</si>
  <si>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</si>
  <si>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</si>
  <si>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</si>
  <si>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</si>
  <si>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</si>
  <si>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</si>
  <si>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</si>
  <si>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</si>
  <si>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</si>
  <si>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</si>
  <si>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</si>
  <si>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</si>
  <si>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</si>
  <si>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</si>
  <si>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</si>
  <si>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</si>
  <si>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</si>
  <si>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</si>
  <si>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</si>
  <si>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</si>
  <si>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</si>
  <si>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</si>
  <si>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</si>
  <si>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</si>
  <si>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</si>
  <si>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</si>
  <si>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</si>
  <si>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</si>
  <si>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</si>
  <si>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</si>
  <si>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</si>
  <si>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</si>
  <si>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</si>
  <si>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</si>
  <si>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</si>
  <si>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</si>
  <si>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</si>
  <si>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</si>
  <si>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</si>
  <si>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</si>
  <si>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</si>
  <si>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</si>
  <si>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</si>
  <si>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</si>
  <si>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</si>
  <si>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</si>
  <si>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</si>
  <si>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</si>
  <si>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</si>
  <si>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</si>
  <si>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</si>
  <si>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</si>
  <si>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</si>
  <si>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</si>
  <si>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</si>
  <si>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</si>
  <si>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</si>
  <si>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</si>
  <si>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</si>
  <si>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</si>
  <si>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</si>
  <si>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</si>
  <si>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</si>
  <si>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</si>
  <si>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</si>
  <si>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</si>
  <si>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</si>
  <si>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</si>
  <si>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</si>
  <si>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</si>
  <si>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</si>
  <si>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</si>
  <si>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</si>
  <si>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</si>
  <si>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</si>
  <si>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</si>
  <si>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</si>
  <si>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</si>
  <si>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</si>
  <si>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</si>
  <si>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</si>
  <si>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</si>
  <si>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</si>
  <si>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</si>
  <si>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</si>
  <si>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</si>
  <si>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</si>
  <si>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</si>
  <si>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</si>
  <si>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</si>
  <si>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</si>
  <si>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</si>
  <si>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</si>
  <si>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</si>
  <si>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</si>
  <si>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</si>
  <si>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</si>
  <si>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</si>
  <si>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</si>
  <si>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</si>
  <si>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</si>
  <si>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</si>
  <si>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</si>
  <si>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</si>
  <si>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</si>
  <si>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</si>
  <si>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</si>
  <si>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</si>
  <si>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</si>
  <si>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</si>
  <si>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</si>
  <si>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</si>
  <si>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</si>
  <si>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</si>
  <si>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</si>
  <si>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</si>
  <si>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</si>
  <si>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</si>
  <si>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</si>
  <si>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</si>
  <si>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</si>
  <si>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</si>
  <si>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</si>
  <si>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</si>
  <si>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</si>
  <si>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</si>
  <si>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</si>
  <si>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</si>
  <si>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</si>
  <si>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</si>
  <si>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</si>
  <si>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</si>
  <si>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</si>
  <si>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</si>
  <si>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</si>
  <si>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</si>
  <si>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</si>
  <si>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</si>
  <si>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</si>
  <si>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</si>
  <si>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</si>
  <si>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</si>
  <si>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</si>
  <si>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</si>
  <si>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</si>
  <si>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</si>
  <si>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</si>
  <si>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</si>
  <si>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</si>
  <si>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</si>
  <si>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</si>
  <si>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</si>
  <si>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</si>
  <si>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</si>
  <si>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</si>
  <si>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</si>
  <si>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</si>
  <si>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</si>
  <si>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</si>
  <si>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</si>
  <si>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</si>
  <si>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</si>
  <si>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</si>
  <si>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</si>
  <si>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</si>
  <si>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</si>
  <si>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</si>
  <si>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</si>
  <si>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</si>
  <si>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</si>
  <si>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</si>
  <si>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</si>
  <si>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</si>
  <si>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</si>
  <si>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</si>
  <si>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</si>
  <si>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</si>
  <si>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</si>
  <si>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</si>
  <si>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</si>
  <si>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</si>
  <si>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</si>
  <si>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</si>
  <si>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</si>
  <si>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</si>
  <si>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</si>
  <si>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</si>
  <si>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</si>
  <si>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</si>
  <si>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</si>
  <si>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</si>
  <si>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</si>
  <si>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</si>
  <si>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</si>
  <si>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</si>
  <si>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</si>
  <si>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</si>
  <si>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</si>
  <si>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</si>
  <si>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</si>
  <si>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</si>
  <si>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</si>
  <si>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</si>
  <si>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</si>
  <si>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</si>
  <si>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</si>
  <si>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</si>
  <si>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</si>
  <si>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</si>
  <si>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</si>
  <si>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</si>
  <si>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</si>
  <si>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</si>
  <si>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</si>
  <si>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</si>
  <si>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</si>
  <si>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</si>
  <si>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</si>
  <si>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</si>
  <si>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</si>
  <si>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</si>
  <si>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</si>
  <si>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</si>
  <si>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</si>
  <si>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</si>
  <si>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</si>
  <si>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</si>
  <si>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</si>
  <si>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</si>
  <si>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</si>
  <si>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</si>
  <si>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</si>
  <si>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</si>
  <si>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</si>
  <si>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</si>
  <si>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</si>
  <si>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</si>
  <si>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</si>
  <si>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</si>
  <si>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</si>
  <si>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</si>
  <si>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</si>
  <si>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</si>
  <si>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</si>
  <si>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</si>
  <si>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</si>
  <si>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</si>
  <si>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</si>
  <si>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</si>
  <si>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</si>
  <si>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</si>
  <si>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</si>
  <si>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</si>
  <si>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</si>
  <si>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</si>
  <si>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</si>
  <si>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</si>
  <si>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</si>
  <si>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</si>
  <si>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</si>
  <si>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</si>
  <si>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</si>
  <si>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</si>
  <si>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</si>
  <si>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</si>
  <si>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</si>
  <si>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</si>
  <si>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</si>
  <si>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</si>
  <si>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</si>
  <si>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</si>
  <si>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</si>
  <si>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</si>
  <si>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</si>
  <si>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</si>
  <si>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</si>
  <si>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</si>
  <si>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</si>
  <si>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</si>
  <si>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</si>
  <si>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</si>
  <si>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</si>
  <si>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</si>
  <si>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</si>
  <si>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</si>
  <si>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</si>
  <si>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</si>
  <si>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</si>
  <si>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</si>
  <si>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</si>
  <si>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</si>
  <si>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</si>
  <si>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</si>
  <si>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</si>
  <si>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</si>
  <si>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</si>
  <si>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</si>
  <si>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</si>
  <si>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</si>
  <si>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</si>
  <si>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</si>
  <si>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</si>
  <si>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</si>
  <si>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</si>
  <si>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</si>
  <si>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</si>
  <si>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</si>
  <si>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</si>
  <si>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</si>
  <si>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</si>
  <si>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</si>
  <si>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</si>
  <si>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</si>
  <si>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</si>
  <si>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</si>
  <si>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</si>
  <si>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</si>
  <si>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</si>
  <si>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</si>
  <si>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</si>
  <si>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</si>
  <si>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</si>
  <si>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</si>
  <si>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</si>
  <si>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</si>
  <si>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</si>
  <si>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</si>
  <si>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</si>
  <si>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</si>
  <si>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</si>
  <si>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</si>
  <si>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</si>
  <si>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</si>
  <si>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</si>
  <si>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</si>
  <si>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</si>
  <si>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</si>
  <si>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</si>
  <si>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</si>
  <si>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</si>
  <si>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</si>
  <si>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</si>
  <si>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</si>
  <si>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</si>
  <si>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</si>
  <si>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</si>
  <si>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</si>
  <si>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</si>
  <si>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</si>
  <si>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</si>
  <si>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</si>
  <si>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</si>
  <si>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</si>
  <si>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</si>
  <si>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</si>
  <si>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</si>
  <si>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</si>
  <si>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</si>
  <si>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</si>
  <si>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</si>
  <si>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</si>
  <si>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</si>
  <si>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</si>
  <si>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</si>
  <si>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</si>
  <si>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</si>
  <si>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</si>
  <si>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</si>
  <si>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</si>
  <si>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</si>
  <si>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</si>
  <si>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</si>
  <si>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</si>
  <si>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</si>
  <si>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</si>
  <si>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</si>
  <si>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</si>
  <si>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</si>
  <si>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</si>
  <si>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</si>
  <si>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</si>
  <si>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</si>
  <si>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</si>
  <si>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</si>
  <si>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</si>
  <si>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</si>
  <si>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</si>
  <si>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</si>
  <si>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</si>
  <si>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</si>
  <si>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</si>
  <si>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</si>
  <si>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</si>
  <si>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</si>
  <si>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</si>
  <si>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</si>
  <si>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</si>
  <si>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</si>
  <si>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</si>
  <si>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</si>
  <si>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</si>
  <si>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</si>
  <si>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</si>
  <si>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</si>
  <si>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</si>
  <si>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</si>
  <si>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</si>
  <si>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</si>
  <si>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</si>
  <si>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</si>
  <si>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</si>
  <si>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</si>
  <si>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</si>
  <si>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</si>
  <si>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</si>
  <si>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</si>
  <si>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</si>
  <si>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</si>
  <si>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</si>
  <si>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</si>
  <si>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</si>
  <si>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</si>
  <si>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</si>
  <si>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</si>
  <si>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</si>
  <si>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</si>
  <si>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</si>
  <si>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</si>
  <si>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</si>
  <si>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</si>
  <si>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</si>
  <si>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</si>
  <si>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</si>
  <si>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</si>
  <si>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</si>
  <si>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</si>
  <si>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</si>
  <si>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</si>
  <si>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</si>
  <si>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</si>
  <si>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</si>
  <si>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</si>
  <si>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</si>
  <si>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</si>
  <si>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</si>
  <si>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</si>
  <si>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</si>
  <si>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</si>
  <si>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</si>
  <si>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</si>
  <si>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</si>
  <si>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</si>
  <si>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</si>
  <si>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</si>
  <si>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</si>
  <si>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</si>
  <si>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</si>
  <si>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</si>
  <si>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</si>
  <si>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</si>
  <si>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</si>
  <si>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</si>
  <si>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</si>
  <si>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</si>
  <si>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</si>
  <si>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</si>
  <si>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</si>
  <si>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</si>
  <si>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</si>
  <si>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</si>
  <si>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</si>
  <si>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</si>
  <si>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</si>
  <si>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</si>
  <si>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</si>
  <si>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</si>
  <si>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</si>
  <si>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</si>
  <si>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</si>
  <si>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</si>
  <si>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</si>
  <si>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</si>
  <si>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</si>
  <si>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</si>
  <si>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</si>
  <si>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</si>
  <si>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</si>
  <si>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</si>
  <si>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</si>
  <si>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</si>
  <si>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</si>
  <si>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</si>
  <si>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</si>
  <si>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</si>
  <si>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</si>
  <si>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</si>
  <si>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</si>
  <si>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</si>
  <si>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</si>
  <si>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</si>
  <si>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</si>
  <si>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</si>
  <si>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</si>
  <si>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</si>
  <si>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</si>
  <si>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</si>
  <si>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</si>
  <si>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</si>
  <si>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</si>
  <si>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</si>
  <si>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</si>
  <si>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</si>
  <si>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</si>
  <si>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</si>
  <si>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</si>
  <si>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</si>
  <si>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</si>
  <si>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</si>
  <si>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</si>
  <si>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</si>
  <si>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</si>
  <si>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</si>
  <si>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</si>
  <si>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</si>
  <si>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</si>
  <si>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</si>
  <si>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</si>
  <si>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</si>
  <si>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</si>
  <si>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</si>
  <si>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</si>
  <si>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</si>
  <si>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</si>
  <si>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</si>
  <si>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</si>
  <si>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</si>
  <si>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</si>
  <si>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</si>
  <si>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</si>
  <si>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</si>
  <si>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</si>
  <si>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</si>
  <si>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</si>
  <si>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</si>
  <si>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</si>
  <si>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</si>
  <si>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</si>
  <si>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</si>
  <si>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</si>
  <si>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</si>
  <si>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</si>
  <si>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</si>
  <si>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</si>
  <si>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</si>
  <si>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</si>
  <si>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</si>
  <si>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</si>
  <si>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</si>
  <si>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</si>
  <si>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</si>
  <si>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</si>
  <si>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</si>
  <si>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</si>
  <si>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</si>
  <si>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</si>
  <si>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</si>
  <si>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</si>
  <si>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</si>
  <si>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</si>
  <si>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</si>
  <si>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</si>
  <si>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</si>
  <si>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</si>
  <si>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</si>
  <si>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</si>
  <si>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</si>
  <si>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</si>
  <si>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</si>
  <si>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</si>
  <si>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</si>
  <si>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</si>
  <si>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</si>
  <si>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</si>
  <si>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</si>
  <si>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</si>
  <si>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</si>
  <si>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</si>
  <si>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</si>
  <si>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</si>
  <si>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</si>
  <si>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</si>
  <si>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</si>
  <si>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</si>
  <si>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</si>
  <si>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</si>
  <si>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</si>
  <si>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</si>
  <si>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</si>
  <si>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</si>
  <si>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</si>
  <si>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</si>
  <si>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</si>
  <si>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</si>
  <si>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</si>
  <si>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</si>
  <si>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</si>
  <si>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</si>
  <si>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</si>
  <si>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</si>
  <si>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</si>
  <si>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</si>
  <si>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</si>
  <si>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</si>
  <si>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</si>
  <si>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</si>
  <si>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</si>
  <si>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</si>
  <si>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</si>
  <si>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</si>
  <si>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</si>
  <si>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</si>
  <si>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</si>
  <si>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</si>
  <si>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</si>
  <si>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</si>
  <si>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</si>
  <si>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</si>
  <si>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</si>
  <si>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</si>
  <si>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</si>
  <si>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</si>
  <si>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</si>
  <si>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</si>
  <si>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</si>
  <si>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</si>
  <si>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</si>
  <si>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</si>
  <si>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</si>
  <si>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</si>
  <si>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</si>
  <si>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</si>
  <si>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</si>
  <si>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</si>
  <si>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</si>
  <si>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</si>
  <si>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</si>
  <si>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</si>
  <si>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</si>
  <si>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</si>
  <si>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</si>
  <si>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</si>
  <si>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</si>
  <si>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</si>
  <si>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</si>
  <si>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</si>
  <si>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</si>
  <si>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</si>
  <si>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</si>
  <si>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</si>
  <si>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</si>
  <si>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</si>
  <si>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</si>
  <si>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</si>
  <si>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</si>
  <si>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</si>
  <si>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</si>
  <si>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</si>
  <si>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</si>
  <si>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</si>
  <si>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</si>
  <si>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</si>
  <si>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</si>
  <si>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</si>
  <si>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</si>
  <si>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</si>
  <si>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</si>
  <si>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</si>
  <si>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</si>
  <si>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</si>
  <si>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</si>
  <si>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</si>
  <si>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</si>
  <si>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</si>
  <si>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</si>
  <si>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</si>
  <si>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</si>
  <si>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</si>
  <si>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</si>
  <si>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</si>
  <si>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</si>
  <si>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</si>
  <si>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</si>
  <si>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</si>
  <si>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</si>
  <si>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</si>
  <si>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</si>
  <si>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</si>
  <si>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</si>
  <si>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</si>
  <si>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</si>
  <si>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</si>
  <si>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</si>
  <si>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</si>
  <si>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</si>
  <si>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</si>
  <si>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</si>
  <si>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</si>
  <si>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</si>
  <si>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</si>
  <si>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</si>
  <si>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</si>
  <si>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</si>
  <si>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</si>
  <si>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</si>
  <si>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</si>
  <si>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</si>
  <si>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</si>
  <si>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</si>
  <si>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</si>
  <si>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</si>
  <si>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</si>
  <si>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</si>
  <si>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</si>
  <si>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</si>
  <si>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</si>
  <si>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</si>
  <si>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</si>
  <si>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</si>
  <si>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</si>
  <si>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</si>
  <si>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</si>
  <si>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</si>
  <si>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</si>
  <si>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</si>
  <si>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</si>
  <si>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</si>
  <si>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</si>
  <si>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</si>
  <si>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</si>
  <si>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</si>
  <si>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</si>
  <si>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</si>
  <si>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</si>
  <si>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</si>
  <si>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</si>
  <si>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</si>
  <si>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</si>
  <si>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</si>
  <si>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</si>
  <si>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</si>
  <si>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</si>
  <si>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</si>
  <si>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</si>
  <si>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</si>
  <si>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</si>
  <si>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</si>
  <si>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</si>
  <si>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</si>
  <si>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</si>
  <si>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</si>
  <si>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</si>
  <si>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</si>
  <si>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</si>
  <si>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</si>
  <si>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</si>
  <si>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</si>
  <si>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</si>
  <si>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</si>
  <si>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</si>
  <si>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</si>
  <si>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</si>
  <si>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</si>
  <si>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</si>
  <si>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</si>
  <si>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</si>
  <si>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</si>
  <si>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</si>
  <si>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</si>
  <si>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</si>
  <si>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</si>
  <si>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</si>
  <si>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</si>
  <si>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</si>
  <si>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</si>
  <si>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</si>
  <si>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</si>
  <si>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</si>
  <si>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</si>
  <si>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</si>
  <si>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</si>
  <si>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</si>
  <si>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</si>
  <si>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</si>
  <si>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</si>
  <si>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</si>
  <si>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</si>
  <si>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</si>
  <si>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</si>
  <si>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</si>
  <si>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</si>
  <si>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</si>
  <si>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</si>
  <si>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</si>
  <si>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</si>
  <si>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</si>
  <si>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</si>
  <si>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</si>
  <si>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</si>
  <si>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</si>
  <si>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</si>
  <si>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</si>
  <si>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</si>
  <si>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</si>
  <si>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</si>
  <si>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</si>
  <si>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</si>
  <si>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</si>
  <si>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</si>
  <si>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</si>
  <si>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</si>
  <si>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</si>
  <si>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</si>
  <si>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</si>
  <si>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</si>
  <si>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</si>
  <si>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</si>
  <si>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</si>
  <si>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</si>
  <si>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</si>
  <si>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</si>
  <si>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</si>
  <si>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</si>
  <si>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</si>
  <si>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</si>
  <si>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</si>
  <si>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</si>
  <si>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</si>
  <si>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</si>
  <si>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</si>
  <si>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</si>
  <si>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</si>
  <si>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</si>
  <si>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</si>
  <si>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</si>
  <si>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</si>
  <si>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</si>
  <si>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</si>
  <si>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</si>
  <si>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</si>
  <si>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</si>
  <si>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</si>
  <si>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</si>
  <si>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</si>
  <si>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</si>
  <si>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</si>
  <si>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</si>
  <si>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</si>
  <si>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</si>
  <si>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</si>
  <si>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</si>
  <si>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</si>
  <si>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</si>
  <si>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</si>
  <si>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</si>
  <si>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</si>
  <si>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</si>
  <si>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</si>
  <si>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</si>
  <si>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</si>
  <si>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</si>
  <si>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</si>
  <si>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</si>
  <si>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</si>
  <si>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</si>
  <si>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</si>
  <si>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</si>
  <si>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</si>
  <si>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</si>
  <si>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</si>
  <si>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</si>
  <si>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</si>
  <si>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</si>
  <si>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</si>
  <si>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</si>
  <si>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</si>
  <si>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</si>
  <si>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</si>
  <si>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</si>
  <si>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</si>
  <si>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</si>
  <si>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</si>
  <si>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</si>
  <si>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</si>
  <si>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</si>
  <si>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</si>
  <si>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</si>
  <si>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</si>
  <si>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</si>
  <si>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</si>
  <si>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</si>
  <si>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</si>
  <si>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</si>
  <si>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</si>
  <si>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</si>
  <si>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</si>
  <si>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</si>
  <si>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</si>
  <si>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</si>
  <si>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</si>
  <si>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</si>
  <si>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</si>
  <si>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</si>
  <si>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</si>
  <si>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</si>
  <si>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</si>
  <si>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</si>
  <si>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</si>
  <si>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</si>
  <si>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</si>
  <si>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</si>
  <si>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</si>
  <si>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</si>
  <si>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</si>
  <si>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</si>
  <si>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</si>
  <si>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</si>
  <si>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</si>
  <si>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</si>
  <si>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</si>
  <si>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</si>
  <si>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</si>
  <si>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</si>
  <si>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</si>
  <si>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</si>
  <si>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</si>
  <si>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</si>
  <si>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</si>
  <si>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</si>
  <si>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</si>
  <si>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</si>
  <si>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</si>
  <si>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</si>
  <si>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</si>
  <si>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</si>
  <si>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</si>
  <si>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</si>
  <si>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</si>
  <si>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</si>
  <si>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</si>
  <si>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</si>
  <si>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</si>
  <si>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</si>
  <si>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</si>
  <si>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</si>
  <si>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</si>
  <si>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</si>
  <si>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</si>
  <si>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</si>
  <si>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</si>
  <si>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</si>
  <si>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</si>
  <si>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</si>
  <si>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</si>
  <si>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</si>
  <si>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</si>
  <si>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</si>
  <si>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</si>
  <si>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</si>
  <si>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</si>
  <si>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</si>
  <si>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</si>
  <si>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</si>
  <si>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</si>
  <si>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</si>
  <si>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</si>
  <si>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</si>
  <si>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</si>
  <si>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</si>
  <si>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</si>
  <si>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</si>
  <si>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</si>
  <si>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</si>
  <si>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</si>
  <si>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</si>
  <si>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</si>
  <si>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</si>
  <si>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</si>
  <si>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</si>
  <si>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</si>
  <si>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</si>
  <si>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</si>
  <si>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</si>
  <si>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</si>
  <si>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</si>
  <si>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</si>
  <si>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</si>
  <si>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</si>
  <si>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</si>
  <si>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</si>
  <si>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</si>
  <si>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</si>
  <si>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</si>
  <si>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</si>
  <si>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</si>
  <si>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</si>
  <si>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</si>
  <si>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</si>
  <si>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</si>
  <si>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</si>
  <si>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</si>
  <si>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</si>
  <si>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</si>
  <si>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</si>
  <si>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</si>
  <si>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</si>
  <si>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</si>
  <si>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</si>
  <si>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</si>
  <si>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</si>
  <si>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</si>
  <si>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</si>
  <si>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</si>
  <si>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</si>
  <si>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</si>
  <si>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</si>
  <si>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</si>
  <si>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</si>
  <si>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</si>
  <si>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</si>
  <si>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</si>
  <si>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</si>
  <si>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</si>
  <si>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</si>
  <si>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</si>
  <si>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</si>
  <si>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</si>
  <si>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</si>
  <si>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</si>
  <si>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</si>
  <si>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</si>
  <si>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</si>
  <si>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</si>
  <si>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</si>
  <si>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</si>
  <si>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</si>
  <si>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</si>
  <si>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</si>
  <si>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</si>
  <si>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</si>
  <si>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</si>
  <si>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</si>
  <si>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</si>
  <si>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</si>
  <si>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</si>
  <si>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</si>
  <si>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</si>
  <si>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</si>
  <si>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</si>
  <si>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</si>
  <si>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</si>
  <si>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</si>
  <si>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</si>
  <si>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</si>
  <si>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</si>
  <si>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</si>
  <si>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</si>
  <si>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</si>
  <si>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</si>
  <si>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</si>
  <si>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</si>
  <si>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</si>
  <si>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</si>
  <si>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</si>
  <si>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</si>
  <si>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</si>
  <si>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</si>
  <si>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</si>
  <si>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</si>
  <si>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</si>
  <si>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</si>
  <si>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</si>
  <si>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</si>
  <si>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</si>
  <si>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</si>
  <si>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</si>
  <si>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</si>
  <si>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</si>
  <si>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</si>
  <si>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</si>
  <si>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</si>
  <si>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</si>
  <si>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</si>
  <si>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</si>
  <si>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</si>
  <si>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</si>
  <si>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</si>
  <si>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</si>
  <si>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</si>
  <si>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</si>
  <si>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</si>
  <si>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</si>
  <si>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</si>
  <si>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</si>
  <si>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</si>
  <si>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</si>
  <si>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</si>
  <si>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</si>
  <si>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</si>
  <si>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</si>
  <si>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</si>
  <si>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</si>
  <si>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</si>
  <si>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</si>
  <si>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</si>
  <si>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</si>
  <si>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</si>
  <si>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</si>
  <si>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</si>
  <si>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</si>
  <si>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</si>
  <si>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</si>
  <si>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</si>
  <si>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</si>
  <si>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</si>
  <si>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</si>
  <si>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</si>
  <si>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</si>
  <si>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</si>
  <si>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</si>
  <si>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</si>
  <si>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</si>
  <si>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</si>
  <si>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</si>
  <si>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</si>
  <si>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</si>
  <si>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</si>
  <si>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</si>
  <si>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</si>
  <si>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</si>
  <si>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</si>
  <si>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</si>
  <si>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</si>
  <si>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</si>
  <si>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</si>
  <si>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</si>
  <si>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</si>
  <si>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</si>
  <si>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</si>
  <si>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</si>
  <si>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</si>
  <si>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</si>
  <si>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</si>
  <si>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</si>
  <si>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通州区宋庄镇尹各庄村新建科研用地</t>
    <phoneticPr fontId="6" type="noConversion"/>
  </si>
  <si>
    <t>汇天网络</t>
    <phoneticPr fontId="6" type="noConversion"/>
  </si>
  <si>
    <t>Ⅶ-通1</t>
  </si>
  <si>
    <t>1#</t>
  </si>
  <si>
    <t>2#</t>
  </si>
  <si>
    <t>3#</t>
  </si>
  <si>
    <t>4#</t>
  </si>
  <si>
    <t>5#</t>
  </si>
  <si>
    <t>6#</t>
  </si>
  <si>
    <t>7#</t>
  </si>
  <si>
    <t>8#</t>
  </si>
  <si>
    <t>9#</t>
  </si>
  <si>
    <t>10#</t>
  </si>
  <si>
    <t>11#</t>
  </si>
  <si>
    <t>12#</t>
  </si>
  <si>
    <t>13#</t>
  </si>
  <si>
    <t>14#</t>
  </si>
  <si>
    <t>15#</t>
  </si>
  <si>
    <t>16#</t>
  </si>
  <si>
    <t>17#</t>
  </si>
  <si>
    <t>18#</t>
  </si>
  <si>
    <t>地下车库</t>
  </si>
  <si>
    <t>现房</t>
  </si>
  <si>
    <t>在建</t>
  </si>
  <si>
    <t>已售</t>
    <phoneticPr fontId="3" type="noConversion"/>
  </si>
  <si>
    <t>否</t>
  </si>
  <si>
    <t>是</t>
  </si>
  <si>
    <t>科研用房</t>
  </si>
  <si>
    <t>科研用房</t>
    <phoneticPr fontId="16" type="noConversion"/>
  </si>
  <si>
    <t>地上</t>
  </si>
  <si>
    <t>公共服务</t>
  </si>
  <si>
    <t>地下</t>
  </si>
  <si>
    <t>科研用房</t>
    <phoneticPr fontId="7" type="noConversion"/>
  </si>
  <si>
    <t>地上科研</t>
    <phoneticPr fontId="134" type="noConversion"/>
  </si>
  <si>
    <t>地下科研</t>
    <phoneticPr fontId="134" type="noConversion"/>
  </si>
  <si>
    <t>设备用房</t>
    <phoneticPr fontId="134" type="noConversion"/>
  </si>
  <si>
    <t>汽车库</t>
    <phoneticPr fontId="134" type="noConversion"/>
  </si>
  <si>
    <t>合计</t>
    <phoneticPr fontId="134" type="noConversion"/>
  </si>
  <si>
    <t>人防面积</t>
    <phoneticPr fontId="134" type="noConversion"/>
  </si>
  <si>
    <t>面积依据</t>
    <phoneticPr fontId="134" type="noConversion"/>
  </si>
  <si>
    <t>用途</t>
    <phoneticPr fontId="134" type="noConversion"/>
  </si>
  <si>
    <t>楼层</t>
    <phoneticPr fontId="134" type="noConversion"/>
  </si>
  <si>
    <t>1#</t>
    <phoneticPr fontId="134" type="noConversion"/>
  </si>
  <si>
    <t>房产证</t>
    <phoneticPr fontId="134" type="noConversion"/>
  </si>
  <si>
    <t>非机房楼</t>
    <phoneticPr fontId="134" type="noConversion"/>
  </si>
  <si>
    <t>2#</t>
    <phoneticPr fontId="134" type="noConversion"/>
  </si>
  <si>
    <t>3#</t>
    <phoneticPr fontId="134" type="noConversion"/>
  </si>
  <si>
    <t>机房楼</t>
    <phoneticPr fontId="134" type="noConversion"/>
  </si>
  <si>
    <t>4#</t>
    <phoneticPr fontId="134" type="noConversion"/>
  </si>
  <si>
    <t>5#</t>
    <phoneticPr fontId="134" type="noConversion"/>
  </si>
  <si>
    <t>6#</t>
    <phoneticPr fontId="134" type="noConversion"/>
  </si>
  <si>
    <t>实测报告</t>
    <phoneticPr fontId="134" type="noConversion"/>
  </si>
  <si>
    <t>7#</t>
    <phoneticPr fontId="134" type="noConversion"/>
  </si>
  <si>
    <t>8#</t>
    <phoneticPr fontId="134" type="noConversion"/>
  </si>
  <si>
    <t>机房楼（已售）</t>
    <phoneticPr fontId="134" type="noConversion"/>
  </si>
  <si>
    <t>9#</t>
    <phoneticPr fontId="134" type="noConversion"/>
  </si>
  <si>
    <t>10#</t>
    <phoneticPr fontId="134" type="noConversion"/>
  </si>
  <si>
    <t>宿舍楼</t>
    <phoneticPr fontId="134" type="noConversion"/>
  </si>
  <si>
    <t>11#</t>
    <phoneticPr fontId="134" type="noConversion"/>
  </si>
  <si>
    <t>12#</t>
    <phoneticPr fontId="134" type="noConversion"/>
  </si>
  <si>
    <t>本次更新为现房，已取得房产证</t>
    <phoneticPr fontId="134" type="noConversion"/>
  </si>
  <si>
    <t>13#</t>
    <phoneticPr fontId="134" type="noConversion"/>
  </si>
  <si>
    <t>14#</t>
    <phoneticPr fontId="134" type="noConversion"/>
  </si>
  <si>
    <t>15#</t>
    <phoneticPr fontId="134" type="noConversion"/>
  </si>
  <si>
    <t>办公楼</t>
    <phoneticPr fontId="134" type="noConversion"/>
  </si>
  <si>
    <t>16#</t>
    <phoneticPr fontId="134" type="noConversion"/>
  </si>
  <si>
    <t>17#</t>
    <phoneticPr fontId="134" type="noConversion"/>
  </si>
  <si>
    <t>18#</t>
    <phoneticPr fontId="134" type="noConversion"/>
  </si>
  <si>
    <t>地下车库</t>
    <phoneticPr fontId="134" type="noConversion"/>
  </si>
  <si>
    <t>按预测报告比例计算地下部分用途面积</t>
    <phoneticPr fontId="134" type="noConversion"/>
  </si>
  <si>
    <t>现房：</t>
    <phoneticPr fontId="134" type="noConversion"/>
  </si>
  <si>
    <t>1、2、3、4、5、7、9、11、12、13、14、15、17、18</t>
    <phoneticPr fontId="134" type="noConversion"/>
  </si>
  <si>
    <t>地上</t>
    <phoneticPr fontId="134" type="noConversion"/>
  </si>
  <si>
    <t>地下</t>
    <phoneticPr fontId="134" type="noConversion"/>
  </si>
  <si>
    <t>建安</t>
    <phoneticPr fontId="134" type="noConversion"/>
  </si>
  <si>
    <t>租金</t>
    <phoneticPr fontId="134" type="noConversion"/>
  </si>
  <si>
    <t>机房楼</t>
    <phoneticPr fontId="134" type="noConversion"/>
  </si>
  <si>
    <t>非机房楼</t>
    <phoneticPr fontId="134" type="noConversion"/>
  </si>
  <si>
    <t>办公楼</t>
    <phoneticPr fontId="134" type="noConversion"/>
  </si>
  <si>
    <t>租金</t>
    <phoneticPr fontId="134" type="noConversion"/>
  </si>
  <si>
    <t>机房楼租金</t>
    <phoneticPr fontId="134" type="noConversion"/>
  </si>
  <si>
    <t>单组机柜租金</t>
    <phoneticPr fontId="134" type="noConversion"/>
  </si>
  <si>
    <t>元/月</t>
    <phoneticPr fontId="134" type="noConversion"/>
  </si>
  <si>
    <t>机柜数</t>
    <phoneticPr fontId="134" type="noConversion"/>
  </si>
  <si>
    <t>9层楼</t>
    <phoneticPr fontId="134" type="noConversion"/>
  </si>
  <si>
    <t>组</t>
    <phoneticPr fontId="134" type="noConversion"/>
  </si>
  <si>
    <t>租金</t>
    <phoneticPr fontId="134" type="noConversion"/>
  </si>
  <si>
    <t>6层楼</t>
    <phoneticPr fontId="134" type="noConversion"/>
  </si>
  <si>
    <t>单价</t>
    <phoneticPr fontId="134" type="noConversion"/>
  </si>
  <si>
    <t>机房楼数</t>
    <phoneticPr fontId="134" type="noConversion"/>
  </si>
  <si>
    <t>在建：</t>
    <phoneticPr fontId="134" type="noConversion"/>
  </si>
  <si>
    <r>
      <t>6、</t>
    </r>
    <r>
      <rPr>
        <sz val="11"/>
        <color theme="1"/>
        <rFont val="宋体"/>
        <family val="3"/>
        <charset val="134"/>
        <scheme val="minor"/>
      </rPr>
      <t>10、16</t>
    </r>
    <phoneticPr fontId="134" type="noConversion"/>
  </si>
  <si>
    <t>工程进度</t>
    <phoneticPr fontId="134" type="noConversion"/>
  </si>
  <si>
    <t>办公楼</t>
    <phoneticPr fontId="134" type="noConversion"/>
  </si>
  <si>
    <t>宿舍楼</t>
    <phoneticPr fontId="134" type="noConversion"/>
  </si>
  <si>
    <t>机房楼租金</t>
    <phoneticPr fontId="134" type="noConversion"/>
  </si>
  <si>
    <t>机柜数</t>
    <phoneticPr fontId="134" type="noConversion"/>
  </si>
  <si>
    <t>6号楼1栋</t>
    <phoneticPr fontId="134" type="noConversion"/>
  </si>
  <si>
    <t>租金</t>
    <phoneticPr fontId="134" type="noConversion"/>
  </si>
  <si>
    <t>单价</t>
    <phoneticPr fontId="134" type="noConversion"/>
  </si>
  <si>
    <t>工程进度</t>
  </si>
  <si>
    <t>收益法</t>
  </si>
  <si>
    <t>成本法</t>
  </si>
  <si>
    <t>假设开发法</t>
  </si>
  <si>
    <t>押一</t>
  </si>
  <si>
    <t>钢混</t>
  </si>
  <si>
    <t>非生产用房</t>
  </si>
  <si>
    <t>宗地容积率</t>
  </si>
  <si>
    <t>通路</t>
  </si>
  <si>
    <t>通电</t>
  </si>
  <si>
    <t>通讯</t>
  </si>
  <si>
    <t>通上水</t>
  </si>
  <si>
    <t>通下水</t>
  </si>
  <si>
    <t>平整</t>
  </si>
  <si>
    <t>与级别开发程度不一致</t>
  </si>
  <si>
    <t>中心城区以外</t>
  </si>
  <si>
    <t>一般</t>
  </si>
  <si>
    <t>较好</t>
  </si>
  <si>
    <t>较差</t>
  </si>
  <si>
    <t>未包含在土地购买价格中</t>
  </si>
  <si>
    <t>全部缴纳</t>
  </si>
  <si>
    <t>已包含在土地取得成本中</t>
  </si>
  <si>
    <t>总价</t>
  </si>
  <si>
    <t>成本比率</t>
  </si>
  <si>
    <t>在建（套用方法）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</si>
</sst>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
      <sz val="1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0" borderId="1" xfId="0" applyFont="1" applyBorder="1" applyAlignment="1" applyProtection="1">
      <alignment horizontal="center" vertical="center" wrapText="1"/>
      <protection locked="0"/>
    </xf>
    <xf numFmtId="0" fontId="44" fillId="16" borderId="2" xfId="0" applyFont="1" applyFill="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xf>
    <xf numFmtId="0" fontId="0" fillId="0" borderId="0" xfId="0" applyFont="1" applyAlignment="1">
      <alignment horizontal="center" vertical="center"/>
    </xf>
    <xf numFmtId="0" fontId="95" fillId="0" borderId="0" xfId="0" applyFont="1">
      <alignment vertical="center"/>
    </xf>
    <xf numFmtId="0" fontId="95" fillId="5" borderId="0" xfId="0" applyFont="1" applyFill="1" applyAlignment="1">
      <alignment horizontal="center" vertical="center"/>
    </xf>
    <xf numFmtId="0" fontId="271" fillId="5" borderId="0" xfId="0" applyFont="1" applyFill="1" applyAlignment="1">
      <alignment horizontal="center" vertical="center"/>
    </xf>
    <xf numFmtId="0" fontId="95" fillId="16" borderId="0" xfId="0" applyFont="1" applyFill="1" applyAlignment="1">
      <alignment horizontal="center" vertical="center"/>
    </xf>
    <xf numFmtId="0" fontId="0" fillId="16" borderId="0" xfId="0" applyFill="1">
      <alignment vertical="center"/>
    </xf>
    <xf numFmtId="0" fontId="95" fillId="16" borderId="0" xfId="0" applyFont="1" applyFill="1">
      <alignment vertical="center"/>
    </xf>
    <xf numFmtId="0" fontId="95" fillId="8" borderId="0" xfId="0" applyFont="1" applyFill="1" applyAlignment="1">
      <alignment horizontal="center" vertical="center"/>
    </xf>
    <xf numFmtId="0" fontId="0" fillId="8" borderId="0" xfId="0" applyFill="1">
      <alignment vertical="center"/>
    </xf>
    <xf numFmtId="0" fontId="95" fillId="8" borderId="0" xfId="0" applyFont="1" applyFill="1">
      <alignment vertical="center"/>
    </xf>
    <xf numFmtId="0" fontId="0" fillId="0" borderId="0" xfId="0" applyFill="1">
      <alignment vertical="center"/>
    </xf>
    <xf numFmtId="0" fontId="270" fillId="5" borderId="0" xfId="0" applyFont="1" applyFill="1">
      <alignment vertical="center"/>
    </xf>
    <xf numFmtId="0" fontId="95" fillId="22" borderId="0" xfId="0" applyFont="1" applyFill="1" applyAlignment="1">
      <alignment horizontal="center" vertical="center"/>
    </xf>
    <xf numFmtId="0" fontId="95" fillId="5" borderId="0" xfId="0" applyFont="1" applyFill="1">
      <alignment vertical="center"/>
    </xf>
    <xf numFmtId="0" fontId="0" fillId="5" borderId="0" xfId="0" applyFill="1">
      <alignment vertical="center"/>
    </xf>
    <xf numFmtId="9" fontId="0" fillId="0" borderId="0" xfId="0" applyNumberFormat="1">
      <alignment vertical="center"/>
    </xf>
    <xf numFmtId="0" fontId="271" fillId="12"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7" fillId="16" borderId="0"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北京市通州区宋庄镇尹各庄村新建科研用地房地产抵押价值预评估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受贵公司委托，我公司对北京市通州区宋庄镇尹各庄村新建科研用地房地产抵押价值进行了预评估。</v>
      </c>
    </row>
    <row r="7" spans="1:2" s="1202" customFormat="1">
      <c r="A7" s="1200" t="s">
        <v>566</v>
      </c>
      <c r="B7" s="1201" t="str">
        <f>'预评函-1'!A7</f>
        <v>估价对象为北京市通州区宋庄镇尹各庄村新建科研用地房地产，为汇天网络所有。根据《国有土地使用证》[]，估价对象（分摊）出让国有建设用地使用权面积为20455.65平方米，建筑面积为59427.91平方米。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通州区宋庄镇尹各庄村新建科研用地房地产,属汇天网络开发建设的，该项目尚在开发建设中。根据《国有土地使用证》[]，估价对象（分摊）出让国有建设用地使用权面积为20455.65平方米，规划建筑面积为59427.91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2024年12月5日（评估专业人员实地查勘之日）</v>
      </c>
    </row>
    <row r="13" spans="1:2" s="1202" customFormat="1">
      <c r="A13" s="1200" t="s">
        <v>529</v>
      </c>
      <c r="B13" s="1201" t="str">
        <f>'预评函-1'!A18</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本次评估采用的主估价方法为成本法和假设开发法。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111981</v>
      </c>
    </row>
    <row r="21" spans="1:2" s="1202" customFormat="1">
      <c r="A21" s="1200" t="s">
        <v>537</v>
      </c>
      <c r="B21" s="1201">
        <f ca="1">'预评函-2'!D7</f>
        <v>18843</v>
      </c>
    </row>
    <row r="22" spans="1:2" s="1202" customFormat="1">
      <c r="A22" s="1200" t="s">
        <v>538</v>
      </c>
      <c r="B22" s="1201" t="str">
        <f ca="1">'预评函-2'!D6</f>
        <v>壹拾壹亿壹仟玖佰捌拾壹万元整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111981</v>
      </c>
    </row>
    <row r="31" spans="1:2" s="1202" customFormat="1">
      <c r="A31" s="1200" t="s">
        <v>576</v>
      </c>
      <c r="B31" s="1201">
        <f ca="1">'预评函-2'!D15</f>
        <v>18843</v>
      </c>
    </row>
    <row r="32" spans="1:2" s="1202" customFormat="1">
      <c r="A32" s="1200" t="s">
        <v>543</v>
      </c>
      <c r="B32" s="1201" t="str">
        <f ca="1">'预评函-2'!D14</f>
        <v>壹拾壹亿壹仟玖佰捌拾壹万元整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北京市通州区宋庄镇尹各庄村新建科研用地房地产</v>
      </c>
    </row>
    <row r="42" spans="1:2" s="1202" customFormat="1">
      <c r="A42" s="1200" t="s">
        <v>590</v>
      </c>
      <c r="B42" s="1201" t="str">
        <f>'预评函-3'!B2</f>
        <v>建筑面积</v>
      </c>
    </row>
    <row r="43" spans="1:2" s="1202" customFormat="1">
      <c r="A43" s="1200" t="s">
        <v>591</v>
      </c>
      <c r="B43" s="1201">
        <f>'预评函-3'!B4</f>
        <v>59427.91</v>
      </c>
    </row>
    <row r="44" spans="1:2" s="1202" customFormat="1">
      <c r="A44" s="1200" t="s">
        <v>575</v>
      </c>
      <c r="B44" s="1201" t="str">
        <f>'预评函-3'!C2</f>
        <v>(分摊)土地面积</v>
      </c>
    </row>
    <row r="45" spans="1:2" s="1202" customFormat="1">
      <c r="A45" s="1200" t="s">
        <v>547</v>
      </c>
      <c r="B45" s="1201">
        <f>'预评函-3'!C4</f>
        <v>20455.650000000001</v>
      </c>
    </row>
    <row r="46" spans="1:2" s="1202" customFormat="1">
      <c r="A46" s="1200" t="s">
        <v>573</v>
      </c>
      <c r="B46" s="1201" t="str">
        <f>'预评函-3'!D2</f>
        <v>出让国有建设用地使用权价值</v>
      </c>
    </row>
    <row r="47" spans="1:2" s="1202" customFormat="1">
      <c r="A47" s="1200" t="s">
        <v>548</v>
      </c>
      <c r="B47" s="1201">
        <f ca="1">'预评函-3'!D4</f>
        <v>32474</v>
      </c>
    </row>
    <row r="48" spans="1:2" s="1202" customFormat="1">
      <c r="A48" s="1200" t="s">
        <v>549</v>
      </c>
      <c r="B48" s="1201">
        <f ca="1">'预评函-3'!E4</f>
        <v>5464</v>
      </c>
    </row>
    <row r="49" spans="1:2" s="1202" customFormat="1">
      <c r="A49" s="1200" t="s">
        <v>550</v>
      </c>
      <c r="B49" s="1201" t="str">
        <f ca="1">'预评函-3'!D5</f>
        <v>叁亿贰仟肆佰柒拾肆万元整</v>
      </c>
    </row>
    <row r="50" spans="1:2" s="1202" customFormat="1">
      <c r="A50" s="1200" t="s">
        <v>574</v>
      </c>
      <c r="B50" s="1201" t="str">
        <f>'预评函-3'!F2</f>
        <v>在建建筑物价值</v>
      </c>
    </row>
    <row r="51" spans="1:2" s="1202" customFormat="1">
      <c r="A51" s="1200" t="s">
        <v>551</v>
      </c>
      <c r="B51" s="1201">
        <f ca="1">'预评函-3'!F4</f>
        <v>79507</v>
      </c>
    </row>
    <row r="52" spans="1:2" s="1202" customFormat="1">
      <c r="A52" s="1200" t="s">
        <v>552</v>
      </c>
      <c r="B52" s="1201">
        <f ca="1">'预评函-3'!G4</f>
        <v>13379</v>
      </c>
    </row>
    <row r="53" spans="1:2" s="1202" customFormat="1">
      <c r="A53" s="1200" t="s">
        <v>580</v>
      </c>
      <c r="B53" s="1201" t="str">
        <f ca="1">'预评函-3'!F5</f>
        <v>柒亿玖仟伍佰零柒万元整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3352</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3338</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3339</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3340</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3341</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3342</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3343</v>
      </c>
    </row>
    <row r="8" spans="1:23">
      <c r="A8" s="1545" t="s">
        <v>1026</v>
      </c>
      <c r="B8" s="1545" t="s">
        <v>1027</v>
      </c>
      <c r="C8" s="1546" t="s">
        <v>319</v>
      </c>
      <c r="F8" s="1547" t="s">
        <v>1028</v>
      </c>
      <c r="H8" s="1547" t="s">
        <v>2579</v>
      </c>
      <c r="I8" s="1547" t="s">
        <v>3344</v>
      </c>
    </row>
    <row r="9" spans="1:23">
      <c r="A9" s="1545" t="s">
        <v>1029</v>
      </c>
      <c r="B9" s="1545" t="s">
        <v>1030</v>
      </c>
      <c r="C9" s="1546" t="s">
        <v>320</v>
      </c>
      <c r="F9" s="1547" t="s">
        <v>1031</v>
      </c>
      <c r="H9" s="1547"/>
      <c r="I9" s="1550" t="s">
        <v>3345</v>
      </c>
    </row>
    <row r="10" spans="1:23">
      <c r="A10" s="1545" t="s">
        <v>1032</v>
      </c>
      <c r="B10" s="1545" t="s">
        <v>1033</v>
      </c>
      <c r="C10" s="1546" t="s">
        <v>321</v>
      </c>
      <c r="F10" s="1547" t="s">
        <v>2580</v>
      </c>
      <c r="I10" s="1550" t="s">
        <v>3346</v>
      </c>
    </row>
    <row r="11" spans="1:23">
      <c r="A11" s="1545" t="s">
        <v>1034</v>
      </c>
      <c r="B11" s="1545" t="s">
        <v>1035</v>
      </c>
      <c r="C11" s="1546" t="s">
        <v>322</v>
      </c>
      <c r="F11" s="1547" t="s">
        <v>13</v>
      </c>
      <c r="I11" s="1550" t="s">
        <v>3347</v>
      </c>
    </row>
    <row r="12" spans="1:23">
      <c r="A12" s="1545" t="s">
        <v>1036</v>
      </c>
      <c r="B12" s="1545" t="s">
        <v>1037</v>
      </c>
      <c r="C12" s="1546" t="s">
        <v>323</v>
      </c>
      <c r="I12" s="1550" t="s">
        <v>3348</v>
      </c>
    </row>
    <row r="13" spans="1:23">
      <c r="A13" s="1545" t="s">
        <v>1038</v>
      </c>
      <c r="B13" s="1545" t="s">
        <v>1039</v>
      </c>
      <c r="C13" s="1546" t="s">
        <v>324</v>
      </c>
      <c r="I13" s="1550" t="s">
        <v>3349</v>
      </c>
    </row>
    <row r="14" spans="1:23">
      <c r="A14" s="1545" t="s">
        <v>1040</v>
      </c>
      <c r="B14" s="1545" t="s">
        <v>1041</v>
      </c>
      <c r="C14" s="1547" t="s">
        <v>13</v>
      </c>
      <c r="I14" s="1550" t="s">
        <v>3350</v>
      </c>
    </row>
    <row r="15" spans="1:23">
      <c r="A15" s="1545" t="s">
        <v>1042</v>
      </c>
      <c r="B15" s="1545" t="s">
        <v>1043</v>
      </c>
      <c r="C15" s="1546"/>
      <c r="I15" s="1550" t="s">
        <v>3351</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3421</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3" t="s">
        <v>385</v>
      </c>
      <c r="C54" s="1550" t="s">
        <v>583</v>
      </c>
    </row>
    <row r="55" spans="1:4">
      <c r="A55" s="3509"/>
      <c r="B55" s="1553" t="s">
        <v>386</v>
      </c>
      <c r="C55" s="1550" t="s">
        <v>584</v>
      </c>
    </row>
    <row r="56" spans="1:4">
      <c r="A56" s="3509"/>
      <c r="B56" s="1553" t="s">
        <v>387</v>
      </c>
      <c r="C56" s="1550" t="s">
        <v>588</v>
      </c>
    </row>
    <row r="57" spans="1:4">
      <c r="A57" s="350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0" t="s">
        <v>2582</v>
      </c>
      <c r="J2" s="3510"/>
      <c r="K2" s="3510"/>
      <c r="L2" s="3510"/>
      <c r="M2" s="3510"/>
      <c r="N2" s="3510"/>
      <c r="O2" s="3510"/>
      <c r="P2" s="3510"/>
      <c r="Q2" s="3510"/>
      <c r="R2" s="3510"/>
    </row>
    <row r="3" spans="1:18">
      <c r="A3" s="3017" t="s">
        <v>2503</v>
      </c>
      <c r="B3" s="3018">
        <f>项目基本情况!D3</f>
        <v>45631</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2.0299999999999998</v>
      </c>
      <c r="D5" s="3022">
        <f>IF(ISERROR(ROUND(POWER(1+E5,A5-C5)*(POWER(1+E5,C5)-1)/(POWER(1+E5,A5)-1),3)),0,ROUND(POWER(1+E5,A5-C5)*(POWER(1+E5,C5)-1)/(POWER(1+E5,A5)-1),4))</f>
        <v>9.6699999999999994E-2</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12.04</v>
      </c>
      <c r="D6" s="3022">
        <f>IF(ISERROR(ROUND(POWER(1+E6,A6-C6)*(POWER(1+E6,C6)-1)/(POWER(1+E6,A6)-1),3)),0,ROUND(POWER(1+E6,A6-C6)*(POWER(1+E6,C6)-1)/(POWER(1+E6,A6)-1),4))</f>
        <v>0.438</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32.06</v>
      </c>
      <c r="D7" s="3022">
        <f>IF(ISERROR(ROUND(POWER(1+E7,A7-C7)*(POWER(1+E7,C7)-1)/(POWER(1+E7,A7)-1),3)),0,ROUND(POWER(1+E7,A7-C7)*(POWER(1+E7,C7)-1)/(POWER(1+E7,A7)-1),4))</f>
        <v>0.76470000000000005</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C41" sqref="C41:C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9"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520"/>
      <c r="D1" s="3520"/>
      <c r="E1" s="3520"/>
      <c r="F1" s="3520"/>
      <c r="G1" s="3520"/>
      <c r="H1" s="3520"/>
      <c r="I1" s="3521"/>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744"/>
      <c r="U1" s="1744"/>
      <c r="V1" s="1744"/>
      <c r="W1" s="1744"/>
      <c r="X1" s="1744"/>
      <c r="Y1" s="1744"/>
      <c r="Z1" s="1744"/>
      <c r="AA1" s="1744"/>
      <c r="AB1" s="1744"/>
    </row>
    <row r="2" spans="1:30">
      <c r="A2" s="2366" t="s">
        <v>2169</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北京市通州区宋庄镇尹各庄村新建科研用地房地产</v>
      </c>
      <c r="T2" s="1744"/>
      <c r="U2" s="1744"/>
      <c r="V2" s="1744"/>
      <c r="W2" s="1744"/>
      <c r="X2" s="1744"/>
      <c r="Y2" s="1744"/>
      <c r="Z2" s="1744"/>
      <c r="AA2" s="1744"/>
      <c r="AB2" s="1744"/>
    </row>
    <row r="3" spans="1:30">
      <c r="A3" s="302" t="s">
        <v>2170</v>
      </c>
      <c r="B3" s="2372">
        <v>45631</v>
      </c>
      <c r="C3" s="2373" t="s">
        <v>2171</v>
      </c>
      <c r="D3" s="2372">
        <f>B3</f>
        <v>45631</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7"/>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3389</v>
      </c>
      <c r="C8" s="2389"/>
      <c r="D8" s="3522" t="s">
        <v>2177</v>
      </c>
      <c r="E8" s="2390" t="s">
        <v>3390</v>
      </c>
      <c r="F8" s="2391"/>
      <c r="G8" s="2661"/>
      <c r="H8" s="2661"/>
      <c r="I8" s="2661"/>
      <c r="J8" s="2437"/>
      <c r="K8" s="2612"/>
      <c r="L8" s="2611"/>
      <c r="M8" s="2611"/>
      <c r="N8" s="2437"/>
      <c r="O8" s="2448"/>
      <c r="P8" s="2437"/>
      <c r="Q8" s="2437"/>
      <c r="R8" s="2437"/>
    </row>
    <row r="9" spans="1:30" ht="13.5" thickBot="1">
      <c r="A9" s="2392" t="s">
        <v>2178</v>
      </c>
      <c r="B9" s="2393" t="s">
        <v>3390</v>
      </c>
      <c r="C9" s="2394"/>
      <c r="D9" s="3523"/>
      <c r="E9" s="2393" t="s">
        <v>43</v>
      </c>
      <c r="F9" s="2395"/>
      <c r="G9" s="2663"/>
      <c r="H9" s="2663"/>
      <c r="I9" s="2663"/>
      <c r="J9" s="2437"/>
      <c r="K9" s="2614"/>
      <c r="L9" s="2611"/>
      <c r="M9" s="2611"/>
      <c r="N9" s="2437"/>
      <c r="O9" s="2448"/>
      <c r="P9" s="2437"/>
      <c r="Q9" s="2437"/>
      <c r="R9" s="2437"/>
    </row>
    <row r="10" spans="1:30" ht="13.5" thickTop="1">
      <c r="A10" s="2396" t="s">
        <v>2179</v>
      </c>
      <c r="B10" s="2397" t="s">
        <v>3391</v>
      </c>
      <c r="C10" s="2398"/>
      <c r="D10" s="2381"/>
      <c r="E10" s="2399" t="s">
        <v>2180</v>
      </c>
      <c r="F10" s="3446" t="s">
        <v>3393</v>
      </c>
      <c r="G10" s="2664"/>
      <c r="H10" s="2665"/>
      <c r="I10" s="2666"/>
      <c r="J10" s="2437"/>
      <c r="K10" s="2614"/>
      <c r="L10" s="2611"/>
      <c r="M10" s="2611"/>
      <c r="N10" s="2437"/>
      <c r="O10" s="2448"/>
      <c r="P10" s="2437"/>
      <c r="Q10" s="2437"/>
      <c r="R10" s="2437"/>
    </row>
    <row r="11" spans="1:30">
      <c r="A11" s="2400" t="s">
        <v>2181</v>
      </c>
      <c r="B11" s="2401" t="s">
        <v>3392</v>
      </c>
      <c r="C11" s="3447" t="s">
        <v>3394</v>
      </c>
      <c r="D11" s="2402"/>
      <c r="E11" s="2369"/>
      <c r="F11" s="2369"/>
      <c r="G11" s="2369"/>
      <c r="H11" s="2369"/>
      <c r="I11" s="2369"/>
      <c r="J11" s="3058"/>
      <c r="K11" s="3057"/>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6" t="s">
        <v>2578</v>
      </c>
      <c r="J12" s="3059"/>
      <c r="K12" s="2611"/>
      <c r="L12" s="2611"/>
      <c r="M12" s="2437"/>
      <c r="N12" s="2448"/>
      <c r="O12" s="2437"/>
      <c r="P12" s="2437"/>
      <c r="Q12" s="2437"/>
      <c r="AD12" s="1744"/>
    </row>
    <row r="13" spans="1:30">
      <c r="A13" s="3420" t="s">
        <v>3333</v>
      </c>
      <c r="B13" s="2405" t="s">
        <v>2190</v>
      </c>
      <c r="C13" s="856"/>
      <c r="D13" s="856"/>
      <c r="E13" s="856"/>
      <c r="F13" s="856">
        <f>I13</f>
        <v>59165</v>
      </c>
      <c r="G13" s="856"/>
      <c r="H13" s="856"/>
      <c r="I13" s="856">
        <v>59165</v>
      </c>
      <c r="J13" s="3059"/>
      <c r="K13" s="2611"/>
      <c r="L13" s="2611"/>
      <c r="M13" s="2437"/>
      <c r="N13" s="2448"/>
      <c r="O13" s="2437"/>
      <c r="P13" s="2437"/>
      <c r="Q13" s="2437"/>
      <c r="AD13" s="1744"/>
    </row>
    <row r="14" spans="1:30">
      <c r="A14" s="1081"/>
      <c r="B14" s="2405" t="s">
        <v>2191</v>
      </c>
      <c r="C14" s="2406"/>
      <c r="D14" s="2406"/>
      <c r="E14" s="2406"/>
      <c r="F14" s="2406">
        <v>50</v>
      </c>
      <c r="G14" s="2406"/>
      <c r="H14" s="2406"/>
      <c r="I14" s="2406">
        <v>50</v>
      </c>
      <c r="J14" s="3060"/>
      <c r="K14" s="2611"/>
      <c r="L14" s="2611"/>
      <c r="M14" s="2437"/>
      <c r="N14" s="2448"/>
      <c r="O14" s="2437"/>
      <c r="P14" s="2437"/>
      <c r="Q14" s="2437"/>
      <c r="AD14" s="1744"/>
    </row>
    <row r="15" spans="1:30">
      <c r="A15" s="320"/>
      <c r="B15" s="2407" t="s">
        <v>2192</v>
      </c>
      <c r="C15" s="2408" t="str">
        <f>IF(A13="出让",IF(C13="","",ROUNDDOWN(MIN((C13-$D$3)/365,C14),2)),C14)</f>
        <v/>
      </c>
      <c r="D15" s="2408" t="str">
        <f>IF(A13="出让",IF(D13="","",ROUNDDOWN(MIN((D13-$D$3)/365,D14),2)),D14)</f>
        <v/>
      </c>
      <c r="E15" s="2408" t="str">
        <f>IF(A13="出让",IF(E13="","",ROUNDDOWN(MIN((E13-$D$3)/365,E14),2)),E14)</f>
        <v/>
      </c>
      <c r="F15" s="2408">
        <f>IF(A13="出让",IF(F13="","",ROUNDDOWN(MIN((F13-$D$3)/365,F14),2)),F14)</f>
        <v>37.07</v>
      </c>
      <c r="G15" s="2408" t="str">
        <f>IF(A13="出让",IF(G13="","",ROUNDDOWN(MIN((G13-$D$3)/365,G14),2)),G14)</f>
        <v/>
      </c>
      <c r="H15" s="2408" t="str">
        <f>IF(A13="出让",IF(H13="","",ROUNDDOWN(MIN((H13-$D$3)/365,H14),2)),H14)</f>
        <v/>
      </c>
      <c r="I15" s="2408">
        <f>IF(A13="出让",IF(I13="","",ROUNDDOWN(MIN((I13-$D$3)/365,I14),2)),I14)</f>
        <v>37.07</v>
      </c>
      <c r="J15" s="3061"/>
      <c r="K15" s="2449"/>
      <c r="L15" s="2449"/>
      <c r="M15" s="2507"/>
      <c r="N15" s="2449"/>
      <c r="O15" s="2507"/>
      <c r="P15" s="2437"/>
      <c r="Q15" s="2437"/>
      <c r="AD15" s="1744"/>
    </row>
    <row r="16" spans="1:30">
      <c r="A16" s="2399" t="s">
        <v>2193</v>
      </c>
      <c r="B16" s="3529"/>
      <c r="C16" s="3530"/>
      <c r="D16" s="3531"/>
      <c r="E16" s="2411" t="s">
        <v>2194</v>
      </c>
      <c r="F16" s="3532"/>
      <c r="G16" s="3533"/>
      <c r="H16" s="3533"/>
      <c r="I16" s="3534"/>
      <c r="J16" s="2437"/>
      <c r="K16" s="2615"/>
      <c r="L16" s="2449"/>
      <c r="M16" s="2449"/>
      <c r="N16" s="2507"/>
      <c r="O16" s="2449"/>
      <c r="P16" s="2507"/>
      <c r="Q16" s="2437"/>
      <c r="R16" s="2437"/>
    </row>
    <row r="17" spans="1:28">
      <c r="A17" s="313" t="s">
        <v>2195</v>
      </c>
      <c r="B17" s="302" t="s">
        <v>2196</v>
      </c>
      <c r="C17" s="8">
        <f>'数据-汇总表'!E3</f>
        <v>59427.91</v>
      </c>
      <c r="D17" s="2321" t="s">
        <v>2197</v>
      </c>
      <c r="E17" s="3535" t="s">
        <v>2198</v>
      </c>
      <c r="F17" s="3536"/>
      <c r="G17" s="3536"/>
      <c r="H17" s="3536"/>
      <c r="I17" s="3537"/>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20455.650000000001</v>
      </c>
      <c r="D18" s="1092" t="s">
        <v>2201</v>
      </c>
      <c r="E18" s="3538" t="s">
        <v>2202</v>
      </c>
      <c r="F18" s="3539"/>
      <c r="G18" s="3539"/>
      <c r="H18" s="3539"/>
      <c r="I18" s="3540"/>
      <c r="J18" s="2437"/>
      <c r="K18" s="2616"/>
      <c r="L18" s="2449"/>
      <c r="M18" s="2449"/>
      <c r="N18" s="2507"/>
      <c r="O18" s="2449"/>
      <c r="P18" s="2507"/>
      <c r="Q18" s="2437"/>
      <c r="R18" s="2437"/>
      <c r="S18" s="2437"/>
      <c r="T18" s="2437"/>
      <c r="U18" s="2437"/>
      <c r="V18" s="2437"/>
    </row>
    <row r="19" spans="1:28" ht="37.5"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25" t="s">
        <v>2206</v>
      </c>
      <c r="C20" s="3526"/>
      <c r="D20" s="3527" t="s">
        <v>2207</v>
      </c>
      <c r="E20" s="3528"/>
      <c r="F20" s="2645" t="s">
        <v>1056</v>
      </c>
      <c r="G20" s="2662"/>
      <c r="H20" s="2662"/>
      <c r="I20" s="2662"/>
      <c r="J20" s="2437"/>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2209</v>
      </c>
      <c r="C21" s="2632" t="s">
        <v>1057</v>
      </c>
      <c r="D21" s="1567" t="s">
        <v>2210</v>
      </c>
      <c r="E21" s="2633" t="s">
        <v>1057</v>
      </c>
      <c r="F21" s="2646"/>
      <c r="G21" s="2662"/>
      <c r="H21" s="2662"/>
      <c r="I21" s="2662"/>
      <c r="J21" s="2437"/>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2211</v>
      </c>
      <c r="C22" s="2632" t="s">
        <v>1058</v>
      </c>
      <c r="D22" s="2661"/>
      <c r="E22" s="2661"/>
      <c r="F22" s="2661"/>
      <c r="G22" s="2662"/>
      <c r="H22" s="2662"/>
      <c r="I22" s="2662"/>
      <c r="J22" s="2437"/>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2"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2"/>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2"/>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3"/>
      <c r="B30" s="302" t="s">
        <v>2218</v>
      </c>
      <c r="C30" s="3514"/>
      <c r="D30" s="3515"/>
      <c r="E30" s="2662"/>
      <c r="F30" s="2662"/>
      <c r="G30" s="2662"/>
      <c r="H30" s="2662"/>
      <c r="I30" s="2662"/>
      <c r="J30" s="2437"/>
      <c r="K30" s="2614"/>
      <c r="L30" s="2611"/>
      <c r="M30" s="2611"/>
      <c r="N30" s="2437"/>
      <c r="O30" s="2448"/>
      <c r="P30" s="2437"/>
      <c r="Q30" s="2437"/>
      <c r="R30" s="2437"/>
      <c r="S30" s="2437"/>
      <c r="T30" s="2437"/>
      <c r="U30" s="2437"/>
      <c r="V30" s="2437"/>
    </row>
    <row r="31" spans="1:28">
      <c r="A31" s="3516" t="s">
        <v>2219</v>
      </c>
      <c r="B31" s="2420"/>
      <c r="C31" s="2322"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17"/>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17"/>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11" t="s">
        <v>2228</v>
      </c>
      <c r="T34" s="2426" t="str">
        <f>NUMBERSTRING(7-K34,1)&amp;"通"</f>
        <v>七通</v>
      </c>
      <c r="U34" s="2437"/>
      <c r="V34" s="2437"/>
    </row>
    <row r="35" spans="1:30">
      <c r="A35" s="2427"/>
      <c r="B35" s="3518" t="s">
        <v>2229</v>
      </c>
      <c r="C35" s="3518"/>
      <c r="D35" s="3518"/>
      <c r="E35" s="3518"/>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2" t="s">
        <v>2581</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c r="F37" s="2429" t="s">
        <v>304</v>
      </c>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c r="F38" s="2430" t="s">
        <v>3395</v>
      </c>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Y4" sqref="AY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1" width="9.5" style="1572" customWidth="1"/>
    <col min="42" max="45" width="9.5" style="1572" hidden="1" customWidth="1"/>
    <col min="46"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133115.90400000001</v>
      </c>
      <c r="B3" s="11">
        <f>IF(C3="否",G5-AT5,G5)</f>
        <v>371721.64000000007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f>7212.96+6635.28+6607.41</f>
        <v>20455.650000000001</v>
      </c>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403045.81000000006</v>
      </c>
      <c r="H5" s="13">
        <f t="shared" ref="H5:AT5" si="0">SUM(H13:H656)</f>
        <v>362885.57</v>
      </c>
      <c r="I5" s="13">
        <f t="shared" si="0"/>
        <v>283725.61</v>
      </c>
      <c r="J5" s="13">
        <f t="shared" si="0"/>
        <v>0</v>
      </c>
      <c r="K5" s="13">
        <f t="shared" si="0"/>
        <v>39950.17</v>
      </c>
      <c r="L5" s="13">
        <f t="shared" si="0"/>
        <v>0</v>
      </c>
      <c r="M5" s="13">
        <f t="shared" si="0"/>
        <v>39209.79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8836.07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5361.7899999999991</v>
      </c>
      <c r="AM5" s="13">
        <f t="shared" si="0"/>
        <v>0</v>
      </c>
      <c r="AN5" s="13">
        <f t="shared" si="0"/>
        <v>3474.28</v>
      </c>
      <c r="AO5" s="13">
        <f t="shared" si="0"/>
        <v>0</v>
      </c>
      <c r="AP5" s="13">
        <f t="shared" si="0"/>
        <v>0</v>
      </c>
      <c r="AQ5" s="13">
        <f t="shared" si="0"/>
        <v>0</v>
      </c>
      <c r="AR5" s="13">
        <f t="shared" si="0"/>
        <v>0</v>
      </c>
      <c r="AS5" s="13">
        <f t="shared" si="0"/>
        <v>0</v>
      </c>
      <c r="AT5" s="13">
        <f t="shared" si="0"/>
        <v>31324.17</v>
      </c>
      <c r="AU5" s="1345"/>
      <c r="AV5" s="12" t="s">
        <v>1071</v>
      </c>
      <c r="AW5" s="1346"/>
      <c r="AX5" s="1346"/>
      <c r="AY5" s="14" t="s">
        <v>2</v>
      </c>
      <c r="AZ5" s="15">
        <f t="shared" ref="AZ5:BT5" si="1">SUM(AZ13:AZ656)</f>
        <v>59427.91</v>
      </c>
      <c r="BA5" s="15">
        <f t="shared" si="1"/>
        <v>58476.87</v>
      </c>
      <c r="BB5" s="15">
        <f t="shared" si="1"/>
        <v>52974.33</v>
      </c>
      <c r="BC5" s="15">
        <f t="shared" si="1"/>
        <v>5502.54</v>
      </c>
      <c r="BD5" s="15">
        <f t="shared" si="1"/>
        <v>0</v>
      </c>
      <c r="BE5" s="15">
        <f t="shared" si="1"/>
        <v>0</v>
      </c>
      <c r="BF5" s="15">
        <f t="shared" si="1"/>
        <v>0</v>
      </c>
      <c r="BG5" s="15">
        <f t="shared" si="1"/>
        <v>0</v>
      </c>
      <c r="BH5" s="15">
        <f t="shared" si="1"/>
        <v>0</v>
      </c>
      <c r="BI5" s="15">
        <f t="shared" si="1"/>
        <v>0</v>
      </c>
      <c r="BJ5" s="15">
        <f t="shared" si="1"/>
        <v>0</v>
      </c>
      <c r="BK5" s="15">
        <f t="shared" si="1"/>
        <v>0</v>
      </c>
      <c r="BL5" s="15">
        <f t="shared" si="1"/>
        <v>951.04</v>
      </c>
      <c r="BM5" s="15">
        <f t="shared" si="1"/>
        <v>0</v>
      </c>
      <c r="BN5" s="15">
        <f t="shared" si="1"/>
        <v>0</v>
      </c>
      <c r="BO5" s="15">
        <f t="shared" si="1"/>
        <v>0</v>
      </c>
      <c r="BP5" s="15">
        <f t="shared" si="1"/>
        <v>0</v>
      </c>
      <c r="BQ5" s="15">
        <f t="shared" si="1"/>
        <v>951.04</v>
      </c>
      <c r="BR5" s="15">
        <f t="shared" si="1"/>
        <v>0</v>
      </c>
      <c r="BS5" s="15">
        <f t="shared" si="1"/>
        <v>0</v>
      </c>
      <c r="BT5" s="16">
        <f t="shared" si="1"/>
        <v>0</v>
      </c>
    </row>
    <row r="6" spans="1:72" s="1588" customFormat="1" ht="12.75">
      <c r="A6" s="12" t="s">
        <v>1072</v>
      </c>
      <c r="B6" s="1585"/>
      <c r="C6" s="1585"/>
      <c r="D6" s="1586"/>
      <c r="E6" s="13">
        <f>H6+AC6+AT6</f>
        <v>133115.90000000002</v>
      </c>
      <c r="F6" s="13" t="s">
        <v>0</v>
      </c>
      <c r="G6" s="13" t="s">
        <v>1</v>
      </c>
      <c r="H6" s="17">
        <f>SUMIF(I$12:AB$12,"总值",I6:AB6)</f>
        <v>129951.65000000001</v>
      </c>
      <c r="I6" s="13">
        <f t="shared" ref="I6:AB6" si="2">ROUND($A$3*I5/$B$3,2)</f>
        <v>101603.96</v>
      </c>
      <c r="J6" s="13">
        <f t="shared" si="2"/>
        <v>0</v>
      </c>
      <c r="K6" s="13">
        <f t="shared" si="2"/>
        <v>14306.41</v>
      </c>
      <c r="L6" s="13">
        <f t="shared" si="2"/>
        <v>0</v>
      </c>
      <c r="M6" s="13">
        <f t="shared" si="2"/>
        <v>14041.28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3164.25</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1920.09</v>
      </c>
      <c r="AM6" s="13">
        <f t="shared" si="3"/>
        <v>0</v>
      </c>
      <c r="AN6" s="13">
        <f t="shared" si="3"/>
        <v>1244.1600000000001</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20455.650000000001</v>
      </c>
      <c r="AZ6" s="13" t="s">
        <v>2</v>
      </c>
      <c r="BA6" s="13">
        <f>ROUND($AY$6*BA5/$AZ$5,2)</f>
        <v>20128.29</v>
      </c>
      <c r="BB6" s="13">
        <f>ROUND($AY$6*BB5/$AZ$5,2)</f>
        <v>18234.27</v>
      </c>
      <c r="BC6" s="13">
        <f t="shared" ref="BC6:BH6" si="4">ROUND($AY$6*BC5/$AZ$5,2)</f>
        <v>1894.03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327.36</v>
      </c>
      <c r="BM6" s="13">
        <f t="shared" si="5"/>
        <v>0</v>
      </c>
      <c r="BN6" s="13">
        <f t="shared" si="5"/>
        <v>0</v>
      </c>
      <c r="BO6" s="13">
        <f t="shared" si="5"/>
        <v>0</v>
      </c>
      <c r="BP6" s="13">
        <f t="shared" si="5"/>
        <v>0</v>
      </c>
      <c r="BQ6" s="13">
        <f t="shared" si="5"/>
        <v>327.36</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3422</v>
      </c>
      <c r="J9" s="809"/>
      <c r="K9" s="1602" t="s">
        <v>3424</v>
      </c>
      <c r="L9" s="809"/>
      <c r="M9" s="1602" t="s">
        <v>3424</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3423</v>
      </c>
      <c r="J10" s="809"/>
      <c r="K10" s="1608" t="s">
        <v>3423</v>
      </c>
      <c r="L10" s="809"/>
      <c r="M10" s="1608" t="s">
        <v>3334</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3420</v>
      </c>
      <c r="J11" s="1614"/>
      <c r="K11" s="1613" t="s">
        <v>3420</v>
      </c>
      <c r="L11" s="1614"/>
      <c r="M11" s="1613" t="s">
        <v>3334</v>
      </c>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公共服务</v>
      </c>
      <c r="BC11" s="1598" t="str">
        <f>K10</f>
        <v>公共服务</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科研用房</v>
      </c>
      <c r="BC12" s="1623" t="str">
        <f>K11</f>
        <v>科研用房</v>
      </c>
      <c r="BD12" s="1623" t="str">
        <f>M11</f>
        <v>车库</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t="s">
        <v>3415</v>
      </c>
      <c r="C13" s="1051" t="s">
        <v>3396</v>
      </c>
      <c r="D13" s="1624" t="s">
        <v>3418</v>
      </c>
      <c r="E13" s="13">
        <f>IF($C$3="是",ROUND($A$3*G13/$B$3,2),ROUND($A$3*(G13-AT13)/$B$3,2))</f>
        <v>7087.14</v>
      </c>
      <c r="F13" s="29"/>
      <c r="G13" s="30">
        <f>H13+AC13+AT13</f>
        <v>19790.61</v>
      </c>
      <c r="H13" s="17">
        <f>SUMIF(I$12:AB$12,"总值",I13:AB13)</f>
        <v>19495.690000000002</v>
      </c>
      <c r="I13" s="1625">
        <v>17658.11</v>
      </c>
      <c r="J13" s="1625"/>
      <c r="K13" s="1625">
        <v>1837.58</v>
      </c>
      <c r="L13" s="1625"/>
      <c r="M13" s="1625"/>
      <c r="N13" s="1625"/>
      <c r="O13" s="1625"/>
      <c r="P13" s="1625"/>
      <c r="Q13" s="1625"/>
      <c r="R13" s="1625"/>
      <c r="S13" s="1625"/>
      <c r="T13" s="1625"/>
      <c r="U13" s="1625"/>
      <c r="V13" s="1625"/>
      <c r="W13" s="1625"/>
      <c r="X13" s="1625"/>
      <c r="Y13" s="1625"/>
      <c r="Z13" s="1625"/>
      <c r="AA13" s="1625"/>
      <c r="AB13" s="1625"/>
      <c r="AC13" s="13">
        <f>SUMIF(AD$12:AS$12,"总值",AD13:AS13)</f>
        <v>294.92</v>
      </c>
      <c r="AD13" s="1626"/>
      <c r="AE13" s="1626"/>
      <c r="AF13" s="1626"/>
      <c r="AG13" s="1626"/>
      <c r="AH13" s="1626"/>
      <c r="AI13" s="1626"/>
      <c r="AJ13" s="1626"/>
      <c r="AK13" s="1626"/>
      <c r="AL13" s="1626">
        <v>294.92</v>
      </c>
      <c r="AM13" s="1626"/>
      <c r="AN13" s="1626"/>
      <c r="AO13" s="1626"/>
      <c r="AP13" s="1626"/>
      <c r="AQ13" s="1626"/>
      <c r="AR13" s="1626"/>
      <c r="AS13" s="1626"/>
      <c r="AT13" s="1627"/>
      <c r="AU13" s="1628"/>
      <c r="AV13" s="8">
        <f t="shared" ref="AV13:AX17" si="6">A13</f>
        <v>0</v>
      </c>
      <c r="AW13" s="8" t="str">
        <f t="shared" si="6"/>
        <v>现房</v>
      </c>
      <c r="AX13" s="8" t="str">
        <f t="shared" si="6"/>
        <v>1#</v>
      </c>
      <c r="AY13" s="1348">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t="s">
        <v>3415</v>
      </c>
      <c r="C14" s="1569" t="s">
        <v>3397</v>
      </c>
      <c r="D14" s="1624" t="s">
        <v>3418</v>
      </c>
      <c r="E14" s="13">
        <f>IF($C$3="是",ROUND($A$3*G14/$B$3,2),ROUND($A$3*(G14-AT14)/$B$3,2))</f>
        <v>7085.35</v>
      </c>
      <c r="F14" s="29"/>
      <c r="G14" s="30">
        <f>H14+AC14+AT14</f>
        <v>19785.59</v>
      </c>
      <c r="H14" s="17">
        <f>SUMIF(I$12:AB$12,"总值",I14:AB14)</f>
        <v>19490.670000000002</v>
      </c>
      <c r="I14" s="1625">
        <v>17658.11</v>
      </c>
      <c r="J14" s="1625"/>
      <c r="K14" s="1625">
        <v>1832.56</v>
      </c>
      <c r="L14" s="1625"/>
      <c r="M14" s="1625"/>
      <c r="N14" s="1625"/>
      <c r="O14" s="1625"/>
      <c r="P14" s="1625"/>
      <c r="Q14" s="1625"/>
      <c r="R14" s="1625"/>
      <c r="S14" s="1625"/>
      <c r="T14" s="1625"/>
      <c r="U14" s="1625"/>
      <c r="V14" s="1625"/>
      <c r="W14" s="1625"/>
      <c r="X14" s="1625"/>
      <c r="Y14" s="1625"/>
      <c r="Z14" s="1625"/>
      <c r="AA14" s="1625"/>
      <c r="AB14" s="1625"/>
      <c r="AC14" s="13">
        <f>SUMIF(AD$12:AS$12,"总值",AD14:AS14)</f>
        <v>294.92</v>
      </c>
      <c r="AD14" s="1626"/>
      <c r="AE14" s="1626"/>
      <c r="AF14" s="1626"/>
      <c r="AG14" s="1626"/>
      <c r="AH14" s="1626"/>
      <c r="AI14" s="1626"/>
      <c r="AJ14" s="1626"/>
      <c r="AK14" s="1626"/>
      <c r="AL14" s="1626">
        <v>294.92</v>
      </c>
      <c r="AM14" s="1626"/>
      <c r="AN14" s="1626"/>
      <c r="AO14" s="1626"/>
      <c r="AP14" s="1626"/>
      <c r="AQ14" s="1626"/>
      <c r="AR14" s="1626"/>
      <c r="AS14" s="1626"/>
      <c r="AT14" s="1627"/>
      <c r="AU14" s="1628"/>
      <c r="AV14" s="8">
        <f t="shared" si="6"/>
        <v>0</v>
      </c>
      <c r="AW14" s="8" t="str">
        <f t="shared" si="6"/>
        <v>现房</v>
      </c>
      <c r="AX14" s="8" t="str">
        <f t="shared" si="6"/>
        <v>2#</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t="s">
        <v>3415</v>
      </c>
      <c r="C15" s="1569" t="s">
        <v>3398</v>
      </c>
      <c r="D15" s="1624" t="s">
        <v>3418</v>
      </c>
      <c r="E15" s="13">
        <f>IF($C$3="是",ROUND($A$3*G15/$B$3,2),ROUND($A$3*(G15-AT15)/$B$3,2))</f>
        <v>7088.79</v>
      </c>
      <c r="F15" s="29"/>
      <c r="G15" s="30">
        <f>H15+AC15+AT15</f>
        <v>19795.21</v>
      </c>
      <c r="H15" s="17">
        <f>SUMIF(I$12:AB$12,"总值",I15:AB15)</f>
        <v>19500.29</v>
      </c>
      <c r="I15" s="1625">
        <v>17658.11</v>
      </c>
      <c r="J15" s="1625"/>
      <c r="K15" s="1625">
        <v>1842.18</v>
      </c>
      <c r="L15" s="1625"/>
      <c r="M15" s="1625"/>
      <c r="N15" s="1625"/>
      <c r="O15" s="1625"/>
      <c r="P15" s="1625"/>
      <c r="Q15" s="1625"/>
      <c r="R15" s="1625"/>
      <c r="S15" s="1625"/>
      <c r="T15" s="1625"/>
      <c r="U15" s="1625"/>
      <c r="V15" s="1625"/>
      <c r="W15" s="1625"/>
      <c r="X15" s="1625"/>
      <c r="Y15" s="1625"/>
      <c r="Z15" s="1625"/>
      <c r="AA15" s="1625"/>
      <c r="AB15" s="1625"/>
      <c r="AC15" s="13">
        <f>SUMIF(AD$12:AS$12,"总值",AD15:AS15)</f>
        <v>294.92</v>
      </c>
      <c r="AD15" s="1626"/>
      <c r="AE15" s="1626"/>
      <c r="AF15" s="1626"/>
      <c r="AG15" s="1626"/>
      <c r="AH15" s="1626"/>
      <c r="AI15" s="1626"/>
      <c r="AJ15" s="1626"/>
      <c r="AK15" s="1626"/>
      <c r="AL15" s="1626">
        <v>294.92</v>
      </c>
      <c r="AM15" s="1626"/>
      <c r="AN15" s="1626"/>
      <c r="AO15" s="1626"/>
      <c r="AP15" s="1626"/>
      <c r="AQ15" s="1626"/>
      <c r="AR15" s="1626"/>
      <c r="AS15" s="1626"/>
      <c r="AT15" s="1627"/>
      <c r="AU15" s="1628"/>
      <c r="AV15" s="8">
        <f t="shared" si="6"/>
        <v>0</v>
      </c>
      <c r="AW15" s="8" t="str">
        <f t="shared" si="6"/>
        <v>现房</v>
      </c>
      <c r="AX15" s="8" t="str">
        <f t="shared" si="6"/>
        <v>3#</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t="s">
        <v>3415</v>
      </c>
      <c r="C16" s="1569" t="s">
        <v>3399</v>
      </c>
      <c r="D16" s="1624" t="s">
        <v>3418</v>
      </c>
      <c r="E16" s="13">
        <f>IF($C$3="是",ROUND($A$3*G16/$B$3,2),ROUND($A$3*(G16-AT16)/$B$3,2))</f>
        <v>4808.72</v>
      </c>
      <c r="F16" s="29"/>
      <c r="G16" s="30">
        <f>H16+AC16+AT16</f>
        <v>13428.19</v>
      </c>
      <c r="H16" s="17">
        <f>SUMIF(I$12:AB$12,"总值",I16:AB16)</f>
        <v>13135.75</v>
      </c>
      <c r="I16" s="1625">
        <v>11307.49</v>
      </c>
      <c r="J16" s="1625"/>
      <c r="K16" s="1625">
        <v>1828.26</v>
      </c>
      <c r="L16" s="1625"/>
      <c r="M16" s="1625"/>
      <c r="N16" s="1625"/>
      <c r="O16" s="1625"/>
      <c r="P16" s="1625"/>
      <c r="Q16" s="1625"/>
      <c r="R16" s="1625"/>
      <c r="S16" s="1625"/>
      <c r="T16" s="1625"/>
      <c r="U16" s="1625"/>
      <c r="V16" s="1625"/>
      <c r="W16" s="1625"/>
      <c r="X16" s="1625"/>
      <c r="Y16" s="1625"/>
      <c r="Z16" s="1625"/>
      <c r="AA16" s="1625"/>
      <c r="AB16" s="1625"/>
      <c r="AC16" s="13">
        <f>SUMIF(AD$12:AS$12,"总值",AD16:AS16)</f>
        <v>292.44</v>
      </c>
      <c r="AD16" s="1626"/>
      <c r="AE16" s="1626"/>
      <c r="AF16" s="1626"/>
      <c r="AG16" s="1626"/>
      <c r="AH16" s="1626"/>
      <c r="AI16" s="1626"/>
      <c r="AJ16" s="1626"/>
      <c r="AK16" s="1626"/>
      <c r="AL16" s="1626">
        <v>292.44</v>
      </c>
      <c r="AM16" s="1626"/>
      <c r="AN16" s="1626"/>
      <c r="AO16" s="1626"/>
      <c r="AP16" s="1626"/>
      <c r="AQ16" s="1626"/>
      <c r="AR16" s="1626"/>
      <c r="AS16" s="1626"/>
      <c r="AT16" s="1627"/>
      <c r="AU16" s="1628"/>
      <c r="AV16" s="8">
        <f t="shared" si="6"/>
        <v>0</v>
      </c>
      <c r="AW16" s="8" t="str">
        <f t="shared" si="6"/>
        <v>现房</v>
      </c>
      <c r="AX16" s="8" t="str">
        <f t="shared" si="6"/>
        <v>4#</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t="s">
        <v>3415</v>
      </c>
      <c r="C17" s="1569" t="s">
        <v>3400</v>
      </c>
      <c r="D17" s="1624" t="s">
        <v>3418</v>
      </c>
      <c r="E17" s="13">
        <f>IF($C$3="是",ROUND($A$3*G17/$B$3,2),ROUND($A$3*(G17-AT17)/$B$3,2))</f>
        <v>7084.87</v>
      </c>
      <c r="F17" s="29"/>
      <c r="G17" s="30">
        <f>H17+AC17+AT17</f>
        <v>19784.27</v>
      </c>
      <c r="H17" s="17">
        <f>SUMIF(I$12:AB$12,"总值",I17:AB17)</f>
        <v>19489.350000000002</v>
      </c>
      <c r="I17" s="1625">
        <v>17658.11</v>
      </c>
      <c r="J17" s="1625"/>
      <c r="K17" s="1625">
        <v>1831.24</v>
      </c>
      <c r="L17" s="1625"/>
      <c r="M17" s="1625"/>
      <c r="N17" s="1625"/>
      <c r="O17" s="1625"/>
      <c r="P17" s="1625"/>
      <c r="Q17" s="1625"/>
      <c r="R17" s="1625"/>
      <c r="S17" s="1625"/>
      <c r="T17" s="1625"/>
      <c r="U17" s="1625"/>
      <c r="V17" s="1625"/>
      <c r="W17" s="1625"/>
      <c r="X17" s="1625"/>
      <c r="Y17" s="1625"/>
      <c r="Z17" s="1625"/>
      <c r="AA17" s="1625"/>
      <c r="AB17" s="1625"/>
      <c r="AC17" s="13">
        <f>SUMIF(AD$12:AS$12,"总值",AD17:AS17)</f>
        <v>294.92</v>
      </c>
      <c r="AD17" s="1626"/>
      <c r="AE17" s="1626"/>
      <c r="AF17" s="1626"/>
      <c r="AG17" s="1626"/>
      <c r="AH17" s="1626"/>
      <c r="AI17" s="1626"/>
      <c r="AJ17" s="1626"/>
      <c r="AK17" s="1626"/>
      <c r="AL17" s="1626">
        <v>294.92</v>
      </c>
      <c r="AM17" s="1626"/>
      <c r="AN17" s="1626"/>
      <c r="AO17" s="1626"/>
      <c r="AP17" s="1626"/>
      <c r="AQ17" s="1626"/>
      <c r="AR17" s="1626"/>
      <c r="AS17" s="1626"/>
      <c r="AT17" s="1627"/>
      <c r="AU17" s="1628"/>
      <c r="AV17" s="8">
        <f t="shared" si="6"/>
        <v>0</v>
      </c>
      <c r="AW17" s="8" t="str">
        <f t="shared" si="6"/>
        <v>现房</v>
      </c>
      <c r="AX17" s="8" t="str">
        <f t="shared" si="6"/>
        <v>5#</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449" t="s">
        <v>3416</v>
      </c>
      <c r="C18" s="31" t="s">
        <v>3401</v>
      </c>
      <c r="D18" s="1629" t="s">
        <v>3419</v>
      </c>
      <c r="E18" s="32">
        <f t="shared" ref="E18:E112" si="7">IF($C$3="是",ROUND($A$3*G18/$B$3,2),ROUND($A$3*(G18-AT18)/$B$3,2))</f>
        <v>7086.02</v>
      </c>
      <c r="F18" s="33"/>
      <c r="G18" s="34">
        <f t="shared" ref="G18:G109" si="8">H18+AC18+AT18</f>
        <v>19787.48</v>
      </c>
      <c r="H18" s="35">
        <f t="shared" ref="H18:H109" si="9">SUMIF(I$12:AB$12,"总值",I18:AB18)</f>
        <v>19492.560000000001</v>
      </c>
      <c r="I18" s="36">
        <v>17658.11</v>
      </c>
      <c r="J18" s="36"/>
      <c r="K18" s="36">
        <v>1834.45</v>
      </c>
      <c r="L18" s="36"/>
      <c r="M18" s="36"/>
      <c r="N18" s="36"/>
      <c r="O18" s="36"/>
      <c r="P18" s="36"/>
      <c r="Q18" s="36"/>
      <c r="R18" s="36"/>
      <c r="S18" s="36"/>
      <c r="T18" s="36"/>
      <c r="U18" s="36"/>
      <c r="V18" s="36"/>
      <c r="W18" s="36"/>
      <c r="X18" s="36"/>
      <c r="Y18" s="36"/>
      <c r="Z18" s="36"/>
      <c r="AA18" s="36"/>
      <c r="AB18" s="36"/>
      <c r="AC18" s="32">
        <f t="shared" ref="AC18:AC109" si="10">SUMIF(AD$12:AS$12,"总值",AD18:AS18)</f>
        <v>294.92</v>
      </c>
      <c r="AD18" s="37"/>
      <c r="AE18" s="37"/>
      <c r="AF18" s="37"/>
      <c r="AG18" s="37"/>
      <c r="AH18" s="37"/>
      <c r="AI18" s="37"/>
      <c r="AJ18" s="37"/>
      <c r="AK18" s="37"/>
      <c r="AL18" s="37">
        <v>294.92</v>
      </c>
      <c r="AM18" s="37"/>
      <c r="AN18" s="37"/>
      <c r="AO18" s="37"/>
      <c r="AP18" s="37"/>
      <c r="AQ18" s="37"/>
      <c r="AR18" s="37"/>
      <c r="AS18" s="37"/>
      <c r="AT18" s="38"/>
      <c r="AU18" s="1630"/>
      <c r="AV18" s="1342">
        <f t="shared" ref="AV18:AV112" si="11">A18</f>
        <v>0</v>
      </c>
      <c r="AW18" s="1342" t="str">
        <f t="shared" ref="AW18:AW112" si="12">B18</f>
        <v>在建</v>
      </c>
      <c r="AX18" s="1342" t="str">
        <f t="shared" ref="AX18:AX112" si="13">C18</f>
        <v>6#</v>
      </c>
      <c r="AY18" s="39">
        <f t="shared" ref="AY18:AY109" si="14">ROUND($AY$6*AZ18/$AZ$5,2)</f>
        <v>6811.04</v>
      </c>
      <c r="AZ18" s="32">
        <f t="shared" ref="AZ18:AZ109" si="15">BA18+BL18</f>
        <v>19787.48</v>
      </c>
      <c r="BA18" s="32">
        <f t="shared" ref="BA18:BA109" si="16">SUM(BB18:BK18)</f>
        <v>19492.560000000001</v>
      </c>
      <c r="BB18" s="32">
        <f t="shared" ref="BB18:BB109" si="17">IF($D18="是",I18-J18,0)</f>
        <v>17658.11</v>
      </c>
      <c r="BC18" s="32">
        <f t="shared" ref="BC18:BC109" si="18">IF($D18="是",K18-L18,0)</f>
        <v>1834.45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294.92</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294.92</v>
      </c>
      <c r="BR18" s="32">
        <f t="shared" ref="BR18:BR109" si="33">IF($D18="是",AN18-AO18,0)</f>
        <v>0</v>
      </c>
      <c r="BS18" s="32">
        <f t="shared" ref="BS18:BS109" si="34">IF($D18="是",AP18-AQ18,0)</f>
        <v>0</v>
      </c>
      <c r="BT18" s="40">
        <f t="shared" ref="BT18:BT109" si="35">IF($D18="是",AR18-AS18,0)</f>
        <v>0</v>
      </c>
    </row>
    <row r="19" spans="1:72">
      <c r="A19" s="6"/>
      <c r="B19" s="31" t="s">
        <v>3415</v>
      </c>
      <c r="C19" s="31" t="s">
        <v>3402</v>
      </c>
      <c r="D19" s="1624" t="s">
        <v>3418</v>
      </c>
      <c r="E19" s="32">
        <f t="shared" si="7"/>
        <v>5039.5600000000004</v>
      </c>
      <c r="F19" s="33"/>
      <c r="G19" s="34">
        <f t="shared" si="8"/>
        <v>14072.79</v>
      </c>
      <c r="H19" s="35">
        <f t="shared" si="9"/>
        <v>13780.35</v>
      </c>
      <c r="I19" s="36">
        <v>11958.17</v>
      </c>
      <c r="J19" s="36"/>
      <c r="K19" s="36">
        <v>1822.18</v>
      </c>
      <c r="L19" s="36"/>
      <c r="M19" s="36"/>
      <c r="N19" s="36"/>
      <c r="O19" s="36"/>
      <c r="P19" s="36"/>
      <c r="Q19" s="36"/>
      <c r="R19" s="36"/>
      <c r="S19" s="36"/>
      <c r="T19" s="36"/>
      <c r="U19" s="36"/>
      <c r="V19" s="36"/>
      <c r="W19" s="36"/>
      <c r="X19" s="36"/>
      <c r="Y19" s="36"/>
      <c r="Z19" s="36"/>
      <c r="AA19" s="36"/>
      <c r="AB19" s="36"/>
      <c r="AC19" s="32">
        <f t="shared" si="10"/>
        <v>292.44</v>
      </c>
      <c r="AD19" s="37"/>
      <c r="AE19" s="37"/>
      <c r="AF19" s="37"/>
      <c r="AG19" s="37"/>
      <c r="AH19" s="37"/>
      <c r="AI19" s="37"/>
      <c r="AJ19" s="37"/>
      <c r="AK19" s="37"/>
      <c r="AL19" s="37">
        <v>292.44</v>
      </c>
      <c r="AM19" s="37"/>
      <c r="AN19" s="37"/>
      <c r="AO19" s="37"/>
      <c r="AP19" s="37"/>
      <c r="AQ19" s="37"/>
      <c r="AR19" s="37"/>
      <c r="AS19" s="37"/>
      <c r="AT19" s="38"/>
      <c r="AU19" s="1630"/>
      <c r="AV19" s="1342">
        <f t="shared" si="11"/>
        <v>0</v>
      </c>
      <c r="AW19" s="1342" t="str">
        <f t="shared" si="12"/>
        <v>现房</v>
      </c>
      <c r="AX19" s="1342" t="str">
        <f t="shared" si="13"/>
        <v>7#</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3448" t="s">
        <v>3417</v>
      </c>
      <c r="B20" s="3449" t="s">
        <v>3415</v>
      </c>
      <c r="C20" s="31" t="s">
        <v>3403</v>
      </c>
      <c r="D20" s="1624" t="s">
        <v>3418</v>
      </c>
      <c r="E20" s="32">
        <f t="shared" si="7"/>
        <v>7218.13</v>
      </c>
      <c r="F20" s="33"/>
      <c r="G20" s="34">
        <f t="shared" si="8"/>
        <v>20156.37</v>
      </c>
      <c r="H20" s="35">
        <f t="shared" si="9"/>
        <v>19861.53</v>
      </c>
      <c r="I20" s="36">
        <v>18018.59</v>
      </c>
      <c r="J20" s="36"/>
      <c r="K20" s="36">
        <v>1842.94</v>
      </c>
      <c r="L20" s="36"/>
      <c r="M20" s="36"/>
      <c r="N20" s="36"/>
      <c r="O20" s="36"/>
      <c r="P20" s="36"/>
      <c r="Q20" s="36"/>
      <c r="R20" s="36"/>
      <c r="S20" s="36"/>
      <c r="T20" s="36"/>
      <c r="U20" s="36"/>
      <c r="V20" s="36"/>
      <c r="W20" s="36"/>
      <c r="X20" s="36"/>
      <c r="Y20" s="36"/>
      <c r="Z20" s="36"/>
      <c r="AA20" s="36"/>
      <c r="AB20" s="36"/>
      <c r="AC20" s="32">
        <f t="shared" si="10"/>
        <v>294.83999999999997</v>
      </c>
      <c r="AD20" s="37"/>
      <c r="AE20" s="37"/>
      <c r="AF20" s="37"/>
      <c r="AG20" s="37"/>
      <c r="AH20" s="37"/>
      <c r="AI20" s="37"/>
      <c r="AJ20" s="37"/>
      <c r="AK20" s="37"/>
      <c r="AL20" s="37">
        <v>294.83999999999997</v>
      </c>
      <c r="AM20" s="37"/>
      <c r="AN20" s="37"/>
      <c r="AO20" s="37"/>
      <c r="AP20" s="37"/>
      <c r="AQ20" s="37"/>
      <c r="AR20" s="37"/>
      <c r="AS20" s="37"/>
      <c r="AT20" s="38"/>
      <c r="AU20" s="1630"/>
      <c r="AV20" s="1342" t="str">
        <f t="shared" si="11"/>
        <v>已售</v>
      </c>
      <c r="AW20" s="1342" t="str">
        <f t="shared" si="12"/>
        <v>现房</v>
      </c>
      <c r="AX20" s="1342" t="str">
        <f t="shared" si="13"/>
        <v>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t="s">
        <v>3415</v>
      </c>
      <c r="C21" s="31" t="s">
        <v>3404</v>
      </c>
      <c r="D21" s="1624" t="s">
        <v>3418</v>
      </c>
      <c r="E21" s="32">
        <f t="shared" si="7"/>
        <v>7086.72</v>
      </c>
      <c r="F21" s="33"/>
      <c r="G21" s="34">
        <f t="shared" si="8"/>
        <v>19789.43</v>
      </c>
      <c r="H21" s="35">
        <f t="shared" si="9"/>
        <v>19494.510000000002</v>
      </c>
      <c r="I21" s="36">
        <v>17658.11</v>
      </c>
      <c r="J21" s="36"/>
      <c r="K21" s="36">
        <v>1836.4</v>
      </c>
      <c r="L21" s="36"/>
      <c r="M21" s="36"/>
      <c r="N21" s="36"/>
      <c r="O21" s="36"/>
      <c r="P21" s="36"/>
      <c r="Q21" s="36"/>
      <c r="R21" s="36"/>
      <c r="S21" s="36"/>
      <c r="T21" s="36"/>
      <c r="U21" s="36"/>
      <c r="V21" s="36"/>
      <c r="W21" s="36"/>
      <c r="X21" s="36"/>
      <c r="Y21" s="36"/>
      <c r="Z21" s="36"/>
      <c r="AA21" s="36"/>
      <c r="AB21" s="36"/>
      <c r="AC21" s="32">
        <f t="shared" si="10"/>
        <v>294.92</v>
      </c>
      <c r="AD21" s="37"/>
      <c r="AE21" s="37"/>
      <c r="AF21" s="37"/>
      <c r="AG21" s="37"/>
      <c r="AH21" s="37"/>
      <c r="AI21" s="37"/>
      <c r="AJ21" s="37"/>
      <c r="AK21" s="37"/>
      <c r="AL21" s="37">
        <v>294.92</v>
      </c>
      <c r="AM21" s="37"/>
      <c r="AN21" s="37"/>
      <c r="AO21" s="37"/>
      <c r="AP21" s="37"/>
      <c r="AQ21" s="37"/>
      <c r="AR21" s="37"/>
      <c r="AS21" s="37"/>
      <c r="AT21" s="38"/>
      <c r="AU21" s="1630"/>
      <c r="AV21" s="1342">
        <f t="shared" si="11"/>
        <v>0</v>
      </c>
      <c r="AW21" s="1342" t="str">
        <f t="shared" si="12"/>
        <v>现房</v>
      </c>
      <c r="AX21" s="1342" t="str">
        <f t="shared" si="13"/>
        <v>9#</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449" t="s">
        <v>3416</v>
      </c>
      <c r="C22" s="31" t="s">
        <v>3405</v>
      </c>
      <c r="D22" s="1629" t="s">
        <v>3419</v>
      </c>
      <c r="E22" s="32">
        <f t="shared" si="7"/>
        <v>7109.41</v>
      </c>
      <c r="F22" s="33"/>
      <c r="G22" s="34">
        <f t="shared" si="8"/>
        <v>19852.79</v>
      </c>
      <c r="H22" s="35">
        <f t="shared" si="9"/>
        <v>19491.59</v>
      </c>
      <c r="I22" s="36">
        <v>17658.11</v>
      </c>
      <c r="J22" s="36"/>
      <c r="K22" s="36">
        <v>1833.48</v>
      </c>
      <c r="L22" s="36"/>
      <c r="M22" s="36"/>
      <c r="N22" s="36"/>
      <c r="O22" s="36"/>
      <c r="P22" s="36"/>
      <c r="Q22" s="36"/>
      <c r="R22" s="36"/>
      <c r="S22" s="36"/>
      <c r="T22" s="36"/>
      <c r="U22" s="36"/>
      <c r="V22" s="36"/>
      <c r="W22" s="36"/>
      <c r="X22" s="36"/>
      <c r="Y22" s="36"/>
      <c r="Z22" s="36"/>
      <c r="AA22" s="36"/>
      <c r="AB22" s="36"/>
      <c r="AC22" s="32">
        <f t="shared" si="10"/>
        <v>361.2</v>
      </c>
      <c r="AD22" s="37"/>
      <c r="AE22" s="37"/>
      <c r="AF22" s="37"/>
      <c r="AG22" s="37"/>
      <c r="AH22" s="37"/>
      <c r="AI22" s="37"/>
      <c r="AJ22" s="37"/>
      <c r="AK22" s="37"/>
      <c r="AL22" s="37">
        <v>361.2</v>
      </c>
      <c r="AM22" s="37"/>
      <c r="AN22" s="37"/>
      <c r="AO22" s="37"/>
      <c r="AP22" s="37"/>
      <c r="AQ22" s="37"/>
      <c r="AR22" s="37"/>
      <c r="AS22" s="37"/>
      <c r="AT22" s="38"/>
      <c r="AU22" s="1630"/>
      <c r="AV22" s="1342">
        <f t="shared" si="11"/>
        <v>0</v>
      </c>
      <c r="AW22" s="1342" t="str">
        <f t="shared" si="12"/>
        <v>在建</v>
      </c>
      <c r="AX22" s="1342" t="str">
        <f t="shared" si="13"/>
        <v>10#</v>
      </c>
      <c r="AY22" s="39">
        <f t="shared" si="14"/>
        <v>6833.52</v>
      </c>
      <c r="AZ22" s="32">
        <f t="shared" si="15"/>
        <v>19852.79</v>
      </c>
      <c r="BA22" s="32">
        <f t="shared" si="16"/>
        <v>19491.59</v>
      </c>
      <c r="BB22" s="32">
        <f t="shared" si="17"/>
        <v>17658.11</v>
      </c>
      <c r="BC22" s="32">
        <f t="shared" si="18"/>
        <v>1833.48</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361.2</v>
      </c>
      <c r="BM22" s="32">
        <f t="shared" si="28"/>
        <v>0</v>
      </c>
      <c r="BN22" s="32">
        <f t="shared" si="29"/>
        <v>0</v>
      </c>
      <c r="BO22" s="32">
        <f t="shared" si="30"/>
        <v>0</v>
      </c>
      <c r="BP22" s="32">
        <f t="shared" si="31"/>
        <v>0</v>
      </c>
      <c r="BQ22" s="32">
        <f t="shared" si="32"/>
        <v>361.2</v>
      </c>
      <c r="BR22" s="32">
        <f t="shared" si="33"/>
        <v>0</v>
      </c>
      <c r="BS22" s="32">
        <f t="shared" si="34"/>
        <v>0</v>
      </c>
      <c r="BT22" s="40">
        <f t="shared" si="35"/>
        <v>0</v>
      </c>
    </row>
    <row r="23" spans="1:72">
      <c r="A23" s="6"/>
      <c r="B23" s="31" t="s">
        <v>3415</v>
      </c>
      <c r="C23" s="31" t="s">
        <v>3406</v>
      </c>
      <c r="D23" s="1624" t="s">
        <v>3418</v>
      </c>
      <c r="E23" s="32">
        <f t="shared" si="7"/>
        <v>7220.82</v>
      </c>
      <c r="F23" s="33"/>
      <c r="G23" s="34">
        <f t="shared" si="8"/>
        <v>20163.89</v>
      </c>
      <c r="H23" s="35">
        <f t="shared" si="9"/>
        <v>19866.98</v>
      </c>
      <c r="I23" s="36">
        <v>18018.59</v>
      </c>
      <c r="J23" s="36"/>
      <c r="K23" s="36">
        <v>1848.39</v>
      </c>
      <c r="L23" s="36"/>
      <c r="M23" s="36"/>
      <c r="N23" s="36"/>
      <c r="O23" s="36"/>
      <c r="P23" s="36"/>
      <c r="Q23" s="36"/>
      <c r="R23" s="36"/>
      <c r="S23" s="36"/>
      <c r="T23" s="36"/>
      <c r="U23" s="36"/>
      <c r="V23" s="36"/>
      <c r="W23" s="36"/>
      <c r="X23" s="36"/>
      <c r="Y23" s="36"/>
      <c r="Z23" s="36"/>
      <c r="AA23" s="36"/>
      <c r="AB23" s="36"/>
      <c r="AC23" s="32">
        <f t="shared" si="10"/>
        <v>296.91000000000003</v>
      </c>
      <c r="AD23" s="37"/>
      <c r="AE23" s="37"/>
      <c r="AF23" s="37"/>
      <c r="AG23" s="37"/>
      <c r="AH23" s="37"/>
      <c r="AI23" s="37"/>
      <c r="AJ23" s="37"/>
      <c r="AK23" s="37"/>
      <c r="AL23" s="37">
        <v>296.91000000000003</v>
      </c>
      <c r="AM23" s="37"/>
      <c r="AN23" s="37"/>
      <c r="AO23" s="37"/>
      <c r="AP23" s="37"/>
      <c r="AQ23" s="37"/>
      <c r="AR23" s="37"/>
      <c r="AS23" s="37"/>
      <c r="AT23" s="38"/>
      <c r="AU23" s="1630"/>
      <c r="AV23" s="1342">
        <f t="shared" si="11"/>
        <v>0</v>
      </c>
      <c r="AW23" s="1342" t="str">
        <f t="shared" si="12"/>
        <v>现房</v>
      </c>
      <c r="AX23" s="1342" t="str">
        <f t="shared" si="13"/>
        <v>11#</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t="s">
        <v>3415</v>
      </c>
      <c r="C24" s="31" t="s">
        <v>3407</v>
      </c>
      <c r="D24" s="1624" t="s">
        <v>3418</v>
      </c>
      <c r="E24" s="32">
        <f t="shared" si="7"/>
        <v>7084.86</v>
      </c>
      <c r="F24" s="33"/>
      <c r="G24" s="34">
        <f t="shared" si="8"/>
        <v>19784.219999999998</v>
      </c>
      <c r="H24" s="35">
        <f t="shared" si="9"/>
        <v>19489.3</v>
      </c>
      <c r="I24" s="36">
        <v>17658.11</v>
      </c>
      <c r="J24" s="36"/>
      <c r="K24" s="36">
        <v>1831.19</v>
      </c>
      <c r="L24" s="36"/>
      <c r="M24" s="36"/>
      <c r="N24" s="36"/>
      <c r="O24" s="36"/>
      <c r="P24" s="36"/>
      <c r="Q24" s="36"/>
      <c r="R24" s="36"/>
      <c r="S24" s="36"/>
      <c r="T24" s="36"/>
      <c r="U24" s="36"/>
      <c r="V24" s="36"/>
      <c r="W24" s="36"/>
      <c r="X24" s="36"/>
      <c r="Y24" s="36"/>
      <c r="Z24" s="36"/>
      <c r="AA24" s="36"/>
      <c r="AB24" s="36"/>
      <c r="AC24" s="32">
        <f t="shared" si="10"/>
        <v>294.92</v>
      </c>
      <c r="AD24" s="37"/>
      <c r="AE24" s="37"/>
      <c r="AF24" s="37"/>
      <c r="AG24" s="37"/>
      <c r="AH24" s="37"/>
      <c r="AI24" s="37"/>
      <c r="AJ24" s="37"/>
      <c r="AK24" s="37"/>
      <c r="AL24" s="37">
        <v>294.92</v>
      </c>
      <c r="AM24" s="37"/>
      <c r="AN24" s="37"/>
      <c r="AO24" s="37"/>
      <c r="AP24" s="37"/>
      <c r="AQ24" s="37"/>
      <c r="AR24" s="37"/>
      <c r="AS24" s="37"/>
      <c r="AT24" s="38"/>
      <c r="AU24" s="1630"/>
      <c r="AV24" s="1342">
        <f t="shared" si="11"/>
        <v>0</v>
      </c>
      <c r="AW24" s="1342" t="str">
        <f t="shared" si="12"/>
        <v>现房</v>
      </c>
      <c r="AX24" s="1342" t="str">
        <f t="shared" si="13"/>
        <v>12#</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t="s">
        <v>3415</v>
      </c>
      <c r="C25" s="31" t="s">
        <v>3408</v>
      </c>
      <c r="D25" s="1624" t="s">
        <v>3418</v>
      </c>
      <c r="E25" s="32">
        <f t="shared" si="7"/>
        <v>5039.55</v>
      </c>
      <c r="F25" s="33"/>
      <c r="G25" s="34">
        <f t="shared" si="8"/>
        <v>14072.76</v>
      </c>
      <c r="H25" s="35">
        <f t="shared" si="9"/>
        <v>13780.32</v>
      </c>
      <c r="I25" s="36">
        <v>11958.17</v>
      </c>
      <c r="J25" s="36"/>
      <c r="K25" s="36">
        <v>1822.15</v>
      </c>
      <c r="L25" s="36"/>
      <c r="M25" s="36"/>
      <c r="N25" s="36"/>
      <c r="O25" s="36"/>
      <c r="P25" s="36"/>
      <c r="Q25" s="36"/>
      <c r="R25" s="36"/>
      <c r="S25" s="36"/>
      <c r="T25" s="36"/>
      <c r="U25" s="36"/>
      <c r="V25" s="36"/>
      <c r="W25" s="36"/>
      <c r="X25" s="36"/>
      <c r="Y25" s="36"/>
      <c r="Z25" s="36"/>
      <c r="AA25" s="36"/>
      <c r="AB25" s="36"/>
      <c r="AC25" s="32">
        <f t="shared" si="10"/>
        <v>292.44</v>
      </c>
      <c r="AD25" s="37"/>
      <c r="AE25" s="37"/>
      <c r="AF25" s="37"/>
      <c r="AG25" s="37"/>
      <c r="AH25" s="37"/>
      <c r="AI25" s="37"/>
      <c r="AJ25" s="37"/>
      <c r="AK25" s="37"/>
      <c r="AL25" s="37">
        <v>292.44</v>
      </c>
      <c r="AM25" s="37"/>
      <c r="AN25" s="37"/>
      <c r="AO25" s="37"/>
      <c r="AP25" s="37"/>
      <c r="AQ25" s="37"/>
      <c r="AR25" s="37"/>
      <c r="AS25" s="37"/>
      <c r="AT25" s="38"/>
      <c r="AU25" s="1630"/>
      <c r="AV25" s="1342">
        <f t="shared" si="11"/>
        <v>0</v>
      </c>
      <c r="AW25" s="1342" t="str">
        <f t="shared" si="12"/>
        <v>现房</v>
      </c>
      <c r="AX25" s="1342" t="str">
        <f t="shared" si="13"/>
        <v>13#</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t="s">
        <v>3415</v>
      </c>
      <c r="C26" s="31" t="s">
        <v>3409</v>
      </c>
      <c r="D26" s="1624" t="s">
        <v>3418</v>
      </c>
      <c r="E26" s="32">
        <f t="shared" si="7"/>
        <v>7216.33</v>
      </c>
      <c r="F26" s="33"/>
      <c r="G26" s="34">
        <f t="shared" si="8"/>
        <v>20151.350000000002</v>
      </c>
      <c r="H26" s="35">
        <f t="shared" si="9"/>
        <v>19856.510000000002</v>
      </c>
      <c r="I26" s="36">
        <v>18018.59</v>
      </c>
      <c r="J26" s="36"/>
      <c r="K26" s="36">
        <v>1837.92</v>
      </c>
      <c r="L26" s="36"/>
      <c r="M26" s="36"/>
      <c r="N26" s="36"/>
      <c r="O26" s="36"/>
      <c r="P26" s="36"/>
      <c r="Q26" s="36"/>
      <c r="R26" s="36"/>
      <c r="S26" s="36"/>
      <c r="T26" s="36"/>
      <c r="U26" s="36"/>
      <c r="V26" s="36"/>
      <c r="W26" s="36"/>
      <c r="X26" s="36"/>
      <c r="Y26" s="36"/>
      <c r="Z26" s="36"/>
      <c r="AA26" s="36"/>
      <c r="AB26" s="36"/>
      <c r="AC26" s="32">
        <f t="shared" si="10"/>
        <v>294.83999999999997</v>
      </c>
      <c r="AD26" s="37"/>
      <c r="AE26" s="37"/>
      <c r="AF26" s="37"/>
      <c r="AG26" s="37"/>
      <c r="AH26" s="37"/>
      <c r="AI26" s="37"/>
      <c r="AJ26" s="37"/>
      <c r="AK26" s="37"/>
      <c r="AL26" s="37">
        <v>294.83999999999997</v>
      </c>
      <c r="AM26" s="37"/>
      <c r="AN26" s="37"/>
      <c r="AO26" s="37"/>
      <c r="AP26" s="37"/>
      <c r="AQ26" s="37"/>
      <c r="AR26" s="37"/>
      <c r="AS26" s="37"/>
      <c r="AT26" s="38"/>
      <c r="AU26" s="1630"/>
      <c r="AV26" s="1342">
        <f t="shared" si="11"/>
        <v>0</v>
      </c>
      <c r="AW26" s="1342" t="str">
        <f t="shared" si="12"/>
        <v>现房</v>
      </c>
      <c r="AX26" s="1342" t="str">
        <f t="shared" si="13"/>
        <v>14#</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t="s">
        <v>3415</v>
      </c>
      <c r="C27" s="31" t="s">
        <v>3410</v>
      </c>
      <c r="D27" s="1624" t="s">
        <v>3418</v>
      </c>
      <c r="E27" s="32">
        <f t="shared" si="7"/>
        <v>4957.7</v>
      </c>
      <c r="F27" s="33"/>
      <c r="G27" s="34">
        <f t="shared" si="8"/>
        <v>13844.220000000001</v>
      </c>
      <c r="H27" s="35">
        <f t="shared" si="9"/>
        <v>13551.78</v>
      </c>
      <c r="I27" s="36">
        <v>11728.85</v>
      </c>
      <c r="J27" s="36"/>
      <c r="K27" s="36">
        <v>1822.93</v>
      </c>
      <c r="L27" s="36"/>
      <c r="M27" s="36"/>
      <c r="N27" s="36"/>
      <c r="O27" s="36"/>
      <c r="P27" s="36"/>
      <c r="Q27" s="36"/>
      <c r="R27" s="36"/>
      <c r="S27" s="36"/>
      <c r="T27" s="36"/>
      <c r="U27" s="36"/>
      <c r="V27" s="36"/>
      <c r="W27" s="36"/>
      <c r="X27" s="36"/>
      <c r="Y27" s="36"/>
      <c r="Z27" s="36"/>
      <c r="AA27" s="36"/>
      <c r="AB27" s="36"/>
      <c r="AC27" s="32">
        <f t="shared" si="10"/>
        <v>292.44</v>
      </c>
      <c r="AD27" s="37"/>
      <c r="AE27" s="37"/>
      <c r="AF27" s="37"/>
      <c r="AG27" s="37"/>
      <c r="AH27" s="37"/>
      <c r="AI27" s="37"/>
      <c r="AJ27" s="37"/>
      <c r="AK27" s="37"/>
      <c r="AL27" s="37">
        <v>292.44</v>
      </c>
      <c r="AM27" s="37"/>
      <c r="AN27" s="37"/>
      <c r="AO27" s="37"/>
      <c r="AP27" s="37"/>
      <c r="AQ27" s="37"/>
      <c r="AR27" s="37"/>
      <c r="AS27" s="37"/>
      <c r="AT27" s="38"/>
      <c r="AU27" s="1630"/>
      <c r="AV27" s="1342">
        <f t="shared" si="11"/>
        <v>0</v>
      </c>
      <c r="AW27" s="1342" t="str">
        <f t="shared" si="12"/>
        <v>现房</v>
      </c>
      <c r="AX27" s="1342" t="str">
        <f t="shared" si="13"/>
        <v>15#</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449" t="s">
        <v>3416</v>
      </c>
      <c r="C28" s="31" t="s">
        <v>3411</v>
      </c>
      <c r="D28" s="1629" t="s">
        <v>3419</v>
      </c>
      <c r="E28" s="32">
        <f t="shared" si="7"/>
        <v>7086.08</v>
      </c>
      <c r="F28" s="33"/>
      <c r="G28" s="34">
        <f t="shared" si="8"/>
        <v>19787.64</v>
      </c>
      <c r="H28" s="35">
        <f t="shared" si="9"/>
        <v>19492.72</v>
      </c>
      <c r="I28" s="36">
        <v>17658.11</v>
      </c>
      <c r="J28" s="36"/>
      <c r="K28" s="36">
        <v>1834.61</v>
      </c>
      <c r="L28" s="36"/>
      <c r="M28" s="36"/>
      <c r="N28" s="36"/>
      <c r="O28" s="36"/>
      <c r="P28" s="36"/>
      <c r="Q28" s="36"/>
      <c r="R28" s="36"/>
      <c r="S28" s="36"/>
      <c r="T28" s="36"/>
      <c r="U28" s="36"/>
      <c r="V28" s="36"/>
      <c r="W28" s="36"/>
      <c r="X28" s="36"/>
      <c r="Y28" s="36"/>
      <c r="Z28" s="36"/>
      <c r="AA28" s="36"/>
      <c r="AB28" s="36"/>
      <c r="AC28" s="32">
        <f t="shared" si="10"/>
        <v>294.92</v>
      </c>
      <c r="AD28" s="37"/>
      <c r="AE28" s="37"/>
      <c r="AF28" s="37"/>
      <c r="AG28" s="37"/>
      <c r="AH28" s="37"/>
      <c r="AI28" s="37"/>
      <c r="AJ28" s="37"/>
      <c r="AK28" s="37"/>
      <c r="AL28" s="37">
        <v>294.92</v>
      </c>
      <c r="AM28" s="37"/>
      <c r="AN28" s="37"/>
      <c r="AO28" s="37"/>
      <c r="AP28" s="37"/>
      <c r="AQ28" s="37"/>
      <c r="AR28" s="37"/>
      <c r="AS28" s="37"/>
      <c r="AT28" s="38"/>
      <c r="AU28" s="1630"/>
      <c r="AV28" s="1342">
        <f t="shared" si="11"/>
        <v>0</v>
      </c>
      <c r="AW28" s="1342" t="str">
        <f t="shared" si="12"/>
        <v>在建</v>
      </c>
      <c r="AX28" s="1342" t="str">
        <f t="shared" si="13"/>
        <v>16#</v>
      </c>
      <c r="AY28" s="39">
        <f t="shared" si="14"/>
        <v>6811.09</v>
      </c>
      <c r="AZ28" s="32">
        <f t="shared" si="15"/>
        <v>19787.64</v>
      </c>
      <c r="BA28" s="32">
        <f t="shared" si="16"/>
        <v>19492.72</v>
      </c>
      <c r="BB28" s="32">
        <f t="shared" si="17"/>
        <v>17658.11</v>
      </c>
      <c r="BC28" s="32">
        <f t="shared" si="18"/>
        <v>1834.61</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294.92</v>
      </c>
      <c r="BM28" s="32">
        <f t="shared" si="28"/>
        <v>0</v>
      </c>
      <c r="BN28" s="32">
        <f t="shared" si="29"/>
        <v>0</v>
      </c>
      <c r="BO28" s="32">
        <f t="shared" si="30"/>
        <v>0</v>
      </c>
      <c r="BP28" s="32">
        <f t="shared" si="31"/>
        <v>0</v>
      </c>
      <c r="BQ28" s="32">
        <f t="shared" si="32"/>
        <v>294.92</v>
      </c>
      <c r="BR28" s="32">
        <f t="shared" si="33"/>
        <v>0</v>
      </c>
      <c r="BS28" s="32">
        <f t="shared" si="34"/>
        <v>0</v>
      </c>
      <c r="BT28" s="40">
        <f t="shared" si="35"/>
        <v>0</v>
      </c>
    </row>
    <row r="29" spans="1:72">
      <c r="A29" s="6"/>
      <c r="B29" s="31" t="s">
        <v>3415</v>
      </c>
      <c r="C29" s="31" t="s">
        <v>3412</v>
      </c>
      <c r="D29" s="1624" t="s">
        <v>3418</v>
      </c>
      <c r="E29" s="32">
        <f t="shared" si="7"/>
        <v>5041.82</v>
      </c>
      <c r="F29" s="33"/>
      <c r="G29" s="34">
        <f t="shared" si="8"/>
        <v>14079.11</v>
      </c>
      <c r="H29" s="35">
        <f t="shared" si="9"/>
        <v>13786.67</v>
      </c>
      <c r="I29" s="36">
        <v>11958.17</v>
      </c>
      <c r="J29" s="36"/>
      <c r="K29" s="36">
        <v>1828.5</v>
      </c>
      <c r="L29" s="36"/>
      <c r="M29" s="36"/>
      <c r="N29" s="36"/>
      <c r="O29" s="36"/>
      <c r="P29" s="36"/>
      <c r="Q29" s="36"/>
      <c r="R29" s="36"/>
      <c r="S29" s="36"/>
      <c r="T29" s="36"/>
      <c r="U29" s="36"/>
      <c r="V29" s="36"/>
      <c r="W29" s="36"/>
      <c r="X29" s="36"/>
      <c r="Y29" s="36"/>
      <c r="Z29" s="36"/>
      <c r="AA29" s="36"/>
      <c r="AB29" s="36"/>
      <c r="AC29" s="32">
        <f t="shared" si="10"/>
        <v>292.44</v>
      </c>
      <c r="AD29" s="37"/>
      <c r="AE29" s="37"/>
      <c r="AF29" s="37"/>
      <c r="AG29" s="37"/>
      <c r="AH29" s="37"/>
      <c r="AI29" s="37"/>
      <c r="AJ29" s="37"/>
      <c r="AK29" s="37"/>
      <c r="AL29" s="37">
        <v>292.44</v>
      </c>
      <c r="AM29" s="37"/>
      <c r="AN29" s="37"/>
      <c r="AO29" s="37"/>
      <c r="AP29" s="37"/>
      <c r="AQ29" s="37"/>
      <c r="AR29" s="37"/>
      <c r="AS29" s="37"/>
      <c r="AT29" s="38"/>
      <c r="AU29" s="1630"/>
      <c r="AV29" s="1342">
        <f t="shared" si="11"/>
        <v>0</v>
      </c>
      <c r="AW29" s="1342" t="str">
        <f t="shared" si="12"/>
        <v>现房</v>
      </c>
      <c r="AX29" s="1342" t="str">
        <f t="shared" si="13"/>
        <v>17#</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t="s">
        <v>3415</v>
      </c>
      <c r="C30" s="31" t="s">
        <v>3413</v>
      </c>
      <c r="D30" s="1624" t="s">
        <v>3418</v>
      </c>
      <c r="E30" s="32">
        <f t="shared" si="7"/>
        <v>5000.2700000000004</v>
      </c>
      <c r="F30" s="33"/>
      <c r="G30" s="34">
        <f t="shared" si="8"/>
        <v>13963.08</v>
      </c>
      <c r="H30" s="35">
        <f t="shared" si="9"/>
        <v>13670.64</v>
      </c>
      <c r="I30" s="36">
        <v>11836</v>
      </c>
      <c r="J30" s="36"/>
      <c r="K30" s="36">
        <v>1834.64</v>
      </c>
      <c r="L30" s="36"/>
      <c r="M30" s="36"/>
      <c r="N30" s="36"/>
      <c r="O30" s="36"/>
      <c r="P30" s="36"/>
      <c r="Q30" s="36"/>
      <c r="R30" s="36"/>
      <c r="S30" s="36"/>
      <c r="T30" s="36"/>
      <c r="U30" s="36"/>
      <c r="V30" s="36"/>
      <c r="W30" s="36"/>
      <c r="X30" s="36"/>
      <c r="Y30" s="36"/>
      <c r="Z30" s="36"/>
      <c r="AA30" s="36"/>
      <c r="AB30" s="36"/>
      <c r="AC30" s="32">
        <f t="shared" si="10"/>
        <v>292.44</v>
      </c>
      <c r="AD30" s="37"/>
      <c r="AE30" s="37"/>
      <c r="AF30" s="37"/>
      <c r="AG30" s="37"/>
      <c r="AH30" s="37"/>
      <c r="AI30" s="37"/>
      <c r="AJ30" s="37"/>
      <c r="AK30" s="37"/>
      <c r="AL30" s="37">
        <v>292.44</v>
      </c>
      <c r="AM30" s="37"/>
      <c r="AN30" s="37"/>
      <c r="AO30" s="37"/>
      <c r="AP30" s="37"/>
      <c r="AQ30" s="37"/>
      <c r="AR30" s="37"/>
      <c r="AS30" s="37"/>
      <c r="AT30" s="38"/>
      <c r="AU30" s="1630"/>
      <c r="AV30" s="1342">
        <f t="shared" si="11"/>
        <v>0</v>
      </c>
      <c r="AW30" s="1342" t="str">
        <f t="shared" si="12"/>
        <v>现房</v>
      </c>
      <c r="AX30" s="1342" t="str">
        <f t="shared" si="13"/>
        <v>18#</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t="s">
        <v>3415</v>
      </c>
      <c r="C31" s="31" t="s">
        <v>3414</v>
      </c>
      <c r="D31" s="1624" t="s">
        <v>3418</v>
      </c>
      <c r="E31" s="32">
        <f t="shared" si="7"/>
        <v>17773.77</v>
      </c>
      <c r="F31" s="33"/>
      <c r="G31" s="34">
        <f t="shared" si="8"/>
        <v>80956.81</v>
      </c>
      <c r="H31" s="35">
        <f t="shared" si="9"/>
        <v>46158.36</v>
      </c>
      <c r="I31" s="36"/>
      <c r="J31" s="36"/>
      <c r="K31" s="36">
        <v>6948.57</v>
      </c>
      <c r="L31" s="36"/>
      <c r="M31" s="36">
        <v>39209.79</v>
      </c>
      <c r="N31" s="36"/>
      <c r="O31" s="36"/>
      <c r="P31" s="36"/>
      <c r="Q31" s="36"/>
      <c r="R31" s="36"/>
      <c r="S31" s="36"/>
      <c r="T31" s="36"/>
      <c r="U31" s="36"/>
      <c r="V31" s="36"/>
      <c r="W31" s="36"/>
      <c r="X31" s="36"/>
      <c r="Y31" s="36"/>
      <c r="Z31" s="36"/>
      <c r="AA31" s="36"/>
      <c r="AB31" s="36"/>
      <c r="AC31" s="32">
        <f t="shared" si="10"/>
        <v>3474.28</v>
      </c>
      <c r="AD31" s="37"/>
      <c r="AE31" s="37"/>
      <c r="AF31" s="37"/>
      <c r="AG31" s="37"/>
      <c r="AH31" s="37"/>
      <c r="AI31" s="37"/>
      <c r="AJ31" s="37"/>
      <c r="AK31" s="37"/>
      <c r="AL31" s="37"/>
      <c r="AM31" s="37"/>
      <c r="AN31" s="37">
        <v>3474.28</v>
      </c>
      <c r="AO31" s="37"/>
      <c r="AP31" s="37"/>
      <c r="AQ31" s="37"/>
      <c r="AR31" s="37"/>
      <c r="AS31" s="37"/>
      <c r="AT31" s="38">
        <v>31324.17</v>
      </c>
      <c r="AU31" s="1630"/>
      <c r="AV31" s="1342">
        <f t="shared" si="11"/>
        <v>0</v>
      </c>
      <c r="AW31" s="1342" t="str">
        <f t="shared" si="12"/>
        <v>现房</v>
      </c>
      <c r="AX31" s="1342" t="str">
        <f t="shared" si="13"/>
        <v>地下车库</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50" t="s">
        <v>1131</v>
      </c>
      <c r="B2" s="3550"/>
      <c r="C2" s="3550"/>
      <c r="D2" s="796" t="s">
        <v>1107</v>
      </c>
      <c r="E2" s="1638" t="s">
        <v>1108</v>
      </c>
      <c r="F2" s="2657"/>
      <c r="G2" s="2648"/>
      <c r="H2" s="2649"/>
      <c r="I2" s="2324" t="s">
        <v>1132</v>
      </c>
      <c r="J2" s="2657"/>
      <c r="K2" s="2657"/>
      <c r="L2" s="2657"/>
      <c r="M2" s="2657"/>
      <c r="N2" s="2659"/>
      <c r="O2" s="2657"/>
      <c r="P2" s="2657"/>
    </row>
    <row r="3" spans="1:16" ht="15.75" thickBot="1">
      <c r="A3" s="3551" t="s">
        <v>1105</v>
      </c>
      <c r="B3" s="3551"/>
      <c r="C3" s="3551"/>
      <c r="D3" s="43">
        <f>'数据-基础表'!AY6</f>
        <v>20455.650000000001</v>
      </c>
      <c r="E3" s="43">
        <f>'数据-基础表'!AZ5</f>
        <v>59427.91</v>
      </c>
      <c r="F3" s="2657"/>
      <c r="G3" s="1144"/>
      <c r="H3" s="1026" t="s">
        <v>1106</v>
      </c>
      <c r="I3" s="855">
        <f>ROUND('数据-基础表'!B3/'数据-基础表'!A3,2)</f>
        <v>2.79</v>
      </c>
      <c r="J3" s="2657"/>
      <c r="K3" s="2657"/>
      <c r="L3" s="2657"/>
      <c r="M3" s="2657"/>
      <c r="N3" s="2659"/>
      <c r="O3" s="2657"/>
      <c r="P3" s="2657"/>
    </row>
    <row r="4" spans="1:16" ht="15">
      <c r="A4" s="3552"/>
      <c r="B4" s="3553"/>
      <c r="C4" s="3554"/>
      <c r="D4" s="1640" t="s">
        <v>1107</v>
      </c>
      <c r="E4" s="1641" t="s">
        <v>1108</v>
      </c>
      <c r="F4" s="2657"/>
      <c r="G4" s="2650" t="s">
        <v>1133</v>
      </c>
      <c r="H4" s="1026" t="s">
        <v>1113</v>
      </c>
      <c r="I4" s="855">
        <f>ROUND(SUMIF('数据-基础表'!I9:AS9,"地上",'数据-基础表'!I5:AS5)/'数据-基础表'!A3,2)</f>
        <v>2.17</v>
      </c>
      <c r="J4" s="2657"/>
      <c r="K4" s="2657"/>
      <c r="L4" s="2657"/>
      <c r="M4" s="2657"/>
      <c r="N4" s="2659"/>
      <c r="O4" s="2657"/>
      <c r="P4" s="2657"/>
    </row>
    <row r="5" spans="1:16">
      <c r="A5" s="44" t="s">
        <v>1109</v>
      </c>
      <c r="B5" s="3555" t="s">
        <v>1110</v>
      </c>
      <c r="C5" s="3555"/>
      <c r="D5" s="45">
        <f>ROUND($D$3*E5/$E$3,2)</f>
        <v>0</v>
      </c>
      <c r="E5" s="46">
        <f>SUMIF('数据-基础表'!$11:$11,"住宅",'数据-基础表'!$5:$5)</f>
        <v>0</v>
      </c>
      <c r="F5" s="2657"/>
      <c r="G5" s="1144"/>
      <c r="H5" s="1026" t="s">
        <v>1106</v>
      </c>
      <c r="I5" s="855">
        <f>ROUND(E31/D31,2)</f>
        <v>2.91</v>
      </c>
      <c r="J5" s="2657"/>
      <c r="K5" s="2657"/>
      <c r="L5" s="2657"/>
      <c r="M5" s="2657"/>
      <c r="N5" s="2657"/>
      <c r="O5" s="2657"/>
      <c r="P5" s="2657"/>
    </row>
    <row r="6" spans="1:16" ht="15" thickBot="1">
      <c r="A6" s="1643"/>
      <c r="B6" s="3555" t="s">
        <v>1111</v>
      </c>
      <c r="C6" s="3555"/>
      <c r="D6" s="45">
        <f>ROUND($D$3*E6/$E$3,2)</f>
        <v>20455.650000000001</v>
      </c>
      <c r="E6" s="46">
        <f>E3-E5</f>
        <v>59427.91</v>
      </c>
      <c r="F6" s="2657"/>
      <c r="G6" s="2651" t="s">
        <v>1112</v>
      </c>
      <c r="H6" s="1145" t="s">
        <v>1113</v>
      </c>
      <c r="I6" s="2652">
        <f>ROUND(F31/D31,2)</f>
        <v>2.64</v>
      </c>
      <c r="J6" s="2657"/>
      <c r="K6" s="2657"/>
      <c r="L6" s="2657"/>
      <c r="M6" s="2657"/>
      <c r="N6" s="2657"/>
      <c r="O6" s="2657"/>
      <c r="P6" s="2657"/>
    </row>
    <row r="7" spans="1:16" ht="15.75" thickBot="1">
      <c r="A7" s="3547"/>
      <c r="B7" s="3548"/>
      <c r="C7" s="3549"/>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18234.27</v>
      </c>
      <c r="E8" s="48">
        <f>SUMIF('数据-基础表'!BB10:BK10,"地上",'数据-基础表'!BB5:BK5)</f>
        <v>52974.33</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18234.27</v>
      </c>
      <c r="E16" s="50">
        <f>SUM(E8:E15)</f>
        <v>52974.33</v>
      </c>
      <c r="F16" s="2657"/>
      <c r="G16" s="2658"/>
      <c r="H16" s="1647" t="s">
        <v>1135</v>
      </c>
      <c r="I16" s="1648"/>
      <c r="J16" s="1138"/>
      <c r="K16" s="3544" t="s">
        <v>1135</v>
      </c>
      <c r="L16" s="3545"/>
      <c r="M16" s="3545"/>
      <c r="N16" s="3545"/>
      <c r="O16" s="3545"/>
      <c r="P16" s="3546"/>
    </row>
    <row r="17" spans="1:19" ht="15">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5">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c r="A19" s="1666"/>
      <c r="B19" s="47" t="s">
        <v>1125</v>
      </c>
      <c r="C19" s="3414" t="s">
        <v>3425</v>
      </c>
      <c r="D19" s="45">
        <f>ROUND($D$3*E19/$E$3,2)</f>
        <v>20128.29</v>
      </c>
      <c r="E19" s="53">
        <f t="shared" ref="E19:E26" si="1">SUM(F19:G19)</f>
        <v>58476.87</v>
      </c>
      <c r="F19" s="2792">
        <f>'数据-基础表'!I18+'数据-基础表'!I22+'数据-基础表'!I28</f>
        <v>52974.33</v>
      </c>
      <c r="G19" s="2793">
        <f>'数据-基础表'!K18+'数据-基础表'!K22+'数据-基础表'!K28</f>
        <v>5502.54</v>
      </c>
      <c r="H19" s="670">
        <f>ROUND($D$3*I19/$E$3,2)</f>
        <v>327.36</v>
      </c>
      <c r="I19" s="48">
        <f t="shared" ref="I19:I26" si="2">IF($I$17="自定义",P19,M19)</f>
        <v>951.04</v>
      </c>
      <c r="J19" s="1138"/>
      <c r="K19" s="1137">
        <f t="shared" ref="K19:K26" si="3">ROUND(E$28*E19/E$27,2)</f>
        <v>951.04</v>
      </c>
      <c r="L19" s="1026">
        <f t="shared" ref="L19:L26" si="4">ROUND(IF(COUNTIF(C19,"*住宅*")&gt;0,E$29*E19/E$32,0),2)</f>
        <v>0</v>
      </c>
      <c r="M19" s="1149">
        <f>K19+L19</f>
        <v>951.04</v>
      </c>
      <c r="N19" s="1667"/>
      <c r="O19" s="1668"/>
      <c r="P19" s="1149">
        <f>N19+O19</f>
        <v>0</v>
      </c>
      <c r="R19" s="1026">
        <f t="shared" ref="R19:S26" si="5">D19+H19</f>
        <v>20455.650000000001</v>
      </c>
      <c r="S19" s="1027">
        <f t="shared" si="5"/>
        <v>59427.91</v>
      </c>
    </row>
    <row r="20" spans="1:19">
      <c r="A20" s="1669"/>
      <c r="B20" s="47" t="s">
        <v>1153</v>
      </c>
      <c r="C20" s="3414"/>
      <c r="D20" s="45">
        <f t="shared" ref="D20:D26" si="6">ROUND($D$3*E20/$E$3,2)</f>
        <v>0</v>
      </c>
      <c r="E20" s="53">
        <f t="shared" si="1"/>
        <v>0</v>
      </c>
      <c r="F20" s="2792"/>
      <c r="G20" s="2793"/>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0</v>
      </c>
      <c r="S20" s="1027">
        <f t="shared" si="5"/>
        <v>0</v>
      </c>
    </row>
    <row r="21" spans="1:19">
      <c r="A21" s="1669"/>
      <c r="B21" s="47" t="s">
        <v>1153</v>
      </c>
      <c r="C21" s="3414"/>
      <c r="D21" s="45">
        <f t="shared" si="6"/>
        <v>0</v>
      </c>
      <c r="E21" s="53">
        <f t="shared" si="1"/>
        <v>0</v>
      </c>
      <c r="F21" s="2792"/>
      <c r="G21" s="2793"/>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c r="A22" s="1669"/>
      <c r="B22" s="47" t="s">
        <v>1153</v>
      </c>
      <c r="C22" s="3415"/>
      <c r="D22" s="45">
        <f t="shared" si="6"/>
        <v>0</v>
      </c>
      <c r="E22" s="53">
        <f t="shared" si="1"/>
        <v>0</v>
      </c>
      <c r="F22" s="2794"/>
      <c r="G22" s="2795"/>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c r="A23" s="1669"/>
      <c r="B23" s="47" t="s">
        <v>1153</v>
      </c>
      <c r="C23" s="3415"/>
      <c r="D23" s="45">
        <f>ROUND($D$3*E23/$E$3,2)</f>
        <v>0</v>
      </c>
      <c r="E23" s="53">
        <f>SUM(F23:G23)</f>
        <v>0</v>
      </c>
      <c r="F23" s="2794"/>
      <c r="G23" s="2795"/>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c r="A24" s="1669"/>
      <c r="B24" s="47" t="s">
        <v>1153</v>
      </c>
      <c r="C24" s="3415"/>
      <c r="D24" s="45">
        <f>ROUND($D$3*E24/$E$3,2)</f>
        <v>0</v>
      </c>
      <c r="E24" s="53">
        <f>SUM(F24:G24)</f>
        <v>0</v>
      </c>
      <c r="F24" s="2794"/>
      <c r="G24" s="2795"/>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75" thickBot="1">
      <c r="A27" s="1669"/>
      <c r="B27" s="45"/>
      <c r="C27" s="1672" t="s">
        <v>1154</v>
      </c>
      <c r="D27" s="1139">
        <f>SUM(D19:D26)</f>
        <v>20128.29</v>
      </c>
      <c r="E27" s="1140">
        <f>IF(SUM(E19:E26)='数据-基础表'!BA5,SUM(E19:E26),IF(F27="地上面积有误","面积有误","地下面积有误"))</f>
        <v>58476.87</v>
      </c>
      <c r="F27" s="1139">
        <f>IF(SUM(F19:F26)=E8,SUM(F19:F26),"地上面积有误")</f>
        <v>52974.33</v>
      </c>
      <c r="G27" s="1141">
        <f>SUM(G19:G26)</f>
        <v>5502.54</v>
      </c>
      <c r="H27" s="1142">
        <f>SUM(H19:H26)</f>
        <v>327.36</v>
      </c>
      <c r="I27" s="1143">
        <f>SUM(I19:I26)</f>
        <v>951.04</v>
      </c>
      <c r="J27" s="1138"/>
      <c r="K27" s="1146">
        <f>SUM(K19:K26)</f>
        <v>951.04</v>
      </c>
      <c r="L27" s="1147">
        <f>SUM(L19:L26)</f>
        <v>0</v>
      </c>
      <c r="M27" s="1150">
        <f>SUM(M19:M26)</f>
        <v>951.04</v>
      </c>
      <c r="N27" s="1146">
        <f t="shared" ref="N27:O27" si="10">SUM(N19:N26)</f>
        <v>0</v>
      </c>
      <c r="O27" s="1147">
        <f t="shared" si="10"/>
        <v>0</v>
      </c>
      <c r="P27" s="1148">
        <f>SUM(P19:P26)</f>
        <v>0</v>
      </c>
      <c r="R27" s="1028">
        <f>IF(SUM(R19:R26)=$D$3,SUM(R19:R26),SUM(R19:R26)&amp;"误差"&amp;ROUND(SUM(R19:R26)-$D$3,2))</f>
        <v>20455.650000000001</v>
      </c>
      <c r="S27" s="1026">
        <f>IF(SUM(S19:S26)=$E$3,SUM(S19:S26),SUM(S19:S26)&amp;"误差"&amp;ROUND(SUM(S19:S26)-E3,2))</f>
        <v>59427.91</v>
      </c>
    </row>
    <row r="28" spans="1:19">
      <c r="A28" s="1669"/>
      <c r="B28" s="47" t="s">
        <v>1155</v>
      </c>
      <c r="C28" s="1038" t="s">
        <v>1156</v>
      </c>
      <c r="D28" s="45">
        <f>ROUND($D$3*E28/$E$3,2)</f>
        <v>327.36</v>
      </c>
      <c r="E28" s="53">
        <f>SUM(F28:G28)</f>
        <v>951.04</v>
      </c>
      <c r="F28" s="56">
        <f>'数据-基础表'!BQ5+'数据-基础表'!BS5</f>
        <v>951.04</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327.36</v>
      </c>
      <c r="E30" s="1139">
        <f>SUM(E28:E29)</f>
        <v>951.04</v>
      </c>
      <c r="F30" s="1139">
        <f>SUM(F28:F29)</f>
        <v>951.04</v>
      </c>
      <c r="G30" s="1141">
        <f>SUM(G28:G29)</f>
        <v>0</v>
      </c>
      <c r="H30" s="2657"/>
      <c r="I30" s="2657"/>
      <c r="J30" s="2657"/>
      <c r="K30" s="2657"/>
      <c r="L30" s="2657"/>
      <c r="M30" s="2657"/>
      <c r="N30" s="2657"/>
      <c r="O30" s="2657"/>
      <c r="P30" s="2657"/>
    </row>
    <row r="31" spans="1:19" ht="15.75" thickBot="1">
      <c r="A31" s="1675"/>
      <c r="B31" s="1676"/>
      <c r="C31" s="835" t="s">
        <v>1158</v>
      </c>
      <c r="D31" s="676">
        <f>D27+D30</f>
        <v>20455.650000000001</v>
      </c>
      <c r="E31" s="676">
        <f>E27+E30</f>
        <v>59427.91</v>
      </c>
      <c r="F31" s="677">
        <f>F27+F30</f>
        <v>53925.37</v>
      </c>
      <c r="G31" s="678">
        <f>G27+G30</f>
        <v>5502.54</v>
      </c>
      <c r="H31" s="2657"/>
      <c r="I31" s="2657"/>
      <c r="J31" s="2657"/>
      <c r="K31" s="2657"/>
      <c r="L31" s="2657"/>
      <c r="M31" s="2657"/>
      <c r="N31" s="2657"/>
      <c r="O31" s="2657"/>
      <c r="P31" s="2657"/>
    </row>
    <row r="32" spans="1:19">
      <c r="A32" s="1642"/>
      <c r="B32" s="1642" t="s">
        <v>1159</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Q52"/>
  <sheetViews>
    <sheetView topLeftCell="A13" workbookViewId="0">
      <selection activeCell="I35" sqref="I35"/>
    </sheetView>
  </sheetViews>
  <sheetFormatPr defaultRowHeight="13.5"/>
  <cols>
    <col min="2" max="2" width="12.25" customWidth="1"/>
    <col min="6" max="6" width="11.375" customWidth="1"/>
    <col min="7" max="7" width="11.625" bestFit="1" customWidth="1"/>
    <col min="9" max="9" width="11.75" customWidth="1"/>
    <col min="13" max="13" width="10.5" bestFit="1" customWidth="1"/>
  </cols>
  <sheetData>
    <row r="2" spans="1:13">
      <c r="A2" s="3450"/>
      <c r="B2" s="3451" t="s">
        <v>3426</v>
      </c>
      <c r="C2" s="3451" t="s">
        <v>3427</v>
      </c>
      <c r="D2" s="3451" t="s">
        <v>3428</v>
      </c>
      <c r="E2" s="3450" t="s">
        <v>3429</v>
      </c>
      <c r="F2" s="3452" t="s">
        <v>3430</v>
      </c>
      <c r="G2" s="3451" t="s">
        <v>3431</v>
      </c>
      <c r="H2" s="3451" t="s">
        <v>3432</v>
      </c>
      <c r="I2" s="3451" t="s">
        <v>3433</v>
      </c>
      <c r="J2" s="3451" t="s">
        <v>3434</v>
      </c>
    </row>
    <row r="3" spans="1:13">
      <c r="A3" s="3451" t="s">
        <v>3435</v>
      </c>
      <c r="B3">
        <v>17658.11</v>
      </c>
      <c r="C3">
        <v>1837.58</v>
      </c>
      <c r="D3">
        <v>294.92</v>
      </c>
      <c r="F3">
        <f t="shared" ref="F3:F20" si="0">SUM(B3:E3)</f>
        <v>19790.61</v>
      </c>
      <c r="H3" s="3453" t="s">
        <v>3436</v>
      </c>
      <c r="I3" s="3453" t="s">
        <v>3437</v>
      </c>
      <c r="J3">
        <v>9</v>
      </c>
    </row>
    <row r="4" spans="1:13">
      <c r="A4" s="3451" t="s">
        <v>3438</v>
      </c>
      <c r="B4">
        <v>17658.11</v>
      </c>
      <c r="C4">
        <v>1832.56</v>
      </c>
      <c r="D4">
        <v>294.92</v>
      </c>
      <c r="F4">
        <f t="shared" si="0"/>
        <v>19785.59</v>
      </c>
      <c r="H4" s="3453" t="s">
        <v>3436</v>
      </c>
      <c r="I4" s="3453" t="s">
        <v>3437</v>
      </c>
      <c r="J4">
        <v>9</v>
      </c>
    </row>
    <row r="5" spans="1:13">
      <c r="A5" s="3454" t="s">
        <v>3439</v>
      </c>
      <c r="B5">
        <v>17658.11</v>
      </c>
      <c r="C5">
        <v>1842.18</v>
      </c>
      <c r="D5">
        <v>294.92</v>
      </c>
      <c r="F5">
        <f t="shared" si="0"/>
        <v>19795.21</v>
      </c>
      <c r="H5" s="3453" t="s">
        <v>3436</v>
      </c>
      <c r="I5" s="3453" t="s">
        <v>3440</v>
      </c>
      <c r="J5">
        <v>9</v>
      </c>
    </row>
    <row r="6" spans="1:13">
      <c r="A6" s="3455" t="s">
        <v>3441</v>
      </c>
      <c r="B6">
        <v>11307.49</v>
      </c>
      <c r="C6">
        <v>1828.26</v>
      </c>
      <c r="D6">
        <v>292.44</v>
      </c>
      <c r="F6">
        <f t="shared" si="0"/>
        <v>13428.19</v>
      </c>
      <c r="H6" s="3453" t="s">
        <v>3436</v>
      </c>
      <c r="I6" s="3453" t="s">
        <v>3440</v>
      </c>
      <c r="J6">
        <v>6</v>
      </c>
    </row>
    <row r="7" spans="1:13">
      <c r="A7" s="3451" t="s">
        <v>3442</v>
      </c>
      <c r="B7">
        <v>17658.11</v>
      </c>
      <c r="C7">
        <v>1831.24</v>
      </c>
      <c r="D7">
        <v>294.92</v>
      </c>
      <c r="F7">
        <f t="shared" si="0"/>
        <v>19784.27</v>
      </c>
      <c r="H7" s="3453" t="s">
        <v>3436</v>
      </c>
      <c r="I7" s="3453" t="s">
        <v>3440</v>
      </c>
      <c r="J7">
        <v>9</v>
      </c>
      <c r="M7">
        <f>F7*15000</f>
        <v>296764050</v>
      </c>
    </row>
    <row r="8" spans="1:13">
      <c r="A8" s="3456" t="s">
        <v>3443</v>
      </c>
      <c r="B8" s="3457">
        <v>17658.11</v>
      </c>
      <c r="C8" s="3457">
        <v>1834.45</v>
      </c>
      <c r="D8" s="3457">
        <v>294.92</v>
      </c>
      <c r="E8" s="3457"/>
      <c r="F8" s="3457">
        <f t="shared" si="0"/>
        <v>19787.48</v>
      </c>
      <c r="G8" s="3457"/>
      <c r="H8" s="3458" t="s">
        <v>3444</v>
      </c>
      <c r="I8" s="3458" t="s">
        <v>3440</v>
      </c>
      <c r="J8">
        <v>9</v>
      </c>
    </row>
    <row r="9" spans="1:13">
      <c r="A9" s="3455" t="s">
        <v>3445</v>
      </c>
      <c r="B9">
        <v>11958.17</v>
      </c>
      <c r="C9">
        <v>1822.18</v>
      </c>
      <c r="D9">
        <v>292.44</v>
      </c>
      <c r="F9">
        <f t="shared" si="0"/>
        <v>14072.79</v>
      </c>
      <c r="H9" s="3453" t="s">
        <v>3436</v>
      </c>
      <c r="I9" s="3453" t="s">
        <v>3440</v>
      </c>
      <c r="J9">
        <v>6</v>
      </c>
    </row>
    <row r="10" spans="1:13">
      <c r="A10" s="3459" t="s">
        <v>3446</v>
      </c>
      <c r="B10" s="3460">
        <v>18018.59</v>
      </c>
      <c r="C10" s="3460">
        <v>1842.94</v>
      </c>
      <c r="D10" s="3460">
        <v>294.83999999999997</v>
      </c>
      <c r="E10" s="3460"/>
      <c r="F10" s="3460">
        <f t="shared" si="0"/>
        <v>20156.37</v>
      </c>
      <c r="G10" s="3460"/>
      <c r="H10" s="3461" t="s">
        <v>3436</v>
      </c>
      <c r="I10" s="3461" t="s">
        <v>3447</v>
      </c>
      <c r="J10">
        <v>9</v>
      </c>
    </row>
    <row r="11" spans="1:13">
      <c r="A11" s="3451" t="s">
        <v>3448</v>
      </c>
      <c r="B11">
        <v>17658.11</v>
      </c>
      <c r="C11">
        <v>1836.4</v>
      </c>
      <c r="D11">
        <v>294.92</v>
      </c>
      <c r="F11">
        <f t="shared" si="0"/>
        <v>19789.43</v>
      </c>
      <c r="H11" s="3453" t="s">
        <v>3436</v>
      </c>
      <c r="I11" s="3453" t="s">
        <v>3440</v>
      </c>
      <c r="J11">
        <v>9</v>
      </c>
      <c r="M11">
        <f>F11*15000</f>
        <v>296841450</v>
      </c>
    </row>
    <row r="12" spans="1:13">
      <c r="A12" s="3456" t="s">
        <v>3449</v>
      </c>
      <c r="B12" s="3457">
        <v>17658.11</v>
      </c>
      <c r="C12" s="3457">
        <v>1833.48</v>
      </c>
      <c r="D12" s="3457">
        <v>361.2</v>
      </c>
      <c r="E12" s="3457"/>
      <c r="F12" s="3457">
        <f t="shared" si="0"/>
        <v>19852.79</v>
      </c>
      <c r="G12" s="3457"/>
      <c r="H12" s="3458" t="s">
        <v>3444</v>
      </c>
      <c r="I12" s="3453" t="s">
        <v>3450</v>
      </c>
      <c r="J12">
        <v>9</v>
      </c>
    </row>
    <row r="13" spans="1:13">
      <c r="A13" s="3454" t="s">
        <v>3451</v>
      </c>
      <c r="B13">
        <v>18018.59</v>
      </c>
      <c r="C13">
        <v>1848.39</v>
      </c>
      <c r="D13">
        <v>296.91000000000003</v>
      </c>
      <c r="F13">
        <f t="shared" si="0"/>
        <v>20163.89</v>
      </c>
      <c r="H13" s="3453" t="s">
        <v>3436</v>
      </c>
      <c r="I13" s="3453" t="s">
        <v>3440</v>
      </c>
      <c r="J13">
        <v>9</v>
      </c>
    </row>
    <row r="14" spans="1:13">
      <c r="A14" s="3454" t="s">
        <v>3452</v>
      </c>
      <c r="B14" s="3462">
        <v>17658.11</v>
      </c>
      <c r="C14" s="3462">
        <v>1831.19</v>
      </c>
      <c r="D14" s="3462">
        <v>294.92</v>
      </c>
      <c r="E14" s="3462"/>
      <c r="F14" s="3462">
        <f t="shared" si="0"/>
        <v>19784.219999999998</v>
      </c>
      <c r="G14" s="3462"/>
      <c r="H14" s="3453" t="s">
        <v>3436</v>
      </c>
      <c r="I14" s="3453" t="s">
        <v>3440</v>
      </c>
      <c r="J14">
        <v>9</v>
      </c>
      <c r="L14" s="3463" t="s">
        <v>3453</v>
      </c>
    </row>
    <row r="15" spans="1:13">
      <c r="A15" s="3455" t="s">
        <v>3454</v>
      </c>
      <c r="B15">
        <v>11958.17</v>
      </c>
      <c r="C15">
        <v>1822.15</v>
      </c>
      <c r="D15">
        <v>292.44</v>
      </c>
      <c r="F15">
        <f t="shared" si="0"/>
        <v>14072.76</v>
      </c>
      <c r="H15" s="3453" t="s">
        <v>3436</v>
      </c>
      <c r="I15" s="3453" t="s">
        <v>3440</v>
      </c>
      <c r="J15">
        <v>6</v>
      </c>
    </row>
    <row r="16" spans="1:13">
      <c r="A16" s="3455" t="s">
        <v>3455</v>
      </c>
      <c r="B16">
        <v>18018.59</v>
      </c>
      <c r="C16">
        <v>1837.92</v>
      </c>
      <c r="D16">
        <v>294.83999999999997</v>
      </c>
      <c r="F16">
        <f t="shared" si="0"/>
        <v>20151.350000000002</v>
      </c>
      <c r="H16" s="3453" t="s">
        <v>3436</v>
      </c>
      <c r="I16" s="3453" t="s">
        <v>3440</v>
      </c>
      <c r="J16">
        <v>9</v>
      </c>
    </row>
    <row r="17" spans="1:11">
      <c r="A17" s="3464" t="s">
        <v>3456</v>
      </c>
      <c r="B17">
        <v>11728.85</v>
      </c>
      <c r="C17">
        <v>1822.93</v>
      </c>
      <c r="D17">
        <v>292.44</v>
      </c>
      <c r="F17">
        <f t="shared" si="0"/>
        <v>13844.220000000001</v>
      </c>
      <c r="H17" s="3453" t="s">
        <v>3436</v>
      </c>
      <c r="I17" s="3453" t="s">
        <v>3457</v>
      </c>
      <c r="J17">
        <v>6</v>
      </c>
    </row>
    <row r="18" spans="1:11">
      <c r="A18" s="3456" t="s">
        <v>3458</v>
      </c>
      <c r="B18" s="3457">
        <v>17658.11</v>
      </c>
      <c r="C18" s="3457">
        <v>1834.61</v>
      </c>
      <c r="D18" s="3457">
        <v>294.92</v>
      </c>
      <c r="E18" s="3457"/>
      <c r="F18" s="3457">
        <f t="shared" si="0"/>
        <v>19787.64</v>
      </c>
      <c r="G18" s="3457"/>
      <c r="H18" s="3458" t="s">
        <v>3444</v>
      </c>
      <c r="I18" s="3453" t="s">
        <v>3450</v>
      </c>
      <c r="J18">
        <v>9</v>
      </c>
    </row>
    <row r="19" spans="1:11">
      <c r="A19" s="3455" t="s">
        <v>3459</v>
      </c>
      <c r="B19">
        <v>11958.17</v>
      </c>
      <c r="C19">
        <v>1828.5</v>
      </c>
      <c r="D19">
        <v>292.44</v>
      </c>
      <c r="F19">
        <f t="shared" si="0"/>
        <v>14079.11</v>
      </c>
      <c r="H19" s="3453" t="s">
        <v>3436</v>
      </c>
      <c r="I19" s="3453" t="s">
        <v>3440</v>
      </c>
      <c r="J19">
        <v>6</v>
      </c>
    </row>
    <row r="20" spans="1:11">
      <c r="A20" s="3464" t="s">
        <v>3460</v>
      </c>
      <c r="B20">
        <v>11836</v>
      </c>
      <c r="C20">
        <v>1834.64</v>
      </c>
      <c r="D20">
        <v>292.44</v>
      </c>
      <c r="F20">
        <f t="shared" si="0"/>
        <v>13963.08</v>
      </c>
      <c r="H20" s="3453" t="s">
        <v>3436</v>
      </c>
      <c r="I20" s="3453" t="s">
        <v>3457</v>
      </c>
      <c r="J20">
        <v>6</v>
      </c>
    </row>
    <row r="21" spans="1:11">
      <c r="A21" s="3451" t="s">
        <v>3461</v>
      </c>
      <c r="C21">
        <f>ROUND(F21*C23,2)</f>
        <v>6948.57</v>
      </c>
      <c r="D21">
        <f>ROUND(F21*D23,2)</f>
        <v>3474.28</v>
      </c>
      <c r="E21">
        <f>ROUND(F21*E23,2)</f>
        <v>39209.79</v>
      </c>
      <c r="F21">
        <v>49632.639999999999</v>
      </c>
      <c r="G21">
        <v>31324.17</v>
      </c>
      <c r="H21" s="3453" t="s">
        <v>3436</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458" t="s">
        <v>3462</v>
      </c>
    </row>
    <row r="25" spans="1:11">
      <c r="A25" s="3453" t="s">
        <v>3463</v>
      </c>
      <c r="B25" s="3453" t="s">
        <v>3464</v>
      </c>
    </row>
    <row r="26" spans="1:11">
      <c r="C26" s="3453" t="s">
        <v>3465</v>
      </c>
      <c r="D26" s="3453" t="s">
        <v>3466</v>
      </c>
      <c r="E26" s="3453" t="s">
        <v>3430</v>
      </c>
      <c r="F26" s="3465" t="s">
        <v>3467</v>
      </c>
      <c r="I26" s="3453" t="s">
        <v>3468</v>
      </c>
    </row>
    <row r="27" spans="1:11">
      <c r="A27" s="3453">
        <v>10</v>
      </c>
      <c r="B27" s="3453" t="s">
        <v>3469</v>
      </c>
      <c r="C27">
        <f>B5+B6+B7+B9+B11+B13+B14+B15+B16+B19</f>
        <v>153851.62</v>
      </c>
      <c r="D27">
        <f>C5+C6+C7+C9+C11+C13+C14+C15+C16+C19</f>
        <v>18328.41</v>
      </c>
      <c r="E27">
        <f>SUM(C27:D27)</f>
        <v>172180.03</v>
      </c>
      <c r="F27" s="3466">
        <v>14000</v>
      </c>
      <c r="G27">
        <f>F27*E27</f>
        <v>2410520420</v>
      </c>
      <c r="I27">
        <f>ROUND(F38*0.5,1)</f>
        <v>13.2</v>
      </c>
      <c r="J27">
        <f>I27*E27</f>
        <v>2272776.3959999997</v>
      </c>
    </row>
    <row r="28" spans="1:11">
      <c r="A28">
        <v>2</v>
      </c>
      <c r="B28" s="3453" t="s">
        <v>3470</v>
      </c>
      <c r="C28">
        <f>B3+B4</f>
        <v>35316.22</v>
      </c>
      <c r="D28">
        <f>C3+C4</f>
        <v>3670.14</v>
      </c>
      <c r="E28">
        <f>SUM(C28:D28)</f>
        <v>38986.36</v>
      </c>
      <c r="F28" s="3466">
        <v>5500</v>
      </c>
      <c r="G28">
        <f t="shared" ref="G28:G31" si="1">F28*E28</f>
        <v>214424980</v>
      </c>
      <c r="I28">
        <v>3</v>
      </c>
      <c r="J28">
        <f t="shared" ref="J28:J31" si="2">I28*E28</f>
        <v>116959.08</v>
      </c>
    </row>
    <row r="29" spans="1:11">
      <c r="A29">
        <v>2</v>
      </c>
      <c r="B29" s="3453" t="s">
        <v>3471</v>
      </c>
      <c r="C29">
        <f>B17+B20</f>
        <v>23564.85</v>
      </c>
      <c r="D29">
        <f>C17+C20</f>
        <v>3657.57</v>
      </c>
      <c r="E29">
        <f>SUM(C29:D29)</f>
        <v>27222.42</v>
      </c>
      <c r="F29" s="3466">
        <f>F28</f>
        <v>5500</v>
      </c>
      <c r="G29">
        <f t="shared" si="1"/>
        <v>149723310</v>
      </c>
      <c r="I29">
        <f>I28</f>
        <v>3</v>
      </c>
      <c r="J29">
        <f t="shared" si="2"/>
        <v>81667.259999999995</v>
      </c>
    </row>
    <row r="30" spans="1:11">
      <c r="B30" s="3453" t="s">
        <v>3450</v>
      </c>
      <c r="E30">
        <f>SUM(C30:D30)</f>
        <v>0</v>
      </c>
      <c r="F30" s="3466">
        <f>F28</f>
        <v>5500</v>
      </c>
      <c r="G30">
        <f t="shared" si="1"/>
        <v>0</v>
      </c>
      <c r="I30">
        <f>I28</f>
        <v>3</v>
      </c>
      <c r="J30">
        <f t="shared" si="2"/>
        <v>0</v>
      </c>
    </row>
    <row r="31" spans="1:11">
      <c r="B31" s="3453" t="s">
        <v>3461</v>
      </c>
      <c r="D31">
        <f>C21+E21</f>
        <v>46158.36</v>
      </c>
      <c r="E31">
        <f>SUM(C31:D31)</f>
        <v>46158.36</v>
      </c>
      <c r="F31" s="3466">
        <f>F28</f>
        <v>5500</v>
      </c>
      <c r="G31">
        <f t="shared" si="1"/>
        <v>253870980</v>
      </c>
      <c r="I31">
        <v>1.5</v>
      </c>
      <c r="J31">
        <f t="shared" si="2"/>
        <v>69237.540000000008</v>
      </c>
    </row>
    <row r="32" spans="1:11">
      <c r="A32">
        <f>SUM(A27:A31)</f>
        <v>14</v>
      </c>
      <c r="E32">
        <f>SUM(E27:E31)</f>
        <v>284547.17</v>
      </c>
      <c r="F32" s="3463">
        <f>ROUND(G32/E32,0)</f>
        <v>10643</v>
      </c>
      <c r="G32">
        <f>SUM(G27:G31)</f>
        <v>3028539690</v>
      </c>
      <c r="J32">
        <f>SUM(J27:J31)</f>
        <v>2540640.2759999996</v>
      </c>
      <c r="K32" s="3466">
        <f>J32/E32</f>
        <v>8.9287139141113219</v>
      </c>
    </row>
    <row r="33" spans="1:17">
      <c r="F33" s="3463"/>
    </row>
    <row r="35" spans="1:17">
      <c r="B35" s="3453" t="s">
        <v>3472</v>
      </c>
      <c r="E35" s="3453" t="s">
        <v>3473</v>
      </c>
    </row>
    <row r="36" spans="1:17">
      <c r="B36" s="3453" t="s">
        <v>3474</v>
      </c>
      <c r="C36" s="3457">
        <v>6000</v>
      </c>
      <c r="D36" s="3453" t="s">
        <v>3475</v>
      </c>
      <c r="E36" s="3453" t="s">
        <v>3476</v>
      </c>
      <c r="F36">
        <v>23000</v>
      </c>
    </row>
    <row r="37" spans="1:17">
      <c r="B37" s="3453" t="s">
        <v>3477</v>
      </c>
      <c r="C37">
        <v>2800</v>
      </c>
      <c r="D37" s="3453" t="s">
        <v>3478</v>
      </c>
      <c r="E37" s="3453" t="s">
        <v>3479</v>
      </c>
      <c r="F37">
        <f>F36*C36*12</f>
        <v>1656000000</v>
      </c>
    </row>
    <row r="38" spans="1:17">
      <c r="B38" s="3453" t="s">
        <v>3480</v>
      </c>
      <c r="C38">
        <v>1800</v>
      </c>
      <c r="D38" s="3453" t="s">
        <v>3478</v>
      </c>
      <c r="E38" s="3453" t="s">
        <v>3481</v>
      </c>
      <c r="F38">
        <f>F37/365/E27</f>
        <v>26.350246897795653</v>
      </c>
    </row>
    <row r="39" spans="1:17">
      <c r="B39" s="3453" t="s">
        <v>3482</v>
      </c>
      <c r="C39">
        <v>10</v>
      </c>
    </row>
    <row r="41" spans="1:17">
      <c r="A41" s="3453" t="s">
        <v>3483</v>
      </c>
      <c r="B41" s="3453" t="s">
        <v>3484</v>
      </c>
    </row>
    <row r="42" spans="1:17">
      <c r="C42" s="3453" t="s">
        <v>3465</v>
      </c>
      <c r="D42" s="3453" t="s">
        <v>3466</v>
      </c>
      <c r="E42" s="3453" t="s">
        <v>3430</v>
      </c>
      <c r="F42" s="3453" t="s">
        <v>3467</v>
      </c>
      <c r="I42" s="3453" t="s">
        <v>3479</v>
      </c>
      <c r="P42" s="3453" t="s">
        <v>3485</v>
      </c>
    </row>
    <row r="43" spans="1:17">
      <c r="B43" s="3453" t="s">
        <v>3440</v>
      </c>
      <c r="E43">
        <f>SUM(C43:D43)</f>
        <v>0</v>
      </c>
      <c r="G43">
        <f>F43*E43</f>
        <v>0</v>
      </c>
      <c r="I43">
        <f>ROUND(F52*0.5,1)</f>
        <v>13.2</v>
      </c>
      <c r="J43">
        <f>I43*E43</f>
        <v>0</v>
      </c>
      <c r="P43" s="3467">
        <v>0.99</v>
      </c>
      <c r="Q43">
        <f>P43*E43</f>
        <v>0</v>
      </c>
    </row>
    <row r="44" spans="1:17">
      <c r="A44">
        <v>1</v>
      </c>
      <c r="B44" s="3453" t="s">
        <v>3440</v>
      </c>
      <c r="C44">
        <f>B8</f>
        <v>17658.11</v>
      </c>
      <c r="D44">
        <f>C8</f>
        <v>1834.45</v>
      </c>
      <c r="E44">
        <f>SUM(C44:D44)</f>
        <v>19492.560000000001</v>
      </c>
      <c r="F44" s="3466">
        <v>14000</v>
      </c>
      <c r="G44">
        <f t="shared" ref="G44:G46" si="3">F44*E44</f>
        <v>272895840</v>
      </c>
      <c r="I44">
        <f>I43</f>
        <v>13.2</v>
      </c>
      <c r="J44">
        <f t="shared" ref="J44:J47" si="4">I44*E44</f>
        <v>257301.79200000002</v>
      </c>
      <c r="L44" s="3463">
        <f>L8</f>
        <v>0</v>
      </c>
      <c r="P44" s="3467">
        <v>0.99</v>
      </c>
      <c r="Q44">
        <f>P44*E44</f>
        <v>19297.634400000003</v>
      </c>
    </row>
    <row r="45" spans="1:17">
      <c r="B45" s="3453" t="s">
        <v>3486</v>
      </c>
      <c r="G45">
        <f t="shared" si="3"/>
        <v>0</v>
      </c>
      <c r="I45">
        <v>3</v>
      </c>
      <c r="J45">
        <f t="shared" si="4"/>
        <v>0</v>
      </c>
    </row>
    <row r="46" spans="1:17">
      <c r="A46">
        <v>2</v>
      </c>
      <c r="B46" s="3453" t="s">
        <v>3487</v>
      </c>
      <c r="C46">
        <f>B12+B18</f>
        <v>35316.22</v>
      </c>
      <c r="D46">
        <f>C12+C18</f>
        <v>3668.09</v>
      </c>
      <c r="E46">
        <f>SUM(C46:D46)</f>
        <v>38984.31</v>
      </c>
      <c r="F46" s="3468">
        <v>5500</v>
      </c>
      <c r="G46">
        <f t="shared" si="3"/>
        <v>214413705</v>
      </c>
      <c r="I46">
        <f>I45</f>
        <v>3</v>
      </c>
      <c r="J46">
        <f t="shared" si="4"/>
        <v>116952.93</v>
      </c>
      <c r="P46" s="3467">
        <v>0.99</v>
      </c>
      <c r="Q46">
        <f>P46*E46</f>
        <v>38594.466899999999</v>
      </c>
    </row>
    <row r="47" spans="1:17">
      <c r="E47">
        <f>SUM(E43:E46)</f>
        <v>58476.869999999995</v>
      </c>
      <c r="F47">
        <f>ROUND(G47/E47,0)</f>
        <v>8333</v>
      </c>
      <c r="G47">
        <f>SUM(G43:G46)</f>
        <v>487309545</v>
      </c>
      <c r="J47">
        <f t="shared" si="4"/>
        <v>0</v>
      </c>
      <c r="P47" s="3466">
        <f>ROUND(Q47/E47,2)</f>
        <v>0.99</v>
      </c>
      <c r="Q47">
        <f>Q43+Q44+Q46</f>
        <v>57892.101300000002</v>
      </c>
    </row>
    <row r="48" spans="1:17">
      <c r="J48">
        <f>SUM(J43:J47)</f>
        <v>374254.72200000001</v>
      </c>
      <c r="K48" s="3466">
        <f>J48/E47</f>
        <v>6.4000470955439308</v>
      </c>
    </row>
    <row r="49" spans="4:7">
      <c r="E49" s="3453" t="s">
        <v>3488</v>
      </c>
    </row>
    <row r="50" spans="4:7">
      <c r="D50" s="3453"/>
      <c r="E50" s="3453" t="s">
        <v>3489</v>
      </c>
      <c r="F50">
        <v>2600</v>
      </c>
      <c r="G50" s="3453" t="s">
        <v>3490</v>
      </c>
    </row>
    <row r="51" spans="4:7">
      <c r="E51" s="3453" t="s">
        <v>3491</v>
      </c>
      <c r="F51">
        <f>F50*C36*12</f>
        <v>187200000</v>
      </c>
    </row>
    <row r="52" spans="4:7">
      <c r="E52" s="3453" t="s">
        <v>3492</v>
      </c>
      <c r="F52">
        <f>F51/365/(E43+E44)</f>
        <v>26.311408677401381</v>
      </c>
    </row>
  </sheetData>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H22" sqref="H2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5">
        <f>项目基本情况!D3</f>
        <v>45631</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3493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科研用房</v>
      </c>
      <c r="B6" s="1712" t="str">
        <f>IF(A6=0,"","经营性")</f>
        <v>经营性</v>
      </c>
      <c r="C6" s="1713" t="s">
        <v>3423</v>
      </c>
      <c r="D6" s="858">
        <f>SUMIF(项目基本情况!C$12:I$12,C6,项目基本情况!C$14:I$14)</f>
        <v>50</v>
      </c>
      <c r="E6" s="857">
        <f>IF(B6="","",SUMIF(项目基本情况!C$12:I$12,C6,项目基本情况!C$13:I$13))</f>
        <v>59165</v>
      </c>
      <c r="F6" s="64">
        <f>SUMIF(项目基本情况!C$12:I$12,C6,项目基本情况!C$15:I$15)</f>
        <v>37.07</v>
      </c>
      <c r="G6" s="65">
        <f>IF(ISERROR(ROUND(POWER(1+H6,D6-F6)*(POWER(1+H6,F6)-1)/(POWER(1+H6,D6)-1),3)),0,ROUND(POWER(1+H6,D6-F6)*(POWER(1+H6,F6)-1)/(POWER(1+H6,D6)-1),3))</f>
        <v>0.91600000000000004</v>
      </c>
      <c r="H6" s="732">
        <v>0.05</v>
      </c>
      <c r="I6" s="732">
        <v>0.06</v>
      </c>
      <c r="J6" s="66">
        <v>7.4999999999999997E-2</v>
      </c>
      <c r="K6" s="1030">
        <f>SUMIF('数据-汇总表'!C$19:C$33,A6,'数据-汇总表'!E$19:E$33)</f>
        <v>58476.87</v>
      </c>
      <c r="L6" s="733">
        <f>面积表!F47</f>
        <v>8333</v>
      </c>
      <c r="M6" s="67">
        <f t="shared" ref="M6:M14" si="0">ROUND(K6*L6/10000,0)</f>
        <v>48729</v>
      </c>
      <c r="N6" s="731">
        <v>0.99</v>
      </c>
      <c r="O6" s="67">
        <f>IF($N$5="成新度","——",ROUND(M6*N6,0))</f>
        <v>48242</v>
      </c>
      <c r="P6" s="68">
        <f>IF($N$5="成新度","——",M6-O6)</f>
        <v>487</v>
      </c>
      <c r="Q6" s="734">
        <v>0.2</v>
      </c>
      <c r="R6" s="69">
        <f ca="1">SUMIF('数据-汇总表'!C$19:C$33,A6,'数据-汇总表'!R$19:R$27)</f>
        <v>20455.650000000001</v>
      </c>
      <c r="S6" s="51">
        <f>IF('数据-汇总表'!$I$17="按面积比例",SUMIF('数据-汇总表'!C$19:C$33,A6,'数据-汇总表'!K$19:K$33),SUMIF('数据-汇总表'!C$19:C$33,A6,'数据-汇总表'!N$19:N$33))</f>
        <v>951.04</v>
      </c>
      <c r="T6" s="1171">
        <f>ROUND($L$14*S6/10000,0)</f>
        <v>523</v>
      </c>
      <c r="U6" s="3425">
        <f>ROUND(面积表!K48,1)</f>
        <v>6.4</v>
      </c>
      <c r="V6" s="70">
        <v>0</v>
      </c>
      <c r="W6" s="70">
        <v>0.15</v>
      </c>
      <c r="X6" s="1040"/>
      <c r="Y6" s="71">
        <v>1</v>
      </c>
      <c r="Z6" s="72"/>
      <c r="AA6" s="66"/>
      <c r="AB6" s="66"/>
      <c r="AC6" s="1040"/>
      <c r="AD6" s="73"/>
      <c r="AE6" s="1041">
        <f ca="1">IF(AN6="",0,SUMIF(INDIRECT("'"&amp;AN6&amp;"'"&amp;"!E:E"),$AE$5,INDIRECT("'"&amp;AN6&amp;"'"&amp;"!F:F")))</f>
        <v>37.04</v>
      </c>
      <c r="AF6" s="1347"/>
      <c r="AG6" s="138">
        <f>IF(AF6="",0,AE6-AF6)</f>
        <v>0</v>
      </c>
      <c r="AH6" s="74"/>
      <c r="AI6" s="76">
        <v>365</v>
      </c>
      <c r="AJ6" s="77"/>
      <c r="AK6" s="78">
        <v>1.4999999999999999E-2</v>
      </c>
      <c r="AL6" s="79">
        <v>1.5E-3</v>
      </c>
      <c r="AM6" s="80">
        <v>1.4999999999999999E-2</v>
      </c>
      <c r="AN6" s="1714" t="s">
        <v>3494</v>
      </c>
      <c r="AO6" s="52">
        <f ca="1">SUMIF(INDIRECT("'"&amp;AN6&amp;"'"&amp;"!A:A"),"总价",INDIRECT("'"&amp;AN6&amp;"'"&amp;"!B:B"))</f>
        <v>122933</v>
      </c>
      <c r="AP6" s="1715">
        <f>IF(C6="住宅",K6*L6,0)</f>
        <v>0</v>
      </c>
      <c r="AQ6" s="52">
        <f>ROUND($L$14*$N$14*S6/10000,0)</f>
        <v>518</v>
      </c>
      <c r="AR6" s="52">
        <f>ROUND($L$14*(1-$N$14)*S6/10000,0)</f>
        <v>5</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951.04</v>
      </c>
      <c r="L14" s="82">
        <v>5500</v>
      </c>
      <c r="M14" s="67">
        <f t="shared" si="0"/>
        <v>523</v>
      </c>
      <c r="N14" s="83">
        <f>N6</f>
        <v>0.99</v>
      </c>
      <c r="O14" s="67">
        <f t="shared" si="3"/>
        <v>518</v>
      </c>
      <c r="P14" s="68">
        <f t="shared" si="4"/>
        <v>5</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0.91600000000000004</v>
      </c>
      <c r="H16" s="90">
        <f>ROUND(SUMPRODUCT(H6:H13,K6:K13)/SUMPRODUCT((H6:H13&gt;0)*(K6:K13)),3)</f>
        <v>0.05</v>
      </c>
      <c r="I16" s="91"/>
      <c r="J16" s="91"/>
      <c r="K16" s="92">
        <f>SUM(K6:K15)</f>
        <v>59427.91</v>
      </c>
      <c r="L16" s="93">
        <f>ROUND(M16*10000/SUM(K6:K14),0)</f>
        <v>8288</v>
      </c>
      <c r="M16" s="93">
        <f>SUM(M6:M14)</f>
        <v>49252</v>
      </c>
      <c r="N16" s="94">
        <f>ROUND(SUMPRODUCT(M6:M14,N6:N14)/M16,3)</f>
        <v>0.99</v>
      </c>
      <c r="O16" s="93">
        <f>SUM(O6:O14)</f>
        <v>48760</v>
      </c>
      <c r="P16" s="93">
        <f>SUM(P6:P14)</f>
        <v>492</v>
      </c>
      <c r="Q16" s="95">
        <f>ROUND(SUMPRODUCT(Q6:Q13,K6:K13)/SUMPRODUCT((Q6:Q13&gt;0)*(K6:K13)),2)</f>
        <v>0.2</v>
      </c>
      <c r="R16" s="1034">
        <f ca="1">SUM(R6:R13)</f>
        <v>20455.650000000001</v>
      </c>
      <c r="S16" s="96">
        <f>SUM(S6:S13)</f>
        <v>951.04</v>
      </c>
      <c r="T16" s="97">
        <f>IF(SUMIF(T6:T13,"&lt;9E307")=M14,SUMIF(T6:T13,"&lt;9E307"),"有误，请检查")</f>
        <v>523</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3</v>
      </c>
      <c r="C20" s="2797"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1213</v>
      </c>
      <c r="B21" s="104">
        <f>B20*N16</f>
        <v>2.9699999999999998</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3</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2.9699999999999998</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3.0000000000000249E-2</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c r="C27" s="2798" t="s">
        <v>2305</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170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成本法!C10</f>
        <v>1010</v>
      </c>
      <c r="C29" s="2799" t="s">
        <v>2294</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0.1</v>
      </c>
      <c r="C33" s="2800" t="s">
        <v>3377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0" t="s">
        <v>2295</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0" t="s">
        <v>2296</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0.03</v>
      </c>
      <c r="C36" s="2800" t="s">
        <v>3378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0.03</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8">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0.05</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v>0</v>
      </c>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t="s">
        <v>29</v>
      </c>
      <c r="C53" s="2659" t="s">
        <v>1246</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f>C59</f>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56" t="s">
        <v>2286</v>
      </c>
      <c r="B1" s="3557"/>
      <c r="C1" s="3557"/>
      <c r="D1" s="3557"/>
      <c r="E1" s="3557"/>
      <c r="F1" s="3557"/>
      <c r="G1" s="355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2"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1" sqref="L11"/>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59427.91</v>
      </c>
      <c r="C1" s="2683"/>
      <c r="D1" s="2683"/>
      <c r="E1" s="2683"/>
      <c r="F1" s="2683"/>
      <c r="G1" s="2684"/>
      <c r="H1" s="2685"/>
      <c r="I1" s="2685"/>
      <c r="J1" s="2685"/>
      <c r="K1" s="2685"/>
    </row>
    <row r="2" spans="1:11" ht="16.5">
      <c r="A2" s="2510" t="s">
        <v>653</v>
      </c>
      <c r="B2" s="2510">
        <f>SUM(C14:C23)</f>
        <v>20455.650000000001</v>
      </c>
      <c r="C2" s="2683"/>
      <c r="D2" s="2683"/>
      <c r="E2" s="2683"/>
      <c r="F2" s="2683"/>
      <c r="G2" s="2684"/>
      <c r="H2" s="2685"/>
      <c r="I2" s="2685"/>
      <c r="J2" s="2685"/>
      <c r="K2" s="2685"/>
    </row>
    <row r="3" spans="1:11" ht="16.5">
      <c r="A3" s="2510" t="s">
        <v>662</v>
      </c>
      <c r="B3" s="2512">
        <f>项目基本情况!D3</f>
        <v>45631</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111981</v>
      </c>
      <c r="C5" s="2510">
        <f ca="1">IF(B5=D14,结果表!H102,ROUND(B5*10000/$B$1,0))</f>
        <v>18843</v>
      </c>
      <c r="D5" s="2510">
        <f ca="1">ROUND(B5*10000/$B$2,0)</f>
        <v>54743</v>
      </c>
      <c r="E5" s="2683"/>
      <c r="F5" s="2684"/>
      <c r="G5" s="2684"/>
      <c r="H5" s="2685"/>
      <c r="I5" s="2685"/>
      <c r="J5" s="2685"/>
      <c r="K5" s="2685"/>
    </row>
    <row r="6" spans="1:11" ht="16.5">
      <c r="A6" s="2510" t="s">
        <v>656</v>
      </c>
      <c r="B6" s="2510">
        <f ca="1">SUM(G14:G23)</f>
        <v>111981</v>
      </c>
      <c r="C6" s="2510">
        <f ca="1">IF(B6=G14,结果表!H108,ROUND(B6*10000/$B$1,0))</f>
        <v>18843</v>
      </c>
      <c r="D6" s="2510">
        <f ca="1">ROUND(B6*10000/$B$2,0)</f>
        <v>54743</v>
      </c>
      <c r="E6" s="2683"/>
      <c r="F6" s="2684"/>
      <c r="G6" s="2684"/>
      <c r="H6" s="2685"/>
      <c r="I6" s="2685"/>
      <c r="J6" s="2685"/>
      <c r="K6" s="2685"/>
    </row>
    <row r="7" spans="1:11" ht="16.5">
      <c r="A7" s="2510" t="s">
        <v>664</v>
      </c>
      <c r="B7" s="2510">
        <f>SUM(H14:H23)</f>
        <v>0</v>
      </c>
      <c r="C7" s="2510" t="str">
        <f>IF(B7=H14,结果表!H110,ROUND(B7*10000/$B$1,0))</f>
        <v>——</v>
      </c>
      <c r="D7" s="2510">
        <f>ROUND(B7*10000/$B$2,0)</f>
        <v>0</v>
      </c>
      <c r="E7" s="2683"/>
      <c r="F7" s="2684"/>
      <c r="G7" s="2684"/>
      <c r="H7" s="2685"/>
      <c r="I7" s="2685"/>
      <c r="J7" s="2685"/>
      <c r="K7" s="2685"/>
    </row>
    <row r="8" spans="1:11" ht="16.5">
      <c r="A8" s="2510" t="s">
        <v>587</v>
      </c>
      <c r="B8" s="2510">
        <f>SUM(I14:I23)</f>
        <v>0</v>
      </c>
      <c r="C8" s="2510" t="str">
        <f>IF(B8=I14,结果表!H112,ROUND(B8*10000/$B$1,0))</f>
        <v>——</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3357</v>
      </c>
      <c r="D10" s="2510" t="s">
        <v>3358</v>
      </c>
      <c r="E10" s="3438"/>
      <c r="F10" s="3442" t="s">
        <v>3359</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59427.91</v>
      </c>
      <c r="C14" s="2516">
        <f>结果表!C118</f>
        <v>20455.650000000001</v>
      </c>
      <c r="D14" s="2516">
        <f ca="1">结果表!H118</f>
        <v>111981</v>
      </c>
      <c r="E14" s="2516">
        <f ca="1">ROUND(D14*10000/B14,0)</f>
        <v>18843</v>
      </c>
      <c r="F14" s="2516">
        <f ca="1">ROUND(D14*10000/C14,0)</f>
        <v>54743</v>
      </c>
      <c r="G14" s="2516">
        <f ca="1">结果表!D122</f>
        <v>111981</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92" t="str">
        <f>项目基本情况!S2</f>
        <v>北京市通州区宋庄镇尹各庄村新建科研用地房地产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3" t="s">
        <v>1265</v>
      </c>
      <c r="B4" s="1754" t="s">
        <v>1266</v>
      </c>
      <c r="C4" s="1755" t="s">
        <v>3495</v>
      </c>
      <c r="D4" s="1755" t="s">
        <v>3496</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2" t="s">
        <v>1268</v>
      </c>
      <c r="B5" s="3559">
        <v>25</v>
      </c>
      <c r="C5" s="3575"/>
      <c r="D5" s="3595"/>
      <c r="E5" s="131" t="s">
        <v>1269</v>
      </c>
      <c r="F5" s="1756"/>
      <c r="G5" s="1756"/>
      <c r="H5" s="1756"/>
      <c r="I5" s="1372"/>
    </row>
    <row r="6" spans="1:12" ht="12.75">
      <c r="A6" s="3572"/>
      <c r="B6" s="3559"/>
      <c r="C6" s="3576"/>
      <c r="D6" s="3595"/>
      <c r="E6" s="131" t="s">
        <v>1270</v>
      </c>
      <c r="F6" s="1756"/>
      <c r="G6" s="1756"/>
      <c r="H6" s="1756"/>
      <c r="I6" s="1372"/>
    </row>
    <row r="7" spans="1:12" ht="12.75">
      <c r="A7" s="3572"/>
      <c r="B7" s="3559"/>
      <c r="C7" s="3577"/>
      <c r="D7" s="3595"/>
      <c r="E7" s="131" t="s">
        <v>1271</v>
      </c>
      <c r="F7" s="1756"/>
      <c r="G7" s="1756"/>
      <c r="H7" s="1756"/>
      <c r="I7" s="1372"/>
    </row>
    <row r="8" spans="1:12" ht="12.75">
      <c r="A8" s="3572" t="s">
        <v>1272</v>
      </c>
      <c r="B8" s="3559">
        <v>15</v>
      </c>
      <c r="C8" s="3575"/>
      <c r="D8" s="3595"/>
      <c r="E8" s="131" t="s">
        <v>1273</v>
      </c>
      <c r="F8" s="1756"/>
      <c r="G8" s="1756"/>
      <c r="H8" s="1756"/>
      <c r="I8" s="1372"/>
    </row>
    <row r="9" spans="1:12" ht="12.75">
      <c r="A9" s="3572"/>
      <c r="B9" s="3559"/>
      <c r="C9" s="3577"/>
      <c r="D9" s="3595"/>
      <c r="E9" s="131" t="s">
        <v>1274</v>
      </c>
      <c r="F9" s="1756"/>
      <c r="G9" s="1756"/>
      <c r="H9" s="1756"/>
      <c r="I9" s="1372"/>
    </row>
    <row r="10" spans="1:12" ht="12.75">
      <c r="A10" s="3572" t="s">
        <v>1275</v>
      </c>
      <c r="B10" s="3559">
        <v>15</v>
      </c>
      <c r="C10" s="3575"/>
      <c r="D10" s="3595"/>
      <c r="E10" s="131" t="s">
        <v>1276</v>
      </c>
      <c r="F10" s="1756"/>
      <c r="G10" s="1756"/>
      <c r="H10" s="1756"/>
      <c r="I10" s="1372"/>
    </row>
    <row r="11" spans="1:12" ht="12.75">
      <c r="A11" s="3572"/>
      <c r="B11" s="3559"/>
      <c r="C11" s="3577"/>
      <c r="D11" s="3595"/>
      <c r="E11" s="131" t="s">
        <v>1277</v>
      </c>
      <c r="F11" s="1756"/>
      <c r="G11" s="1756"/>
      <c r="H11" s="1756"/>
      <c r="I11" s="1372"/>
    </row>
    <row r="12" spans="1:12" ht="12.75">
      <c r="A12" s="3572" t="s">
        <v>1278</v>
      </c>
      <c r="B12" s="3559">
        <v>15</v>
      </c>
      <c r="C12" s="3575"/>
      <c r="D12" s="3595"/>
      <c r="E12" s="131" t="s">
        <v>1279</v>
      </c>
      <c r="F12" s="1756"/>
      <c r="G12" s="1756"/>
      <c r="H12" s="1756"/>
      <c r="I12" s="1372"/>
    </row>
    <row r="13" spans="1:12" ht="12.75">
      <c r="A13" s="3572"/>
      <c r="B13" s="3559"/>
      <c r="C13" s="3577"/>
      <c r="D13" s="3595"/>
      <c r="E13" s="131" t="s">
        <v>1280</v>
      </c>
      <c r="F13" s="1756"/>
      <c r="G13" s="1756"/>
      <c r="H13" s="1756"/>
      <c r="I13" s="1372"/>
    </row>
    <row r="14" spans="1:12" ht="12.75">
      <c r="A14" s="3572" t="s">
        <v>1281</v>
      </c>
      <c r="B14" s="3559">
        <v>30</v>
      </c>
      <c r="C14" s="3575">
        <v>5</v>
      </c>
      <c r="D14" s="3595">
        <v>5</v>
      </c>
      <c r="E14" s="131" t="s">
        <v>1282</v>
      </c>
      <c r="F14" s="1756"/>
      <c r="G14" s="1756"/>
      <c r="H14" s="1756"/>
      <c r="I14" s="1372"/>
    </row>
    <row r="15" spans="1:12" ht="12.75">
      <c r="A15" s="3572"/>
      <c r="B15" s="3559"/>
      <c r="C15" s="3576"/>
      <c r="D15" s="3595"/>
      <c r="E15" s="131" t="s">
        <v>1283</v>
      </c>
      <c r="F15" s="1756"/>
      <c r="G15" s="1756"/>
      <c r="H15" s="1756"/>
      <c r="I15" s="1372"/>
    </row>
    <row r="16" spans="1:12" ht="12.75">
      <c r="A16" s="3572"/>
      <c r="B16" s="3559"/>
      <c r="C16" s="3577"/>
      <c r="D16" s="3595"/>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582" t="s">
        <v>2131</v>
      </c>
      <c r="F18" s="3583"/>
      <c r="G18" s="3583"/>
      <c r="H18" s="3583"/>
      <c r="I18" s="3583"/>
      <c r="K18" s="302" t="s">
        <v>1289</v>
      </c>
      <c r="L18" s="302">
        <f>IF(C1="",'数据-汇总表'!E3,SUMIF(项目类型,C1,'数据-汇总表'!E17:E26)+SUMIF(项目类型,C1,'数据-汇总表'!I17:I26))</f>
        <v>59427.91</v>
      </c>
      <c r="M18" s="302">
        <f>IF(C1="",'数据-汇总表'!E3,SUMIF(项目类型,C1,'数据-汇总表'!E17:E26))</f>
        <v>59427.91</v>
      </c>
    </row>
    <row r="19" spans="1:36" ht="15">
      <c r="A19" s="1760" t="s">
        <v>1290</v>
      </c>
      <c r="B19" s="1761" t="s">
        <v>1291</v>
      </c>
      <c r="C19" s="134">
        <f ca="1">SUMIF(INDIRECT("'"&amp;C4&amp;"'"&amp;"!A:A"),结果表!B19,INDIRECT("'"&amp;C4&amp;"'"&amp;"!B:B"))</f>
        <v>111802</v>
      </c>
      <c r="D19" s="135">
        <f ca="1">SUMIF(INDIRECT("'"&amp;D4&amp;"'"&amp;"!A:A"),结果表!B19,INDIRECT("'"&amp;D4&amp;"'"&amp;"!B:B"))</f>
        <v>112159</v>
      </c>
      <c r="E19" s="1760" t="s">
        <v>1292</v>
      </c>
      <c r="F19" s="1761" t="s">
        <v>1291</v>
      </c>
      <c r="G19" s="136">
        <f ca="1">ROUND(C19*$C$18+D19*$D$18,0)</f>
        <v>111981</v>
      </c>
      <c r="H19" s="1762" t="s">
        <v>1293</v>
      </c>
      <c r="I19" s="129"/>
      <c r="K19" s="302" t="s">
        <v>1294</v>
      </c>
      <c r="L19" s="302">
        <f>IF(C1="",'数据-汇总表'!D3,SUMIF(项目类型,C1,'数据-汇总表'!D17:D26)+SUMIF(项目类型,C1,'数据-汇总表'!H17:H27))</f>
        <v>20455.650000000001</v>
      </c>
      <c r="M19" s="302">
        <f>IF(C1="",'数据-汇总表'!D3,SUMIF(项目类型,C1,'数据-汇总表'!D17:D26))</f>
        <v>20455.650000000001</v>
      </c>
    </row>
    <row r="20" spans="1:36" ht="15">
      <c r="A20" s="1763"/>
      <c r="B20" s="1026" t="s">
        <v>1295</v>
      </c>
      <c r="C20" s="137">
        <f ca="1">SUMIF(INDIRECT("'"&amp;C4&amp;"'"&amp;"!A:A"),结果表!B20,INDIRECT("'"&amp;C4&amp;"'"&amp;"!B:B"))</f>
        <v>18813</v>
      </c>
      <c r="D20" s="138">
        <f ca="1">SUMIF(INDIRECT("'"&amp;D4&amp;"'"&amp;"!A:A"),结果表!B20,INDIRECT("'"&amp;D4&amp;"'"&amp;"!B:B"))</f>
        <v>18873</v>
      </c>
      <c r="E20" s="1763"/>
      <c r="F20" s="1026" t="s">
        <v>1295</v>
      </c>
      <c r="G20" s="139">
        <f ca="1">ROUND(C20*$C$18+D20*$D$18,0)</f>
        <v>18843</v>
      </c>
      <c r="H20" s="808" t="s">
        <v>1296</v>
      </c>
      <c r="I20" s="129"/>
    </row>
    <row r="21" spans="1:36" ht="15" customHeight="1" thickBot="1">
      <c r="A21" s="828"/>
      <c r="B21" s="1764" t="s">
        <v>1297</v>
      </c>
      <c r="C21" s="719">
        <f ca="1">ROUND(C19*10000/L19,0)</f>
        <v>54656</v>
      </c>
      <c r="D21" s="720">
        <f ca="1">ROUND(D19*10000/L19,0)</f>
        <v>54830</v>
      </c>
      <c r="E21" s="828"/>
      <c r="F21" s="1764" t="s">
        <v>1297</v>
      </c>
      <c r="G21" s="140">
        <f ca="1">ROUND(G19*10000/L19,0)</f>
        <v>54743</v>
      </c>
      <c r="H21" s="1765" t="s">
        <v>1296</v>
      </c>
      <c r="I21" s="129"/>
    </row>
    <row r="22" spans="1:36" ht="15" thickBot="1">
      <c r="A22" s="1687" t="s">
        <v>1298</v>
      </c>
      <c r="B22" s="1766"/>
      <c r="C22" s="1767"/>
      <c r="D22" s="721">
        <f ca="1">IF(C19&lt;D19,D19/C19-1,C19/D19-1)</f>
        <v>3.1931450242392856E-3</v>
      </c>
      <c r="E22" s="129"/>
      <c r="F22" s="129"/>
      <c r="G22" s="129"/>
      <c r="H22" s="129"/>
      <c r="I22" s="129"/>
    </row>
    <row r="23" spans="1:36" ht="13.5" thickBot="1">
      <c r="A23" s="1746"/>
      <c r="B23" s="1746"/>
      <c r="C23" s="1746"/>
      <c r="D23" s="1746"/>
      <c r="E23" s="129"/>
      <c r="F23" s="129"/>
      <c r="G23" s="129"/>
      <c r="H23" s="129"/>
      <c r="I23" s="129"/>
    </row>
    <row r="24" spans="1:36" ht="14.25">
      <c r="A24" s="3566" t="s">
        <v>1299</v>
      </c>
      <c r="B24" s="1761" t="s">
        <v>1291</v>
      </c>
      <c r="C24" s="136">
        <f>IF(B30=0,0,D30)</f>
        <v>0</v>
      </c>
      <c r="D24" s="1768"/>
      <c r="E24" s="129"/>
      <c r="F24" s="129"/>
      <c r="G24" s="129"/>
      <c r="H24" s="129"/>
      <c r="I24" s="129"/>
    </row>
    <row r="25" spans="1:36" ht="14.25">
      <c r="A25" s="3567"/>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f ca="1">G19/'数据-汇总表'!F31</f>
        <v>2.0765921494836288</v>
      </c>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111981</v>
      </c>
      <c r="D32" s="1774" t="s">
        <v>3515</v>
      </c>
      <c r="E32" s="129"/>
      <c r="F32" s="129"/>
      <c r="G32" s="129"/>
      <c r="H32" s="129"/>
      <c r="I32" s="129"/>
    </row>
    <row r="33" spans="1:15" ht="15">
      <c r="A33" s="786" t="s">
        <v>1306</v>
      </c>
      <c r="B33" s="1775"/>
      <c r="C33" s="1776" t="s">
        <v>3516</v>
      </c>
      <c r="D33" s="1777" t="s">
        <v>3495</v>
      </c>
      <c r="E33" s="1778" t="s">
        <v>1307</v>
      </c>
      <c r="F33" s="1779" t="str">
        <f>IF(D32="楼面单价","取值（单价）","取值（总价）")</f>
        <v>取值（总价）</v>
      </c>
      <c r="G33" s="129"/>
      <c r="H33" s="129"/>
      <c r="I33" s="129"/>
    </row>
    <row r="34" spans="1:15" ht="15">
      <c r="A34" s="1780"/>
      <c r="B34" s="1781" t="s">
        <v>1308</v>
      </c>
      <c r="C34" s="148">
        <f ca="1">IF(C33="自定义",F34,C32-C35)</f>
        <v>32474</v>
      </c>
      <c r="D34" s="861">
        <f ca="1">IF(C33="自定义",ROUND(C34/C32,3),IF(C33="收益比率",SUMIF(INDIRECT("'"&amp;D33&amp;"'"&amp;"!b:b"),"土地收益比率",INDIRECT("'"&amp;D33&amp;"'"&amp;"!c:c")),SUMIF(INDIRECT("'"&amp;D33&amp;"'"&amp;"!b:b"),"土地成本比率",INDIRECT("'"&amp;D33&amp;"'"&amp;"!c:c"))))</f>
        <v>0.29000000000000004</v>
      </c>
      <c r="E34" s="1782" t="s">
        <v>1309</v>
      </c>
      <c r="F34" s="1329"/>
      <c r="G34" s="129"/>
      <c r="H34" s="129"/>
      <c r="I34" s="129"/>
    </row>
    <row r="35" spans="1:15" ht="15.75" thickBot="1">
      <c r="A35" s="1783"/>
      <c r="B35" s="1784" t="s">
        <v>1310</v>
      </c>
      <c r="C35" s="1169">
        <f ca="1">IF(C33="自定义",F35,ROUND(C32*D35,0))</f>
        <v>79507</v>
      </c>
      <c r="D35" s="1170">
        <f ca="1">IF(C33="自定义",ROUND(C35/C32,3),IF(C33="收益比率",SUMIF(INDIRECT("'"&amp;D33&amp;"'"&amp;"!b:b"),"建筑物收益比率",INDIRECT("'"&amp;D33&amp;"'"&amp;"!c:c")),SUMIF(INDIRECT("'"&amp;D33&amp;"'"&amp;"!b:b"),"建筑物成本比率",INDIRECT("'"&amp;D33&amp;"'"&amp;"!c:c"))))</f>
        <v>0.71</v>
      </c>
      <c r="E35" s="1785" t="s">
        <v>1311</v>
      </c>
      <c r="F35" s="154"/>
      <c r="G35" s="129"/>
      <c r="H35" s="129"/>
      <c r="I35" s="129"/>
    </row>
    <row r="36" spans="1:15" ht="15.75" thickBot="1">
      <c r="A36" s="3586" t="s">
        <v>1312</v>
      </c>
      <c r="B36" s="1786" t="s">
        <v>1313</v>
      </c>
      <c r="C36" s="145"/>
      <c r="D36" s="1787"/>
      <c r="E36" s="1788"/>
      <c r="F36" s="1789"/>
      <c r="G36" s="129"/>
      <c r="H36" s="129"/>
      <c r="I36" s="129"/>
    </row>
    <row r="37" spans="1:15" ht="15.75" thickBot="1">
      <c r="A37" s="3587"/>
      <c r="B37" s="1673" t="s">
        <v>1314</v>
      </c>
      <c r="C37" s="147"/>
      <c r="D37" s="1138"/>
      <c r="E37" s="1138"/>
      <c r="F37" s="1789"/>
      <c r="G37" s="129"/>
      <c r="H37" s="129"/>
      <c r="I37" s="129"/>
    </row>
    <row r="38" spans="1:15" ht="15.75" thickBot="1">
      <c r="A38" s="3588"/>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3" t="s">
        <v>1326</v>
      </c>
      <c r="B45" s="3564"/>
      <c r="C45" s="3565"/>
      <c r="D45" s="155">
        <f ca="1">ROUND(H101*F45,0)</f>
        <v>111981</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5"/>
      <c r="I46" s="159"/>
      <c r="J46" s="2521">
        <v>1</v>
      </c>
      <c r="K46" s="3622" t="s">
        <v>1331</v>
      </c>
      <c r="L46" s="3622"/>
      <c r="M46" s="3642"/>
      <c r="N46" s="3642"/>
      <c r="O46" s="3642"/>
    </row>
    <row r="47" spans="1:15" ht="12" customHeight="1">
      <c r="A47" s="160" t="s">
        <v>1332</v>
      </c>
      <c r="B47" s="161"/>
      <c r="C47" s="162"/>
      <c r="D47" s="1087" t="s">
        <v>1333</v>
      </c>
      <c r="E47" s="302" t="s">
        <v>1334</v>
      </c>
      <c r="F47" s="163" t="s">
        <v>1335</v>
      </c>
      <c r="G47" s="2544" t="s">
        <v>1336</v>
      </c>
      <c r="H47" s="2545"/>
      <c r="I47" s="159"/>
      <c r="J47" s="2521">
        <v>2</v>
      </c>
      <c r="K47" s="3622" t="s">
        <v>1337</v>
      </c>
      <c r="L47" s="3622"/>
      <c r="M47" s="3643">
        <f>'数据-取费表'!B2</f>
        <v>45631</v>
      </c>
      <c r="N47" s="3643"/>
      <c r="O47" s="3643"/>
    </row>
    <row r="48" spans="1:15" ht="25.5">
      <c r="A48" s="3591" t="s">
        <v>1338</v>
      </c>
      <c r="B48" s="3574"/>
      <c r="C48" s="3574"/>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622" t="s">
        <v>1340</v>
      </c>
      <c r="L48" s="3622"/>
      <c r="M48" s="3644">
        <f ca="1">H101</f>
        <v>111981</v>
      </c>
      <c r="N48" s="3644"/>
      <c r="O48" s="3644"/>
    </row>
    <row r="49" spans="1:35" ht="25.5" customHeight="1">
      <c r="A49" s="2332" t="s">
        <v>1341</v>
      </c>
      <c r="B49" s="3558" t="s">
        <v>1342</v>
      </c>
      <c r="C49" s="3558"/>
      <c r="D49" s="1589">
        <v>0</v>
      </c>
      <c r="E49" s="324" t="s">
        <v>1343</v>
      </c>
      <c r="F49" s="2422" t="s">
        <v>28</v>
      </c>
      <c r="G49" s="3628"/>
      <c r="H49" s="2309" t="s">
        <v>2134</v>
      </c>
      <c r="I49" s="2310"/>
      <c r="J49" s="2521">
        <v>4</v>
      </c>
      <c r="K49" s="3622" t="str">
        <f>IF(项目基本情况!E8="房地产抵押价值","房地产抵押价值","抵押担保权已注销时的房地产抵押价值")</f>
        <v>房地产抵押价值</v>
      </c>
      <c r="L49" s="3622"/>
      <c r="M49" s="3644">
        <f ca="1">IF(项目基本情况!E8="房地产抵押价值",H107,H109)</f>
        <v>111981</v>
      </c>
      <c r="N49" s="3644"/>
      <c r="O49" s="3644"/>
    </row>
    <row r="50" spans="1:35" ht="25.5" customHeight="1">
      <c r="A50" s="2549"/>
      <c r="B50" s="3558" t="s">
        <v>1344</v>
      </c>
      <c r="C50" s="3558"/>
      <c r="D50" s="2550"/>
      <c r="E50" s="332"/>
      <c r="F50" s="2422"/>
      <c r="G50" s="3629"/>
      <c r="H50" s="2311" t="s">
        <v>2135</v>
      </c>
      <c r="I50" s="2310"/>
      <c r="J50" s="3641" t="s">
        <v>1345</v>
      </c>
      <c r="K50" s="3641"/>
      <c r="L50" s="3641"/>
      <c r="M50" s="3641"/>
      <c r="N50" s="3641"/>
      <c r="O50" s="3641"/>
    </row>
    <row r="51" spans="1:35" ht="20.45" customHeight="1">
      <c r="A51" s="2551"/>
      <c r="B51" s="3558" t="s">
        <v>1346</v>
      </c>
      <c r="C51" s="3558"/>
      <c r="D51" s="1087"/>
      <c r="E51" s="327"/>
      <c r="F51" s="2422"/>
      <c r="G51" s="3630"/>
      <c r="H51" s="2311" t="s">
        <v>2136</v>
      </c>
      <c r="I51" s="2310"/>
      <c r="J51" s="2522" t="s">
        <v>1347</v>
      </c>
      <c r="K51" s="3622" t="s">
        <v>1348</v>
      </c>
      <c r="L51" s="3622"/>
      <c r="M51" s="2522" t="s">
        <v>1349</v>
      </c>
      <c r="N51" s="2522" t="s">
        <v>1350</v>
      </c>
      <c r="O51" s="2522" t="s">
        <v>1351</v>
      </c>
    </row>
    <row r="52" spans="1:35" ht="24" customHeight="1">
      <c r="A52" s="2334" t="s">
        <v>1352</v>
      </c>
      <c r="B52" s="3558" t="s">
        <v>1353</v>
      </c>
      <c r="C52" s="3558"/>
      <c r="D52" s="1087">
        <f ca="1">ROUND(D45*'数据-取费表'!B41/(1+'数据-取费表'!C42),0)</f>
        <v>5866</v>
      </c>
      <c r="E52" s="2333" t="s">
        <v>1354</v>
      </c>
      <c r="F52" s="2552">
        <f>'数据-取费表'!B41</f>
        <v>5.5000000000000007E-2</v>
      </c>
      <c r="G52" s="2553"/>
      <c r="H52" s="2542"/>
      <c r="I52" s="1806"/>
      <c r="J52" s="2521">
        <v>1</v>
      </c>
      <c r="K52" s="3623" t="s">
        <v>1355</v>
      </c>
      <c r="L52" s="3623"/>
      <c r="M52" s="2523" t="b">
        <f>D48</f>
        <v>0</v>
      </c>
      <c r="N52" s="2521" t="str">
        <f>E48</f>
        <v>销售额×税（费）率</v>
      </c>
      <c r="O52" s="2524">
        <f>F48</f>
        <v>5.5000000000000007E-2</v>
      </c>
    </row>
    <row r="53" spans="1:35" ht="12" customHeight="1">
      <c r="A53" s="2334" t="s">
        <v>1356</v>
      </c>
      <c r="B53" s="3584" t="s">
        <v>2291</v>
      </c>
      <c r="C53" s="3585"/>
      <c r="D53" s="1087">
        <f ca="1">ROUND(D45*'数据-取费表'!B41/(1+'数据-取费表'!C42),0)</f>
        <v>5866</v>
      </c>
      <c r="E53" s="2333" t="s">
        <v>1354</v>
      </c>
      <c r="F53" s="2552">
        <f>'数据-取费表'!B41</f>
        <v>5.5000000000000007E-2</v>
      </c>
      <c r="G53" s="2553"/>
      <c r="H53" s="2542"/>
      <c r="I53" s="1806"/>
      <c r="J53" s="2521">
        <v>2</v>
      </c>
      <c r="K53" s="3623" t="s">
        <v>1357</v>
      </c>
      <c r="L53" s="3623"/>
      <c r="M53" s="2523">
        <f t="shared" ref="M53:O54" ca="1" si="0">D55</f>
        <v>56</v>
      </c>
      <c r="N53" s="2521" t="str">
        <f t="shared" si="0"/>
        <v>销售额×税（费）率</v>
      </c>
      <c r="O53" s="2524" t="str">
        <f t="shared" si="0"/>
        <v>免征</v>
      </c>
    </row>
    <row r="54" spans="1:35" ht="12" customHeight="1">
      <c r="A54" s="2334" t="s">
        <v>1358</v>
      </c>
      <c r="B54" s="3584" t="s">
        <v>2292</v>
      </c>
      <c r="C54" s="3585"/>
      <c r="D54" s="1087">
        <f ca="1">C68</f>
        <v>5866</v>
      </c>
      <c r="E54" s="327" t="s">
        <v>1359</v>
      </c>
      <c r="F54" s="2552">
        <f>'数据-取费表'!B41</f>
        <v>5.5000000000000007E-2</v>
      </c>
      <c r="G54" s="2553"/>
      <c r="H54" s="2554"/>
      <c r="I54" s="1806"/>
      <c r="J54" s="2521">
        <v>3</v>
      </c>
      <c r="K54" s="3623" t="s">
        <v>1360</v>
      </c>
      <c r="L54" s="3623"/>
      <c r="M54" s="2523">
        <f t="shared" ca="1" si="0"/>
        <v>63483</v>
      </c>
      <c r="N54" s="2521" t="str">
        <f t="shared" si="0"/>
        <v>增值额×税（费）率</v>
      </c>
      <c r="O54" s="2525" t="str">
        <f t="shared" si="0"/>
        <v>免征</v>
      </c>
    </row>
    <row r="55" spans="1:35" ht="24" customHeight="1">
      <c r="A55" s="3573" t="s">
        <v>1361</v>
      </c>
      <c r="B55" s="3574"/>
      <c r="C55" s="3574"/>
      <c r="D55" s="2323">
        <f ca="1">IF(H55="个人住宅",0,ROUND(D45*I55,0))</f>
        <v>56</v>
      </c>
      <c r="E55" s="2333" t="s">
        <v>1362</v>
      </c>
      <c r="F55" s="2552" t="str">
        <f>IF(H55="正常",I55,"免征")</f>
        <v>免征</v>
      </c>
      <c r="G55" s="2553"/>
      <c r="H55" s="2548"/>
      <c r="I55" s="165">
        <f>'数据-取费表'!B49</f>
        <v>5.0000000000000001E-4</v>
      </c>
      <c r="J55" s="2521">
        <f>IF(H59="非个人房产","",4)</f>
        <v>4</v>
      </c>
      <c r="K55" s="3623" t="str">
        <f>IF(H59="非个人房产","——","个人所得税")</f>
        <v>个人所得税</v>
      </c>
      <c r="L55" s="3623"/>
      <c r="M55" s="2526">
        <f ca="1">D59</f>
        <v>1066</v>
      </c>
      <c r="N55" s="2039" t="str">
        <f>E59</f>
        <v>差额计税</v>
      </c>
      <c r="O55" s="2527">
        <f>F59</f>
        <v>0.01</v>
      </c>
    </row>
    <row r="56" spans="1:35" ht="24.75">
      <c r="A56" s="3573" t="s">
        <v>1363</v>
      </c>
      <c r="B56" s="3574"/>
      <c r="C56" s="3574"/>
      <c r="D56" s="2323">
        <f ca="1">IF(H56="个人住宅",D57,D58)</f>
        <v>63483</v>
      </c>
      <c r="E56" s="2333" t="s">
        <v>1364</v>
      </c>
      <c r="F56" s="2552" t="str">
        <f>IF(H56="正常",F58,"免征")</f>
        <v>免征</v>
      </c>
      <c r="G56" s="2555" t="s">
        <v>1365</v>
      </c>
      <c r="H56" s="2556"/>
      <c r="I56" s="1807"/>
      <c r="J56" s="2521" t="str">
        <f>IF(项目基本情况!K6="上海银行",IF(J55="",4,J55+1),"")</f>
        <v/>
      </c>
      <c r="K56" s="3646" t="str">
        <f>IF(项目基本情况!K6="上海银行","其他处置费用","")</f>
        <v/>
      </c>
      <c r="L56" s="3647"/>
      <c r="M56" s="2523" t="str">
        <f>IF(项目基本情况!K6="上海银行",M69,"")</f>
        <v/>
      </c>
      <c r="N56" s="3646" t="str">
        <f>IF(项目基本情况!K6="上海银行","包含处置中涉及的律师、诉讼、拍卖、评估等费用","")</f>
        <v/>
      </c>
      <c r="O56" s="3649"/>
    </row>
    <row r="57" spans="1:35" ht="12.75">
      <c r="A57" s="2334" t="s">
        <v>1341</v>
      </c>
      <c r="B57" s="3584" t="s">
        <v>1366</v>
      </c>
      <c r="C57" s="3585"/>
      <c r="D57" s="1589">
        <v>0</v>
      </c>
      <c r="E57" s="324" t="s">
        <v>1343</v>
      </c>
      <c r="F57" s="302"/>
      <c r="G57" s="2553"/>
      <c r="H57" s="2557"/>
      <c r="I57" s="1807"/>
      <c r="J57" s="3623">
        <f>IF(AND(J55="",J56=""),4,IF(项目基本情况!K6="上海银行",结果表!J56+1,结果表!J55+1))</f>
        <v>5</v>
      </c>
      <c r="K57" s="3623" t="s">
        <v>1367</v>
      </c>
      <c r="L57" s="2528" t="s">
        <v>1368</v>
      </c>
      <c r="M57" s="2529"/>
      <c r="N57" s="2530">
        <f ca="1">SUMIF(M52:M56,"&lt;9e307")</f>
        <v>64605</v>
      </c>
      <c r="O57" s="2531"/>
      <c r="P57" s="2687">
        <f ca="1">N57/M49</f>
        <v>0.57692822889597339</v>
      </c>
    </row>
    <row r="58" spans="1:35" ht="24.75">
      <c r="A58" s="2334" t="s">
        <v>1352</v>
      </c>
      <c r="B58" s="3584" t="s">
        <v>1369</v>
      </c>
      <c r="C58" s="3558"/>
      <c r="D58" s="2323">
        <f ca="1">IF(H58="转让取得",C81,C97)</f>
        <v>63483</v>
      </c>
      <c r="E58" s="2333" t="s">
        <v>1364</v>
      </c>
      <c r="F58" s="302" t="s">
        <v>28</v>
      </c>
      <c r="G58" s="2553"/>
      <c r="H58" s="2556"/>
      <c r="I58" s="1807"/>
      <c r="J58" s="3623"/>
      <c r="K58" s="3623"/>
      <c r="L58" s="2528" t="s">
        <v>1370</v>
      </c>
      <c r="M58" s="2532"/>
      <c r="N58" s="2533" t="str">
        <f ca="1">NUMBERSTRING(INT(N57*10000),2)&amp;"元整"</f>
        <v>陆亿肆仟陆佰零伍万元整</v>
      </c>
      <c r="O58" s="2534"/>
    </row>
    <row r="59" spans="1:35" ht="24.75" thickBot="1">
      <c r="A59" s="3626" t="s">
        <v>1371</v>
      </c>
      <c r="B59" s="3627"/>
      <c r="C59" s="3627"/>
      <c r="D59" s="2558">
        <f ca="1">IF(H59="非个人房产","——",IF(H59="个人住宅（满五唯一有凭证）",0,IF(H59="个人其他（无凭证）",ROUND(D45*F59,0),ROUND(C67*F59,0))))</f>
        <v>1066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24">
        <f>J57+1</f>
        <v>6</v>
      </c>
      <c r="K59" s="3623" t="s">
        <v>1372</v>
      </c>
      <c r="L59" s="2521" t="s">
        <v>1368</v>
      </c>
      <c r="M59" s="2535"/>
      <c r="N59" s="2536">
        <f ca="1">M49-N57</f>
        <v>47376</v>
      </c>
      <c r="O59" s="2537"/>
    </row>
    <row r="60" spans="1:35" ht="12" customHeight="1">
      <c r="A60" s="1808"/>
      <c r="B60" s="1746"/>
      <c r="C60" s="1746"/>
      <c r="D60" s="1746"/>
      <c r="E60" s="1577"/>
      <c r="F60" s="1807"/>
      <c r="G60" s="1807"/>
      <c r="H60" s="1809"/>
      <c r="I60" s="129"/>
      <c r="J60" s="3625"/>
      <c r="K60" s="3623"/>
      <c r="L60" s="2528" t="s">
        <v>1370</v>
      </c>
      <c r="M60" s="2532"/>
      <c r="N60" s="2533" t="str">
        <f ca="1">NUMBERSTRING(INT(N59*10000),2)&amp;"元整"</f>
        <v>肆亿柒仟叁佰柒拾陆万元整</v>
      </c>
      <c r="O60" s="2534"/>
    </row>
    <row r="61" spans="1:35" ht="13.5" thickBot="1">
      <c r="A61" s="3571" t="s">
        <v>1373</v>
      </c>
      <c r="B61" s="3571"/>
      <c r="C61" s="3571"/>
      <c r="D61" s="3571"/>
      <c r="E61" s="3571"/>
      <c r="F61" s="1807"/>
      <c r="G61" s="1807"/>
      <c r="H61" s="1809"/>
      <c r="I61" s="129"/>
      <c r="J61" s="2521">
        <f>J59+1</f>
        <v>7</v>
      </c>
      <c r="K61" s="3623" t="s">
        <v>1374</v>
      </c>
      <c r="L61" s="3623"/>
      <c r="M61" s="2538"/>
      <c r="N61" s="2539">
        <f ca="1">ROUND(N59*10000/'数据-汇总表'!E3,0)</f>
        <v>7972</v>
      </c>
      <c r="O61" s="2540"/>
    </row>
    <row r="62" spans="1:35" ht="12.75">
      <c r="A62" s="3589" t="s">
        <v>1375</v>
      </c>
      <c r="B62" s="3590"/>
      <c r="C62" s="2020"/>
      <c r="D62" s="2020" t="s">
        <v>1376</v>
      </c>
      <c r="E62" s="166" t="s">
        <v>1377</v>
      </c>
      <c r="F62" s="1807"/>
      <c r="G62" s="1807"/>
      <c r="H62" s="1809"/>
      <c r="I62" s="129"/>
    </row>
    <row r="63" spans="1:35" ht="12.75">
      <c r="A63" s="173" t="s">
        <v>330</v>
      </c>
      <c r="B63" s="167" t="s">
        <v>1378</v>
      </c>
      <c r="C63" s="2562">
        <f ca="1">ROUND((C64+C65)/(1+'数据-取费表'!C42),0)</f>
        <v>106649</v>
      </c>
      <c r="D63" s="167"/>
      <c r="E63" s="168"/>
      <c r="F63" s="1807"/>
      <c r="G63" s="1807"/>
      <c r="H63" s="1809"/>
      <c r="I63" s="129"/>
      <c r="J63" s="3648" t="s">
        <v>1379</v>
      </c>
      <c r="K63" s="1331" t="s">
        <v>1380</v>
      </c>
      <c r="L63" s="1331">
        <f ca="1">IF(M49&gt;10000,M49*0.5%,IF(AND(M49&gt;1000,M49&lt;=10000),M49*1%,IF(AND(M49&gt;100,M49&lt;=1000),M49*3%,IF(AND(M49&gt;10,M49&lt;=100),M49*5%,M49*8%))))</f>
        <v>559.90499999999997</v>
      </c>
      <c r="M63" s="302">
        <f ca="1">ROUND(L63,1)</f>
        <v>559.9</v>
      </c>
      <c r="N63" s="2541"/>
      <c r="Z63" s="1751"/>
      <c r="AI63" s="1752"/>
    </row>
    <row r="64" spans="1:35" ht="14.25" customHeight="1">
      <c r="A64" s="169" t="s">
        <v>325</v>
      </c>
      <c r="B64" s="170" t="s">
        <v>1381</v>
      </c>
      <c r="C64" s="2563">
        <f ca="1">D45</f>
        <v>111981</v>
      </c>
      <c r="D64" s="170" t="s">
        <v>26</v>
      </c>
      <c r="E64" s="172"/>
      <c r="F64" s="1807"/>
      <c r="G64" s="1807"/>
      <c r="H64" s="1809"/>
      <c r="I64" s="129"/>
      <c r="J64" s="3648"/>
      <c r="K64" s="1331" t="s">
        <v>1382</v>
      </c>
      <c r="L64" s="1331">
        <f ca="1">IF(M49&gt;2000,M49*0.5%,IF(AND(M49&gt;1000,M49&lt;=2000),M49*0.6%,IF(AND(M49&gt;500,M49&lt;=1000),M49*0.7%,IF(AND(M49&gt;200,M49&lt;=500),M49*0.8%,IF(AND(M49&gt;100,M49&lt;=200),M49*0.9%,IF(AND(M49&gt;50,M49&lt;=100),M49*1%,IF(AND(M49&gt;20,M49&lt;=50),M49*1.5%,IF(AND(M49&gt;10,M49&lt;=20),M49*2%,IF(AND(M49&gt;1,M49&lt;=10),M49*2.5%)))))))))</f>
        <v>559.90499999999997</v>
      </c>
      <c r="M64" s="302">
        <f t="shared" ref="M64:M65" ca="1" si="1">ROUND(L64,1)</f>
        <v>559.9</v>
      </c>
      <c r="N64" s="2542" t="s">
        <v>1383</v>
      </c>
      <c r="Z64" s="1751"/>
      <c r="AI64" s="1752"/>
    </row>
    <row r="65" spans="1:35" ht="14.25" customHeight="1">
      <c r="A65" s="169" t="s">
        <v>326</v>
      </c>
      <c r="B65" s="170" t="s">
        <v>1384</v>
      </c>
      <c r="C65" s="2564"/>
      <c r="D65" s="170"/>
      <c r="E65" s="172"/>
      <c r="F65" s="1807"/>
      <c r="G65" s="1807"/>
      <c r="H65" s="1809"/>
      <c r="I65" s="129"/>
      <c r="J65" s="3648"/>
      <c r="K65" s="1331" t="s">
        <v>1385</v>
      </c>
      <c r="L65" s="1331">
        <f ca="1">IF(M49&gt;1000,M49*0.1%,IF(AND(M49&gt;500,M49&lt;=1000),M49*0.5%,IF(AND(M49&gt;50,M49&lt;=500),M49*1%,IF(AND(M49&gt;1,M49&lt;=50),M49*1.5%))))</f>
        <v>111.98100000000001</v>
      </c>
      <c r="M65" s="302">
        <f t="shared" ca="1" si="1"/>
        <v>112</v>
      </c>
      <c r="N65" s="2542" t="s">
        <v>1383</v>
      </c>
      <c r="Z65" s="1751"/>
      <c r="AI65" s="1752"/>
    </row>
    <row r="66" spans="1:35" ht="14.25" customHeight="1">
      <c r="A66" s="173" t="s">
        <v>327</v>
      </c>
      <c r="B66" s="174" t="s">
        <v>1386</v>
      </c>
      <c r="C66" s="2565"/>
      <c r="D66" s="174" t="s">
        <v>26</v>
      </c>
      <c r="E66" s="1337" t="s">
        <v>671</v>
      </c>
      <c r="F66" s="1807"/>
      <c r="G66" s="1807"/>
      <c r="H66" s="1809"/>
      <c r="I66" s="129"/>
      <c r="J66" s="3648"/>
      <c r="K66" s="1331" t="s">
        <v>1387</v>
      </c>
      <c r="L66" s="1331">
        <f ca="1">M49*0.5%</f>
        <v>559.90499999999997</v>
      </c>
      <c r="M66" s="302">
        <f ca="1">IF(L66&gt;0.5,0.5,ROUND(L66,0))</f>
        <v>0.5</v>
      </c>
      <c r="N66" s="2542" t="s">
        <v>1388</v>
      </c>
      <c r="Z66" s="1751"/>
      <c r="AI66" s="1752"/>
    </row>
    <row r="67" spans="1:35" ht="14.25" customHeight="1">
      <c r="A67" s="173" t="s">
        <v>328</v>
      </c>
      <c r="B67" s="174" t="s">
        <v>1389</v>
      </c>
      <c r="C67" s="2566">
        <f ca="1">C63-C66</f>
        <v>106649</v>
      </c>
      <c r="D67" s="170" t="s">
        <v>26</v>
      </c>
      <c r="E67" s="172"/>
      <c r="F67" s="1807"/>
      <c r="G67" s="1807"/>
      <c r="H67" s="1809"/>
      <c r="I67" s="129"/>
      <c r="J67" s="3648"/>
      <c r="K67" s="1331" t="s">
        <v>1390</v>
      </c>
      <c r="L67" s="1331">
        <f ca="1">IF(M49&gt;=10000,(8.25+(M49-10000)*0.01%),IF(AND(M49&gt;=8000,M49&lt;10000),(7.85+(M49-8000)*0.02%),IF(AND(M49&gt;=5000,M49&lt;8000),(6.65+(M49-5000)*0.04%),IF(AND(M49&gt;=2000,M49&lt;5000),(4.25+(PM49-2000)*0.08%),IF(AND(M49&gt;=1000,M49&lt;2000),(2.75+(M49-1000)*0.15%),IF(AND(M49&gt;=100,M49&lt;1000),(0.5+(M49-100)*0.25%),IF(AND(M49&gt;0,M49&lt;100),M49*0.5%)))))))</f>
        <v>18.4481</v>
      </c>
      <c r="M67" s="302">
        <f ca="1">ROUND(L67*0.9,1)</f>
        <v>16.600000000000001</v>
      </c>
      <c r="N67" s="2541"/>
      <c r="Z67" s="1751"/>
      <c r="AI67" s="1752"/>
    </row>
    <row r="68" spans="1:35" ht="14.25" customHeight="1" thickBot="1">
      <c r="A68" s="176" t="s">
        <v>329</v>
      </c>
      <c r="B68" s="177" t="s">
        <v>1391</v>
      </c>
      <c r="C68" s="2567">
        <f ca="1">IF(C67&lt;=0,0,ROUND(C67*D68,0))</f>
        <v>5866</v>
      </c>
      <c r="D68" s="2568">
        <f>'数据-取费表'!B41</f>
        <v>5.5000000000000007E-2</v>
      </c>
      <c r="E68" s="178"/>
      <c r="F68" s="1807"/>
      <c r="G68" s="1807"/>
      <c r="H68" s="1809"/>
      <c r="I68" s="129"/>
      <c r="J68" s="3648"/>
      <c r="K68" s="1331" t="s">
        <v>1392</v>
      </c>
      <c r="L68" s="1331">
        <f ca="1">IF(M49&gt;10000,M49*0.5%,IF(AND(M49&gt;5000,M49&lt;=10000),M49*1%,IF(AND(M49&gt;1000,M49&lt;=5000),M49*2%,IF(AND(M49&gt;200,M49&lt;=1000),M49*3%,M49*5%))))</f>
        <v>559.90499999999997</v>
      </c>
      <c r="M68" s="302">
        <f ca="1">ROUND(L68,1)</f>
        <v>559.9</v>
      </c>
      <c r="N68" s="2541"/>
      <c r="Z68" s="1751"/>
      <c r="AI68" s="1752"/>
    </row>
    <row r="69" spans="1:35" s="1771" customFormat="1" ht="16.5" customHeight="1">
      <c r="A69" s="1810"/>
      <c r="B69" s="1811"/>
      <c r="C69" s="1812"/>
      <c r="D69" s="1813"/>
      <c r="E69" s="1814"/>
      <c r="F69" s="1577"/>
      <c r="G69" s="1577"/>
      <c r="H69" s="1576"/>
      <c r="I69" s="1746"/>
      <c r="J69" s="3648"/>
      <c r="K69" s="1331" t="s">
        <v>1393</v>
      </c>
      <c r="L69" s="1331"/>
      <c r="M69" s="302">
        <f ca="1">ROUND(SUM(M63:M68),0)</f>
        <v>1809</v>
      </c>
      <c r="N69" s="2543">
        <f ca="1">M69/M49</f>
        <v>1.6154526214268491E-2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0" t="s">
        <v>1394</v>
      </c>
      <c r="B70" s="3611"/>
      <c r="C70" s="3611"/>
      <c r="D70" s="3611"/>
      <c r="E70" s="3611"/>
      <c r="F70" s="3611"/>
      <c r="G70" s="3611"/>
      <c r="H70" s="3611"/>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9" t="s">
        <v>1375</v>
      </c>
      <c r="B71" s="3590"/>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106649</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533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84" t="s">
        <v>1402</v>
      </c>
      <c r="F76" s="3558"/>
      <c r="G76" s="3558"/>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533</v>
      </c>
      <c r="D78" s="2575">
        <f>'数据-取费表'!B43</f>
        <v>5.000000000000001E-3</v>
      </c>
      <c r="E78" s="3568" t="s">
        <v>1406</v>
      </c>
      <c r="F78" s="3569"/>
      <c r="G78" s="3569"/>
      <c r="H78" s="357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106116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199.09193245778613</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63483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0" t="s">
        <v>1410</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9" t="s">
        <v>1375</v>
      </c>
      <c r="B84" s="359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106649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533</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650" t="s">
        <v>2129</v>
      </c>
      <c r="H90" s="3651"/>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68" t="s">
        <v>1419</v>
      </c>
      <c r="F91" s="3569"/>
      <c r="G91" s="356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68" t="s">
        <v>1422</v>
      </c>
      <c r="F92" s="3569"/>
      <c r="G92" s="3569"/>
      <c r="H92" s="3578"/>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533</v>
      </c>
      <c r="D93" s="2575">
        <f>'数据-取费表'!B43</f>
        <v>5.000000000000001E-3</v>
      </c>
      <c r="E93" s="3568" t="s">
        <v>1406</v>
      </c>
      <c r="F93" s="3569"/>
      <c r="G93" s="3569"/>
      <c r="H93" s="357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79" t="s">
        <v>1426</v>
      </c>
      <c r="F94" s="3580"/>
      <c r="G94" s="3580"/>
      <c r="H94" s="35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106116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199.09193245778613</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63483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3" t="str">
        <f>C4</f>
        <v>成本法</v>
      </c>
      <c r="D101" s="2584" t="str">
        <f>D4</f>
        <v>假设开发法</v>
      </c>
      <c r="E101" s="3645" t="s">
        <v>1431</v>
      </c>
      <c r="F101" s="3602"/>
      <c r="G101" s="1826" t="s">
        <v>1432</v>
      </c>
      <c r="H101" s="2593">
        <f ca="1">H118</f>
        <v>111981</v>
      </c>
      <c r="I101" s="129"/>
    </row>
    <row r="102" spans="1:35" ht="18.75" customHeight="1">
      <c r="A102" s="3604" t="s">
        <v>1433</v>
      </c>
      <c r="B102" s="2582" t="s">
        <v>1432</v>
      </c>
      <c r="C102" s="2583">
        <f ca="1">IF(D32="楼面单价",ROUND(C19,0),C19)</f>
        <v>111802</v>
      </c>
      <c r="D102" s="2584">
        <f ca="1">IF(D32="楼面单价",ROUND(D19,0),D19)</f>
        <v>112159</v>
      </c>
      <c r="E102" s="3645"/>
      <c r="F102" s="3602"/>
      <c r="G102" s="1826" t="s">
        <v>1434</v>
      </c>
      <c r="H102" s="2553">
        <f ca="1">I118</f>
        <v>18843</v>
      </c>
      <c r="I102" s="129"/>
    </row>
    <row r="103" spans="1:35" ht="42.75" customHeight="1">
      <c r="A103" s="3604"/>
      <c r="B103" s="2582" t="s">
        <v>1434</v>
      </c>
      <c r="C103" s="2585">
        <f ca="1">C20</f>
        <v>18813</v>
      </c>
      <c r="D103" s="2586">
        <f ca="1">D20</f>
        <v>18873</v>
      </c>
      <c r="E103" s="3639" t="s">
        <v>1435</v>
      </c>
      <c r="F103" s="3640"/>
      <c r="G103" s="1827" t="s">
        <v>1436</v>
      </c>
      <c r="H103" s="2593">
        <f>IF(D36="正常操作",H104+H105+H106,H105+H106)</f>
        <v>0</v>
      </c>
      <c r="I103" s="129"/>
    </row>
    <row r="104" spans="1:35" ht="18.75" customHeight="1">
      <c r="A104" s="3604" t="s">
        <v>1437</v>
      </c>
      <c r="B104" s="2587" t="s">
        <v>1432</v>
      </c>
      <c r="C104" s="2588">
        <f ca="1">H118</f>
        <v>111981</v>
      </c>
      <c r="D104" s="2589"/>
      <c r="E104" s="1673" t="s">
        <v>1438</v>
      </c>
      <c r="F104" s="1665"/>
      <c r="G104" s="1827" t="s">
        <v>1436</v>
      </c>
      <c r="H104" s="2594">
        <f>IF(D36="同一抵押权人同一抵押物续贷",C36&amp;"（续贷，未扣减，详见特别提示）",C36)</f>
        <v>0</v>
      </c>
      <c r="I104" s="129"/>
    </row>
    <row r="105" spans="1:35" ht="18.75" customHeight="1" thickBot="1">
      <c r="A105" s="3605"/>
      <c r="B105" s="2590" t="s">
        <v>1434</v>
      </c>
      <c r="C105" s="2591">
        <f ca="1">I118</f>
        <v>18843</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01" t="str">
        <f>IF(项目基本情况!E8="已注销","——","3.房地产抵押价值")</f>
        <v>3.房地产抵押价值</v>
      </c>
      <c r="F107" s="3602"/>
      <c r="G107" s="1826" t="s">
        <v>1432</v>
      </c>
      <c r="H107" s="2593">
        <f ca="1">IF(E107="——","——",H101-H103)</f>
        <v>111981</v>
      </c>
      <c r="I107" s="129"/>
    </row>
    <row r="108" spans="1:35" ht="18.75" customHeight="1">
      <c r="A108" s="129"/>
      <c r="B108" s="129"/>
      <c r="C108" s="129"/>
      <c r="D108" s="129"/>
      <c r="E108" s="3601"/>
      <c r="F108" s="3602"/>
      <c r="G108" s="1826" t="s">
        <v>1434</v>
      </c>
      <c r="H108" s="2553">
        <f ca="1">IF(H107=H101,H102,ROUND(H107*10000/'数据-汇总表'!E3,0))</f>
        <v>18843</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6" t="s">
        <v>1432</v>
      </c>
      <c r="H109" s="2596" t="str">
        <f>IF(E109="——","——",H101-H105-H106)</f>
        <v>——</v>
      </c>
      <c r="I109" s="129"/>
    </row>
    <row r="110" spans="1:35" ht="18.75" customHeight="1">
      <c r="A110" s="129"/>
      <c r="B110" s="129"/>
      <c r="C110" s="129"/>
      <c r="D110" s="129"/>
      <c r="E110" s="3601"/>
      <c r="F110" s="3602"/>
      <c r="G110" s="1826" t="s">
        <v>1434</v>
      </c>
      <c r="H110" s="2553"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6" t="s">
        <v>1432</v>
      </c>
      <c r="H111" s="2593" t="str">
        <f>IF(E111="——","——",N59)</f>
        <v>——</v>
      </c>
      <c r="I111" s="129"/>
    </row>
    <row r="112" spans="1:35" ht="18.75" customHeight="1" thickBot="1">
      <c r="A112" s="129"/>
      <c r="B112" s="129"/>
      <c r="C112" s="129"/>
      <c r="D112" s="129"/>
      <c r="E112" s="3634"/>
      <c r="F112" s="3635"/>
      <c r="G112" s="1829" t="s">
        <v>1434</v>
      </c>
      <c r="H112" s="2597"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8" t="s">
        <v>1449</v>
      </c>
      <c r="E117" s="2328" t="s">
        <v>1450</v>
      </c>
      <c r="F117" s="2328" t="s">
        <v>1449</v>
      </c>
      <c r="G117" s="2328" t="s">
        <v>1451</v>
      </c>
      <c r="H117" s="2328" t="s">
        <v>1449</v>
      </c>
      <c r="I117" s="2328" t="s">
        <v>1451</v>
      </c>
    </row>
    <row r="118" spans="1:27" ht="24.75" customHeight="1">
      <c r="A118" s="2598" t="str">
        <f>项目基本情况!S2</f>
        <v>北京市通州区宋庄镇尹各庄村新建科研用地房地产</v>
      </c>
      <c r="B118" s="2328">
        <f>M18</f>
        <v>59427.91</v>
      </c>
      <c r="C118" s="2328">
        <f>M19</f>
        <v>20455.650000000001</v>
      </c>
      <c r="D118" s="2328">
        <f ca="1">ROUND(IF(D32="总价",C34,E118*B118/10000),0)</f>
        <v>32474</v>
      </c>
      <c r="E118" s="2328">
        <f ca="1">ROUND(IF(C33="自定义",IF(D32="楼面单价",C34,D118*10000/B118),I118-G118),0)</f>
        <v>5464</v>
      </c>
      <c r="F118" s="2328">
        <f ca="1">ROUND(IF(D32="总价",C35,G118*B118/10000),0)</f>
        <v>79507</v>
      </c>
      <c r="G118" s="2328">
        <f ca="1">ROUND(IF(D32="楼面单价",C35,F118*10000/B118),0)</f>
        <v>13379</v>
      </c>
      <c r="H118" s="2328">
        <f ca="1">ROUND(IF(D32="总价",C32,I118*B118/10000),0)</f>
        <v>111981</v>
      </c>
      <c r="I118" s="2328">
        <f ca="1">ROUND(IF(D32="楼面单价",C32,H118*10000/B118),0)</f>
        <v>18843</v>
      </c>
    </row>
    <row r="119" spans="1:27" ht="18.75" customHeight="1">
      <c r="A119" s="3572" t="s">
        <v>1452</v>
      </c>
      <c r="B119" s="3572"/>
      <c r="C119" s="3572"/>
      <c r="D119" s="3612" t="str">
        <f ca="1">NUMBERSTRING(INT(D118*10000),2)&amp;"元整"</f>
        <v>叁亿贰仟肆佰柒拾肆万元整</v>
      </c>
      <c r="E119" s="3614"/>
      <c r="F119" s="3612" t="str">
        <f ca="1">NUMBERSTRING(INT(F118*10000),2)&amp;"元整"</f>
        <v>柒亿玖仟伍佰零柒万元整</v>
      </c>
      <c r="G119" s="3614"/>
      <c r="H119" s="3612" t="str">
        <f ca="1">NUMBERSTRING(INT(H118*10000),2)&amp;"元整"</f>
        <v>壹拾壹亿壹仟玖佰捌拾壹万元整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房地产抵押价值</v>
      </c>
      <c r="B122" s="3603"/>
      <c r="C122" s="3603"/>
      <c r="D122" s="3636">
        <f ca="1">H107</f>
        <v>111981</v>
      </c>
      <c r="E122" s="3637"/>
      <c r="F122" s="3637"/>
      <c r="G122" s="3637"/>
      <c r="H122" s="3637"/>
      <c r="I122" s="3638"/>
      <c r="AA122" s="725"/>
    </row>
    <row r="123" spans="1:27" ht="18.75" customHeight="1">
      <c r="A123" s="3572" t="s">
        <v>1452</v>
      </c>
      <c r="B123" s="3572"/>
      <c r="C123" s="3572"/>
      <c r="D123" s="3612" t="str">
        <f ca="1">NUMBERSTRING(INT(D122*10000),2)&amp;"元整"</f>
        <v>壹拾壹亿壹仟玖佰捌拾壹万元整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北京市通州区宋庄镇尹各庄村新建科研用地房地产抵押价值预评估</v>
      </c>
      <c r="C37" s="3469"/>
      <c r="D37" s="3469"/>
      <c r="E37" s="3469"/>
      <c r="F37" s="3469"/>
      <c r="G37" s="3469"/>
      <c r="H37" s="3469"/>
      <c r="I37" s="3469"/>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111802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18813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22191</v>
      </c>
      <c r="D5" s="211" t="s">
        <v>1469</v>
      </c>
      <c r="E5" s="212" t="s">
        <v>1470</v>
      </c>
      <c r="F5" s="212" t="s">
        <v>1471</v>
      </c>
      <c r="G5" s="213"/>
    </row>
    <row r="6" spans="1:9" s="214" customFormat="1" ht="13.5" customHeight="1">
      <c r="A6" s="778" t="s">
        <v>1472</v>
      </c>
      <c r="B6" s="215" t="s">
        <v>1473</v>
      </c>
      <c r="C6" s="216">
        <f>基准地价修正!B2</f>
        <v>20554</v>
      </c>
      <c r="D6" s="217"/>
      <c r="E6" s="218"/>
      <c r="F6" s="218"/>
      <c r="G6" s="219"/>
    </row>
    <row r="7" spans="1:9" s="214" customFormat="1" ht="13.5" customHeight="1">
      <c r="A7" s="778" t="s">
        <v>1474</v>
      </c>
      <c r="B7" s="215" t="s">
        <v>1475</v>
      </c>
      <c r="C7" s="220">
        <f>ROUND(C6*F7,0)</f>
        <v>627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1010</v>
      </c>
      <c r="D8" s="222"/>
      <c r="E8" s="220"/>
      <c r="F8" s="221"/>
      <c r="G8" s="1855" t="s">
        <v>3512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3513</v>
      </c>
      <c r="H9" s="1136"/>
      <c r="I9" s="1857" t="s">
        <v>1479</v>
      </c>
    </row>
    <row r="10" spans="1:9" s="214" customFormat="1" ht="13.5" customHeight="1">
      <c r="A10" s="779" t="s">
        <v>356</v>
      </c>
      <c r="B10" s="224" t="s">
        <v>1480</v>
      </c>
      <c r="C10" s="225">
        <f ca="1">ROUND(D10*E10/10000,0)</f>
        <v>1010</v>
      </c>
      <c r="D10" s="845">
        <f ca="1">IF(B1="",'数据-汇总表'!E6,IF(INDIRECT("'数据-取费表'!c"&amp;$G$1)="住宅",INDIRECT("'数据-取费表'!s"&amp;$G$1),INDIRECT("'数据-取费表'!k"&amp;$G$1)+INDIRECT("'数据-取费表'!s"&amp;$G$1)))</f>
        <v>59427.91</v>
      </c>
      <c r="E10" s="225">
        <f>'数据-取费表'!B28</f>
        <v>170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59427.91</v>
      </c>
      <c r="E19" s="211">
        <f>'数据-取费表'!B31</f>
        <v>200</v>
      </c>
      <c r="F19" s="231"/>
      <c r="G19" s="1855" t="s">
        <v>3514</v>
      </c>
    </row>
    <row r="20" spans="1:7" s="214" customFormat="1" ht="13.5" customHeight="1">
      <c r="A20" s="255" t="s">
        <v>1493</v>
      </c>
      <c r="B20" s="210" t="s">
        <v>1494</v>
      </c>
      <c r="C20" s="232">
        <f ca="1">ROUND((C5+C19)*F20,0)</f>
        <v>666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2137</v>
      </c>
      <c r="D22" s="235">
        <f ca="1">C26</f>
        <v>1.4E-3</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2106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31</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4526</v>
      </c>
      <c r="D27" s="235">
        <f ca="1">C29</f>
        <v>5.8999999999999999E-3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4526</v>
      </c>
      <c r="D28" s="235"/>
      <c r="E28" s="236"/>
      <c r="F28" s="246"/>
      <c r="G28" s="247"/>
    </row>
    <row r="29" spans="1:7" s="214" customFormat="1" ht="13.5" customHeight="1">
      <c r="A29" s="780" t="s">
        <v>347</v>
      </c>
      <c r="B29" s="248" t="s">
        <v>1517</v>
      </c>
      <c r="C29" s="238">
        <f ca="1">ROUND(C21*F27*'数据-取费表'!B21/'数据-取费表'!B20,4)</f>
        <v>5.8999999999999999E-3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32429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56276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48760</v>
      </c>
      <c r="D34" s="217"/>
      <c r="E34" s="220"/>
      <c r="F34" s="257">
        <f ca="1">IF('数据-取费表'!B24=0,1,IF(B1="",'数据-取费表'!N16,INDIRECT("'数据-取费表'!n"&amp;$G$1)))</f>
        <v>0.99</v>
      </c>
      <c r="G34" s="219" t="s">
        <v>1526</v>
      </c>
    </row>
    <row r="35" spans="1:7" ht="13.5" customHeight="1">
      <c r="A35" s="780" t="s">
        <v>351</v>
      </c>
      <c r="B35" s="215" t="s">
        <v>1527</v>
      </c>
      <c r="C35" s="220">
        <f ca="1">ROUND(C34*F35,0)</f>
        <v>4876</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1177</v>
      </c>
      <c r="D37" s="217">
        <f ca="1">D19</f>
        <v>59427.91</v>
      </c>
      <c r="E37" s="249">
        <f>'数据-取费表'!B35</f>
        <v>200</v>
      </c>
      <c r="F37" s="259"/>
      <c r="G37" s="261" t="s">
        <v>1532</v>
      </c>
    </row>
    <row r="38" spans="1:7" ht="13.5" customHeight="1">
      <c r="A38" s="780" t="s">
        <v>354</v>
      </c>
      <c r="B38" s="215" t="s">
        <v>1533</v>
      </c>
      <c r="C38" s="220">
        <f ca="1">ROUND(C34*F38,0)</f>
        <v>1463</v>
      </c>
      <c r="D38" s="220"/>
      <c r="E38" s="220"/>
      <c r="F38" s="259">
        <f>'数据-取费表'!B36</f>
        <v>0.03</v>
      </c>
      <c r="G38" s="219" t="s">
        <v>1528</v>
      </c>
    </row>
    <row r="39" spans="1:7" s="214" customFormat="1" ht="13.5" customHeight="1">
      <c r="A39" s="255" t="s">
        <v>1534</v>
      </c>
      <c r="B39" s="210" t="s">
        <v>1535</v>
      </c>
      <c r="C39" s="232">
        <f ca="1">ROUND(C33*F20,0)</f>
        <v>1688</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2688</v>
      </c>
      <c r="D41" s="235">
        <f ca="1">C44</f>
        <v>1.4E-3</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2610</v>
      </c>
      <c r="D42" s="238"/>
      <c r="E42" s="238"/>
      <c r="F42" s="239"/>
      <c r="G42" s="3652" t="s">
        <v>1544</v>
      </c>
    </row>
    <row r="43" spans="1:7" ht="13.5" customHeight="1">
      <c r="A43" s="780" t="s">
        <v>347</v>
      </c>
      <c r="B43" s="215" t="s">
        <v>1545</v>
      </c>
      <c r="C43" s="238">
        <f ca="1">ROUND(IF('数据-取费表'!B22&lt;=1,C39*F22*'数据-取费表'!B21/2,C39*(POWER((1+F22),'数据-取费表'!B21/2)-1)),0)</f>
        <v>78</v>
      </c>
      <c r="D43" s="238"/>
      <c r="E43" s="238"/>
      <c r="F43" s="239"/>
      <c r="G43" s="3653"/>
    </row>
    <row r="44" spans="1:7" ht="13.5" customHeight="1">
      <c r="A44" s="780" t="s">
        <v>348</v>
      </c>
      <c r="B44" s="215" t="s">
        <v>1546</v>
      </c>
      <c r="C44" s="238">
        <f ca="1">ROUND(IF('数据-取费表'!B22&lt;=1,C40*F22*'数据-取费表'!B21/2,C40*(POWER((1+F22),'数据-取费表'!B21/2)-1)),4)</f>
        <v>1.4E-3</v>
      </c>
      <c r="D44" s="238"/>
      <c r="E44" s="238"/>
      <c r="F44" s="239"/>
      <c r="G44" s="3654"/>
    </row>
    <row r="45" spans="1:7" s="214" customFormat="1" ht="13.5" customHeight="1">
      <c r="A45" s="255" t="s">
        <v>1547</v>
      </c>
      <c r="B45" s="244" t="s">
        <v>1513</v>
      </c>
      <c r="C45" s="245">
        <f ca="1">C46</f>
        <v>11593</v>
      </c>
      <c r="D45" s="235">
        <f ca="1">C47</f>
        <v>6.0000000000000001E-3</v>
      </c>
      <c r="E45" s="236" t="s">
        <v>1539</v>
      </c>
      <c r="F45" s="246">
        <f ca="1">F27</f>
        <v>0.2</v>
      </c>
      <c r="G45" s="247" t="s">
        <v>1548</v>
      </c>
    </row>
    <row r="46" spans="1:7" s="214" customFormat="1" ht="13.5" customHeight="1">
      <c r="A46" s="780" t="s">
        <v>346</v>
      </c>
      <c r="B46" s="248" t="s">
        <v>1549</v>
      </c>
      <c r="C46" s="249">
        <f ca="1">ROUND((C33+C39)*F27,0)</f>
        <v>11593</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79373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79373</v>
      </c>
      <c r="D51" s="232"/>
      <c r="E51" s="232"/>
      <c r="F51" s="264"/>
      <c r="G51" s="234" t="s">
        <v>1560</v>
      </c>
    </row>
    <row r="52" spans="1:7" s="208" customFormat="1" ht="16.5" thickBot="1">
      <c r="A52" s="265" t="s">
        <v>1561</v>
      </c>
      <c r="B52" s="266"/>
      <c r="C52" s="267">
        <f ca="1">C31+C51</f>
        <v>111802</v>
      </c>
      <c r="D52" s="266"/>
      <c r="E52" s="266"/>
      <c r="F52" s="266"/>
      <c r="G52" s="268"/>
    </row>
    <row r="55" spans="1:7" ht="15">
      <c r="B55" s="270" t="s">
        <v>1562</v>
      </c>
      <c r="C55" s="271"/>
    </row>
    <row r="56" spans="1:7">
      <c r="B56" s="273" t="s">
        <v>802</v>
      </c>
      <c r="C56" s="275">
        <f ca="1">1-C57</f>
        <v>0.29000000000000004</v>
      </c>
    </row>
    <row r="57" spans="1:7">
      <c r="B57" s="273" t="s">
        <v>803</v>
      </c>
      <c r="C57" s="274">
        <f ca="1">ROUND(C51/C52,3)</f>
        <v>0.71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1" t="str">
        <f>IF(ISERROR(FIND("住宅",B1)),"非住宅","住宅")</f>
        <v>非住宅</v>
      </c>
    </row>
    <row r="2" spans="1:8" s="200" customFormat="1" ht="18" customHeight="1">
      <c r="A2" s="201" t="s">
        <v>1462</v>
      </c>
      <c r="B2" s="3421">
        <f ca="1">ROUND(IF(D2="——",C52/10000,C52/10000-E2),4)</f>
        <v>83424.925399999993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14038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10102745</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10102745</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10102745</v>
      </c>
      <c r="D10" s="845">
        <f ca="1">IF(B1="",'数据-汇总表'!E6,IF(INDIRECT("'数据-取费表'!c"&amp;$G$1)="住宅",INDIRECT("'数据-取费表'!s"&amp;$G$1),INDIRECT("'数据-取费表'!k"&amp;$G$1)+INDIRECT("'数据-取费表'!s"&amp;$G$1)))</f>
        <v>59427.91</v>
      </c>
      <c r="E10" s="225">
        <f>'数据-取费表'!B28</f>
        <v>170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11885582</v>
      </c>
      <c r="D19" s="849">
        <f ca="1">D9+D10</f>
        <v>59427.91</v>
      </c>
      <c r="E19" s="211">
        <f>'数据-取费表'!B31</f>
        <v>200</v>
      </c>
      <c r="F19" s="231"/>
      <c r="G19" s="1855"/>
    </row>
    <row r="20" spans="1:7" s="214" customFormat="1" ht="13.5" customHeight="1">
      <c r="A20" s="255" t="s">
        <v>1574</v>
      </c>
      <c r="B20" s="210" t="s">
        <v>1575</v>
      </c>
      <c r="C20" s="232">
        <f ca="1">ROUND((C5+C19)*F20,0)</f>
        <v>659650</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2139871</v>
      </c>
      <c r="D22" s="235">
        <f ca="1">C26</f>
        <v>1.4E-3</v>
      </c>
      <c r="E22" s="236" t="s">
        <v>1579</v>
      </c>
      <c r="F22" s="237">
        <f ca="1">'数据-取费表'!B40</f>
        <v>3.1E-2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968982</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1139979</v>
      </c>
      <c r="D24" s="238"/>
      <c r="E24" s="238"/>
      <c r="F24" s="239"/>
      <c r="G24" s="240" t="s">
        <v>1586</v>
      </c>
    </row>
    <row r="25" spans="1:7" s="214" customFormat="1" ht="24">
      <c r="A25" s="780" t="s">
        <v>1476</v>
      </c>
      <c r="B25" s="215" t="s">
        <v>1587</v>
      </c>
      <c r="C25" s="1127">
        <f ca="1">ROUND(IF('数据-取费表'!B22&lt;=1,C20*F22*'数据-取费表'!B22/2,C20*(POWER((1+F22),'数据-取费表'!B22/2)-1)),0)</f>
        <v>30910</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4529595</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4529595</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32209891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568431462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492518478</v>
      </c>
      <c r="D34" s="217"/>
      <c r="E34" s="220"/>
      <c r="F34" s="257"/>
      <c r="G34" s="219"/>
    </row>
    <row r="35" spans="1:7" ht="13.5" customHeight="1">
      <c r="A35" s="780" t="s">
        <v>351</v>
      </c>
      <c r="B35" s="215" t="s">
        <v>1527</v>
      </c>
      <c r="C35" s="220">
        <f ca="1">ROUND(C34*F35,0)</f>
        <v>49251848</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11885582</v>
      </c>
      <c r="D37" s="217">
        <f ca="1">D19</f>
        <v>59427.91</v>
      </c>
      <c r="E37" s="249">
        <f>'数据-取费表'!B35</f>
        <v>200</v>
      </c>
      <c r="F37" s="259"/>
      <c r="G37" s="261"/>
    </row>
    <row r="38" spans="1:7" ht="13.5" customHeight="1">
      <c r="A38" s="780" t="s">
        <v>354</v>
      </c>
      <c r="B38" s="215" t="s">
        <v>1533</v>
      </c>
      <c r="C38" s="220">
        <f ca="1">ROUND(C34*F38,0)</f>
        <v>14775554</v>
      </c>
      <c r="D38" s="220"/>
      <c r="E38" s="220"/>
      <c r="F38" s="259">
        <f>'数据-取费表'!B36</f>
        <v>0.03</v>
      </c>
      <c r="G38" s="219" t="s">
        <v>1528</v>
      </c>
    </row>
    <row r="39" spans="1:7" s="214" customFormat="1" ht="13.5" customHeight="1">
      <c r="A39" s="255" t="s">
        <v>1534</v>
      </c>
      <c r="B39" s="210" t="s">
        <v>1535</v>
      </c>
      <c r="C39" s="232">
        <f ca="1">ROUND(C33*F20,0)</f>
        <v>17052944</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27434941</v>
      </c>
      <c r="D41" s="235">
        <f ca="1">C44</f>
        <v>1.4E-3</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26635865</v>
      </c>
      <c r="D42" s="238"/>
      <c r="E42" s="238"/>
      <c r="F42" s="239"/>
      <c r="G42" s="3652" t="s">
        <v>1591</v>
      </c>
    </row>
    <row r="43" spans="1:7" ht="13.5" customHeight="1">
      <c r="A43" s="780" t="s">
        <v>347</v>
      </c>
      <c r="B43" s="215" t="s">
        <v>1545</v>
      </c>
      <c r="C43" s="238">
        <f ca="1">ROUND(IF('数据-取费表'!B22&lt;=1,C39*F22*'数据-取费表'!B20/2,C39*(POWER((1+F22),'数据-取费表'!B20/2)-1)),0)</f>
        <v>799076</v>
      </c>
      <c r="D43" s="238"/>
      <c r="E43" s="238"/>
      <c r="F43" s="239"/>
      <c r="G43" s="3653"/>
    </row>
    <row r="44" spans="1:7" ht="13.5" customHeight="1">
      <c r="A44" s="780" t="s">
        <v>348</v>
      </c>
      <c r="B44" s="215" t="s">
        <v>1546</v>
      </c>
      <c r="C44" s="238">
        <f ca="1">ROUND(IF('数据-取费表'!B22&lt;=1,C40*F22*'数据-取费表'!B20/2,C40*(POWER((1+F22),'数据-取费表'!B20/2)-1)),4)</f>
        <v>1.4E-3</v>
      </c>
      <c r="D44" s="238"/>
      <c r="E44" s="238"/>
      <c r="F44" s="239"/>
      <c r="G44" s="3654"/>
    </row>
    <row r="45" spans="1:7" s="214" customFormat="1" ht="13.5" customHeight="1">
      <c r="A45" s="255" t="s">
        <v>1547</v>
      </c>
      <c r="B45" s="244" t="s">
        <v>1513</v>
      </c>
      <c r="C45" s="245">
        <f ca="1">C46</f>
        <v>117096881</v>
      </c>
      <c r="D45" s="235">
        <f ca="1">C47</f>
        <v>6.0000000000000001E-3</v>
      </c>
      <c r="E45" s="236" t="s">
        <v>1539</v>
      </c>
      <c r="F45" s="246">
        <f ca="1">F27</f>
        <v>0.2</v>
      </c>
      <c r="G45" s="247" t="s">
        <v>1548</v>
      </c>
    </row>
    <row r="46" spans="1:7" s="214" customFormat="1" ht="13.5" customHeight="1">
      <c r="A46" s="780" t="s">
        <v>346</v>
      </c>
      <c r="B46" s="248" t="s">
        <v>1549</v>
      </c>
      <c r="C46" s="249">
        <f ca="1">ROUND((C33+C39)*F27,0)</f>
        <v>117096881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802039363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802039363</v>
      </c>
      <c r="D51" s="232"/>
      <c r="E51" s="232"/>
      <c r="F51" s="264"/>
      <c r="G51" s="234" t="s">
        <v>1560</v>
      </c>
    </row>
    <row r="52" spans="1:7" s="208" customFormat="1" ht="16.5" thickBot="1">
      <c r="A52" s="265" t="s">
        <v>1561</v>
      </c>
      <c r="B52" s="266"/>
      <c r="C52" s="267">
        <f ca="1">C31+C51</f>
        <v>834249254</v>
      </c>
      <c r="D52" s="266"/>
      <c r="E52" s="266"/>
      <c r="F52" s="266"/>
      <c r="G52" s="268"/>
    </row>
    <row r="55" spans="1:7" ht="15">
      <c r="B55" s="270" t="s">
        <v>1562</v>
      </c>
      <c r="C55" s="271"/>
    </row>
    <row r="56" spans="1:7">
      <c r="B56" s="273" t="s">
        <v>802</v>
      </c>
      <c r="C56" s="275">
        <f ca="1">1-C57</f>
        <v>3.9000000000000035E-2</v>
      </c>
    </row>
    <row r="57" spans="1:7">
      <c r="B57" s="273" t="s">
        <v>803</v>
      </c>
      <c r="C57" s="274">
        <f ca="1">ROUND(C51/C52,3)</f>
        <v>0.96099999999999997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Normal="70" zoomScaleSheetLayoutView="100" workbookViewId="0">
      <selection activeCell="C27" sqref="C2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112159</v>
      </c>
      <c r="C2" s="276" t="s">
        <v>1595</v>
      </c>
      <c r="D2" s="276"/>
      <c r="E2" s="2803"/>
      <c r="F2" s="2803"/>
      <c r="G2" s="2803"/>
      <c r="H2" s="2803"/>
      <c r="I2" s="2803"/>
      <c r="J2" s="2803"/>
      <c r="K2" s="2803"/>
    </row>
    <row r="3" spans="1:33" ht="18" customHeight="1" thickBot="1">
      <c r="A3" s="203" t="s">
        <v>1464</v>
      </c>
      <c r="B3" s="204">
        <f ca="1">ROUND(B2*10000/IF(C1="",'数据-汇总表'!E3,INDIRECT("'数据-取费表'!K"&amp;$K$1)),0)</f>
        <v>18873</v>
      </c>
      <c r="C3" s="276" t="s">
        <v>1596</v>
      </c>
      <c r="D3" s="276"/>
      <c r="E3" s="2803"/>
      <c r="F3" s="2803"/>
      <c r="G3" s="2803"/>
      <c r="H3" s="2803"/>
      <c r="I3" s="2803"/>
      <c r="J3" s="2803"/>
      <c r="K3" s="2803"/>
    </row>
    <row r="4" spans="1:33" s="785" customFormat="1" ht="16.5" customHeight="1">
      <c r="A4" s="782" t="s">
        <v>1597</v>
      </c>
      <c r="B4" s="783"/>
      <c r="C4" s="824">
        <f ca="1">SUM(C8:K8)</f>
        <v>122933</v>
      </c>
      <c r="D4" s="783"/>
      <c r="E4" s="783"/>
      <c r="F4" s="783"/>
      <c r="G4" s="783"/>
      <c r="H4" s="783"/>
      <c r="I4" s="783"/>
      <c r="J4" s="783"/>
      <c r="K4" s="784"/>
    </row>
    <row r="5" spans="1:33" s="789" customFormat="1" ht="15">
      <c r="A5" s="786" t="s">
        <v>1598</v>
      </c>
      <c r="B5" s="787" t="s">
        <v>1599</v>
      </c>
      <c r="C5" s="1859" t="s">
        <v>3420</v>
      </c>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21023</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58476.87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f ca="1">收益法!B2</f>
        <v>122933</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492</v>
      </c>
      <c r="D11" s="802"/>
      <c r="E11" s="329"/>
      <c r="F11" s="812">
        <f ca="1">1-IF('数据-取费表'!B24=0,1,IF(C1="",'数据-取费表'!N16,INDIRECT("'数据-取费表'!n"&amp;$K$1)))</f>
        <v>1.0000000000000009E-2</v>
      </c>
      <c r="G11" s="5"/>
      <c r="H11" s="797"/>
      <c r="I11" s="797"/>
      <c r="J11" s="797"/>
      <c r="K11" s="798"/>
    </row>
    <row r="12" spans="1:33" s="803" customFormat="1" ht="13.5" customHeight="1">
      <c r="A12" s="800" t="s">
        <v>636</v>
      </c>
      <c r="B12" s="801" t="s">
        <v>1613</v>
      </c>
      <c r="C12" s="21">
        <f ca="1">ROUND(C11*F12,0)</f>
        <v>49</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12</v>
      </c>
      <c r="D14" s="846">
        <f ca="1">IF(C1="",'数据-汇总表'!E3,INDIRECT("'数据-取费表'!K"&amp;$K$1)+INDIRECT("'数据-取费表'!S"&amp;$K$1))</f>
        <v>59427.91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15</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568</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59427.91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1010</v>
      </c>
      <c r="D20" s="846">
        <f ca="1">IF(C1="",'数据-汇总表'!E6,IF(INDIRECT("'数据-取费表'!c"&amp;$K$1)="住宅",INDIRECT("'数据-取费表'!s"&amp;$K$1),INDIRECT("'数据-取费表'!k"&amp;$K$1)+INDIRECT("'数据-取费表'!s"&amp;$K$1)))</f>
        <v>59427.91</v>
      </c>
      <c r="E20" s="21">
        <f>'数据-取费表'!B28</f>
        <v>170</v>
      </c>
      <c r="F20" s="804"/>
      <c r="G20" s="12"/>
      <c r="H20" s="809"/>
      <c r="I20" s="809"/>
      <c r="J20" s="809"/>
      <c r="K20" s="810"/>
    </row>
    <row r="21" spans="1:33" s="803" customFormat="1" ht="13.5" customHeight="1">
      <c r="A21" s="790" t="s">
        <v>357</v>
      </c>
      <c r="B21" s="813" t="s">
        <v>1628</v>
      </c>
      <c r="C21" s="814">
        <f ca="1">C16+C17+C18</f>
        <v>568</v>
      </c>
      <c r="D21" s="815"/>
      <c r="E21" s="281"/>
      <c r="F21" s="281"/>
      <c r="G21" s="131" t="s">
        <v>1629</v>
      </c>
      <c r="H21" s="807"/>
      <c r="I21" s="807"/>
      <c r="J21" s="807"/>
      <c r="K21" s="808"/>
    </row>
    <row r="22" spans="1:33" s="803" customFormat="1" ht="13.5" customHeight="1">
      <c r="A22" s="790" t="s">
        <v>1601</v>
      </c>
      <c r="B22" s="813" t="s">
        <v>1630</v>
      </c>
      <c r="C22" s="814">
        <f ca="1">ROUND(C21*F22,0)</f>
        <v>17</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37</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0.28000000000000003</v>
      </c>
      <c r="D25" s="280">
        <f ca="1">C26</f>
        <v>8.9999999999999998E-4</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8.9999999999999998E-4</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3808">
        <f ca="1">ROUND(IF('数据-取费表'!B22&lt;=1,(C21+C22+C23)*F25*'数据-取费表'!B24/2,(C21+C22+C23)*(POWER((1+F25),'数据-取费表'!B24/2)-1)),2)</f>
        <v>0.28000000000000003</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124</v>
      </c>
      <c r="D28" s="280">
        <f ca="1">C29</f>
        <v>2.0999999999999999E-3</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2.0999999999999999E-3</v>
      </c>
      <c r="D29" s="284"/>
      <c r="E29" s="285"/>
      <c r="F29" s="290"/>
      <c r="G29" s="131" t="s">
        <v>1644</v>
      </c>
      <c r="H29" s="807"/>
      <c r="I29" s="807"/>
      <c r="J29" s="807"/>
      <c r="K29" s="808"/>
    </row>
    <row r="30" spans="1:33" s="291" customFormat="1" ht="13.5" customHeight="1">
      <c r="A30" s="800" t="s">
        <v>359</v>
      </c>
      <c r="B30" s="822" t="s">
        <v>1645</v>
      </c>
      <c r="C30" s="292">
        <f ca="1">ROUND((C21+C22+C23)*F28,0)</f>
        <v>124</v>
      </c>
      <c r="D30" s="284"/>
      <c r="E30" s="285"/>
      <c r="F30" s="290"/>
      <c r="G30" s="131"/>
      <c r="H30" s="807"/>
      <c r="I30" s="807"/>
      <c r="J30" s="807"/>
      <c r="K30" s="808"/>
    </row>
    <row r="31" spans="1:33" s="803" customFormat="1" ht="13.5" customHeight="1" thickBot="1">
      <c r="A31" s="1865" t="s">
        <v>1646</v>
      </c>
      <c r="B31" s="833" t="s">
        <v>1647</v>
      </c>
      <c r="C31" s="834">
        <f ca="1">ROUND(C4*F31/(1+'数据-取费表'!C42),0)</f>
        <v>6439</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112159</v>
      </c>
      <c r="D32" s="829"/>
      <c r="E32" s="829"/>
      <c r="F32" s="829"/>
      <c r="G32" s="831" t="s">
        <v>1650</v>
      </c>
      <c r="H32" s="829"/>
      <c r="I32" s="829"/>
      <c r="J32" s="829"/>
      <c r="K32" s="832"/>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B2" sqref="B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3420</v>
      </c>
      <c r="D1" s="1361" t="s">
        <v>3517</v>
      </c>
      <c r="E1" s="1362" t="s">
        <v>678</v>
      </c>
      <c r="F1" s="1062">
        <f ca="1">J53</f>
        <v>37.04</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122933</v>
      </c>
      <c r="C2" s="1386" t="s">
        <v>805</v>
      </c>
      <c r="D2" s="1386"/>
      <c r="E2" s="1387"/>
      <c r="F2" s="1388"/>
      <c r="G2" s="2703"/>
      <c r="H2" s="2692"/>
      <c r="I2" s="2692"/>
      <c r="J2" s="2692"/>
      <c r="K2" s="2693"/>
      <c r="L2" s="2692"/>
      <c r="M2" s="2692"/>
    </row>
    <row r="3" spans="1:37" ht="18" customHeight="1" thickBot="1">
      <c r="A3" s="1389" t="s">
        <v>806</v>
      </c>
      <c r="B3" s="1390">
        <f ca="1">IF(ISERROR(B2*10000/F43),0,ROUND(B2*10000/F43,0))</f>
        <v>21023</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11626</v>
      </c>
      <c r="D5" s="1363" t="s">
        <v>693</v>
      </c>
      <c r="E5" s="1071"/>
      <c r="F5" s="1072"/>
      <c r="G5" s="1383"/>
      <c r="H5" s="299">
        <v>1</v>
      </c>
      <c r="I5" s="300" t="s">
        <v>692</v>
      </c>
      <c r="J5" s="1070">
        <f ca="1">J6+J10+J12</f>
        <v>0</v>
      </c>
      <c r="K5" s="1363" t="s">
        <v>693</v>
      </c>
      <c r="L5" s="1071"/>
      <c r="M5" s="1072"/>
    </row>
    <row r="6" spans="1:37" ht="18" customHeight="1">
      <c r="A6" s="1069" t="s">
        <v>398</v>
      </c>
      <c r="B6" s="3657" t="s">
        <v>694</v>
      </c>
      <c r="C6" s="1074">
        <f ca="1">ROUND(F6*F8*F7*(1-F9)/10000,0)</f>
        <v>11611</v>
      </c>
      <c r="D6" s="155" t="s">
        <v>2109</v>
      </c>
      <c r="E6" s="302" t="s">
        <v>696</v>
      </c>
      <c r="F6" s="303">
        <f ca="1">INDIRECT("'数据-取费表'!u"&amp;$G$1)</f>
        <v>6.4</v>
      </c>
      <c r="G6" s="1383"/>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58476.87</v>
      </c>
      <c r="G7" s="1383"/>
      <c r="H7" s="304"/>
      <c r="I7" s="3658"/>
      <c r="J7" s="306"/>
      <c r="K7" s="307"/>
      <c r="L7" s="302" t="s">
        <v>697</v>
      </c>
      <c r="M7" s="303">
        <f ca="1">F7</f>
        <v>58476.87</v>
      </c>
    </row>
    <row r="8" spans="1:37" ht="18" customHeight="1">
      <c r="A8" s="304"/>
      <c r="B8" s="3658"/>
      <c r="C8" s="306"/>
      <c r="D8" s="307"/>
      <c r="E8" s="302" t="s">
        <v>698</v>
      </c>
      <c r="F8" s="303">
        <f ca="1">INDIRECT("'数据-取费表'!ai"&amp;$G$1)</f>
        <v>365</v>
      </c>
      <c r="G8" s="1383"/>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0.15</v>
      </c>
      <c r="G9" s="1383"/>
      <c r="H9" s="304"/>
      <c r="I9" s="3659"/>
      <c r="J9" s="306"/>
      <c r="K9" s="307"/>
      <c r="L9" s="313" t="s">
        <v>699</v>
      </c>
      <c r="M9" s="314">
        <f ca="1">INDIRECT("'数据-取费表'!ab"&amp;$G$1)</f>
        <v>0</v>
      </c>
    </row>
    <row r="10" spans="1:37" ht="18" customHeight="1">
      <c r="A10" s="1069" t="s">
        <v>402</v>
      </c>
      <c r="B10" s="1364" t="s">
        <v>700</v>
      </c>
      <c r="C10" s="316">
        <f ca="1">ROUND(IF(F10="押一",C6/12*F11,IF(F10="押二",C6/12*2*F11,IF(F10="押三",C6/12*3*F11,C11*F11))),0)</f>
        <v>15</v>
      </c>
      <c r="D10" s="1365" t="s">
        <v>2117</v>
      </c>
      <c r="E10" s="313" t="s">
        <v>701</v>
      </c>
      <c r="F10" s="1115" t="s">
        <v>3497</v>
      </c>
      <c r="G10" s="1383"/>
      <c r="H10" s="1069" t="s">
        <v>402</v>
      </c>
      <c r="I10" s="1364" t="s">
        <v>700</v>
      </c>
      <c r="J10" s="301">
        <f ca="1">ROUND(IF(M10="押一",J6/12*M11,IF(M10="押二",J6/12*2*M11,IF(M10="押三",J6/12*3*M11,J11*M11))),0)</f>
        <v>0</v>
      </c>
      <c r="K10" s="1365" t="s">
        <v>2116</v>
      </c>
      <c r="L10" s="313" t="s">
        <v>701</v>
      </c>
      <c r="M10" s="1115"/>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80205</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49252</v>
      </c>
      <c r="D14" s="1344" t="s">
        <v>708</v>
      </c>
      <c r="E14" s="1341"/>
      <c r="F14" s="319"/>
      <c r="G14" s="1383"/>
      <c r="H14" s="982" t="s">
        <v>398</v>
      </c>
      <c r="I14" s="302" t="s">
        <v>709</v>
      </c>
      <c r="J14" s="21">
        <f ca="1">C29</f>
        <v>80205</v>
      </c>
      <c r="K14" s="12"/>
      <c r="L14" s="807"/>
      <c r="M14" s="808"/>
    </row>
    <row r="15" spans="1:37" s="1396" customFormat="1" ht="18" customHeight="1" thickBot="1">
      <c r="A15" s="982" t="s">
        <v>399</v>
      </c>
      <c r="B15" s="302" t="s">
        <v>710</v>
      </c>
      <c r="C15" s="21">
        <f ca="1">ROUND(C14*F15,0)</f>
        <v>4925</v>
      </c>
      <c r="D15" s="320" t="s">
        <v>711</v>
      </c>
      <c r="E15" s="320" t="s">
        <v>712</v>
      </c>
      <c r="F15" s="321">
        <f>'数据-取费表'!B33</f>
        <v>0.1</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1206</v>
      </c>
      <c r="K16" s="1087" t="s">
        <v>715</v>
      </c>
      <c r="L16" s="1088"/>
      <c r="M16" s="1072"/>
    </row>
    <row r="17" spans="1:37" s="1396" customFormat="1" ht="18" customHeight="1">
      <c r="A17" s="982" t="s">
        <v>681</v>
      </c>
      <c r="B17" s="302" t="s">
        <v>716</v>
      </c>
      <c r="C17" s="21">
        <f ca="1">ROUND(F17*(F43+INDIRECT("'数据-取费表'!S"&amp;$G$1))/10000,0)</f>
        <v>1189</v>
      </c>
      <c r="D17" s="302" t="s">
        <v>717</v>
      </c>
      <c r="E17" s="302" t="s">
        <v>718</v>
      </c>
      <c r="F17" s="23">
        <f>'数据-取费表'!B35</f>
        <v>200</v>
      </c>
      <c r="G17" s="1395"/>
      <c r="H17" s="982" t="s">
        <v>398</v>
      </c>
      <c r="I17" s="302" t="s">
        <v>719</v>
      </c>
      <c r="J17" s="2315">
        <f ca="1">ROUND(IF(AND(项目基本情况!B11="自然人",项目基本情况!B10="北京市"),J6*M17/(1+'数据-取费表'!C42),J18+J19+J20),2)</f>
        <v>3.07</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1478</v>
      </c>
      <c r="D18" s="302" t="s">
        <v>711</v>
      </c>
      <c r="E18" s="302" t="s">
        <v>712</v>
      </c>
      <c r="F18" s="322">
        <f>'数据-取费表'!B36</f>
        <v>0.03</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56844</v>
      </c>
      <c r="D19" s="131" t="s">
        <v>726</v>
      </c>
      <c r="E19" s="1359"/>
      <c r="F19" s="23"/>
      <c r="G19" s="1383"/>
      <c r="H19" s="982" t="s">
        <v>399</v>
      </c>
      <c r="I19" s="302" t="s">
        <v>727</v>
      </c>
      <c r="J19" s="21">
        <f ca="1">IF(K19="按租金收入计税",ROUND(J6*M19/(1+'数据-取费表'!C42),2),ROUND(C29*M19*0.7,2))</f>
        <v>0</v>
      </c>
      <c r="K19" s="1369" t="s">
        <v>3337</v>
      </c>
      <c r="L19" s="302" t="s">
        <v>712</v>
      </c>
      <c r="M19" s="322">
        <f>IF(K19="按租金收入计税",'数据-取费表'!B51,'数据-取费表'!B50)</f>
        <v>0.12</v>
      </c>
    </row>
    <row r="20" spans="1:37" s="1396" customFormat="1" ht="18" customHeight="1">
      <c r="A20" s="982" t="s">
        <v>402</v>
      </c>
      <c r="B20" s="302" t="s">
        <v>728</v>
      </c>
      <c r="C20" s="21">
        <f ca="1">ROUND(C19*F20,0)</f>
        <v>1705</v>
      </c>
      <c r="D20" s="323" t="s">
        <v>729</v>
      </c>
      <c r="E20" s="302" t="s">
        <v>712</v>
      </c>
      <c r="F20" s="322">
        <f>'数据-取费表'!B37</f>
        <v>0.03</v>
      </c>
      <c r="G20" s="1395"/>
      <c r="H20" s="982" t="s">
        <v>680</v>
      </c>
      <c r="I20" s="155" t="s">
        <v>730</v>
      </c>
      <c r="J20" s="22">
        <f ca="1">ROUND(M20*M21/10000,2)</f>
        <v>3.07</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20455.650000000001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1203.08</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2744</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ROUND(J5*M24,2)</f>
        <v>0</v>
      </c>
      <c r="K24" s="1092" t="s">
        <v>748</v>
      </c>
      <c r="L24" s="1090" t="s">
        <v>744</v>
      </c>
      <c r="M24" s="1086">
        <f ca="1">INDIRECT("'数据-取费表'!Am"&amp;$G$1)</f>
        <v>1.4999999999999999E-2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-1206</v>
      </c>
      <c r="K25" s="1095" t="s">
        <v>753</v>
      </c>
      <c r="L25" s="1096"/>
      <c r="M25" s="1097"/>
    </row>
    <row r="26" spans="1:37">
      <c r="A26" s="982" t="s">
        <v>397</v>
      </c>
      <c r="B26" s="302" t="s">
        <v>754</v>
      </c>
      <c r="C26" s="21">
        <f ca="1">ROUND((C19+C20)*F26,0)</f>
        <v>11710</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80205</v>
      </c>
      <c r="D29" s="1092"/>
      <c r="E29" s="1090"/>
      <c r="F29" s="1093"/>
      <c r="G29" s="1395"/>
      <c r="H29" s="334" t="s">
        <v>396</v>
      </c>
      <c r="I29" s="335" t="s">
        <v>768</v>
      </c>
      <c r="J29" s="336">
        <f ca="1">ROUND(J26/(1+F40)^F41,0)</f>
        <v>0</v>
      </c>
      <c r="K29" s="337" t="s">
        <v>769</v>
      </c>
      <c r="L29" s="338"/>
      <c r="M29" s="339">
        <f ca="1">INDIRECT("'数据-取费表'!k"&amp;$G$1)</f>
        <v>58476.87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3436</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1938.24</v>
      </c>
      <c r="D31" s="1344" t="s">
        <v>720</v>
      </c>
      <c r="E31" s="1343" t="s">
        <v>770</v>
      </c>
      <c r="F31" s="2314" t="str">
        <f>IF(项目基本情况!B11="企业","——",IF(M47="住宅",IF(F6*F7*F8/12/(1+'数据-取费表'!F30)&gt;100000,4%,2.5%),IF(F6*F7*F8/12/(1+'数据-取费表'!F30)&gt;100000,12%,7%)))</f>
        <v>——</v>
      </c>
      <c r="G31" s="1383"/>
      <c r="H31" s="2805" t="s">
        <v>2308</v>
      </c>
      <c r="I31" s="1397"/>
      <c r="J31" s="1398"/>
      <c r="K31" s="2473"/>
      <c r="L31" s="2695"/>
      <c r="M31" s="2696"/>
    </row>
    <row r="32" spans="1:37" ht="18" customHeight="1">
      <c r="A32" s="982" t="s">
        <v>397</v>
      </c>
      <c r="B32" s="302" t="s">
        <v>723</v>
      </c>
      <c r="C32" s="21">
        <f ca="1">IF(项目基本情况!B11="自然人","——",ROUND(C6*F32/(1+'数据-取费表'!C42),2))</f>
        <v>608.20000000000005</v>
      </c>
      <c r="D32" s="1343"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1326.97</v>
      </c>
      <c r="D33" s="1369" t="s">
        <v>3337</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3.07</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20455.650000000001</v>
      </c>
      <c r="G35" s="1383"/>
      <c r="H35" s="2694"/>
      <c r="I35" s="1397"/>
      <c r="J35" s="1398"/>
      <c r="K35" s="2698"/>
      <c r="L35" s="2697"/>
      <c r="M35" s="2697"/>
    </row>
    <row r="36" spans="1:18" ht="18" customHeight="1">
      <c r="A36" s="1102" t="s">
        <v>402</v>
      </c>
      <c r="B36" s="302" t="s">
        <v>738</v>
      </c>
      <c r="C36" s="21">
        <f ca="1">ROUND(C29*F36,2)</f>
        <v>1203.08</v>
      </c>
      <c r="D36" s="1343" t="s">
        <v>771</v>
      </c>
      <c r="E36" s="302" t="s">
        <v>712</v>
      </c>
      <c r="F36" s="328">
        <f ca="1">INDIRECT("'数据-取费表'!Ak"&amp;$G$1)</f>
        <v>1.4999999999999999E-2</v>
      </c>
      <c r="G36" s="1383"/>
      <c r="H36" s="2697"/>
      <c r="I36" s="1397"/>
      <c r="J36" s="1398"/>
      <c r="K36" s="2542"/>
      <c r="L36" s="2697"/>
      <c r="M36" s="2697"/>
    </row>
    <row r="37" spans="1:18" ht="18" customHeight="1">
      <c r="A37" s="982" t="s">
        <v>437</v>
      </c>
      <c r="B37" s="302" t="s">
        <v>742</v>
      </c>
      <c r="C37" s="21">
        <f ca="1">ROUND(C13*F37,2)</f>
        <v>120.31</v>
      </c>
      <c r="D37" s="1343" t="s">
        <v>743</v>
      </c>
      <c r="E37" s="302" t="s">
        <v>744</v>
      </c>
      <c r="F37" s="330">
        <f ca="1">INDIRECT("'数据-取费表'!Al"&amp;$G$1)</f>
        <v>1.5E-3</v>
      </c>
      <c r="G37" s="1383"/>
      <c r="H37" s="2697"/>
      <c r="I37" s="1397"/>
      <c r="J37" s="1398"/>
      <c r="K37" s="2542"/>
      <c r="L37" s="2697"/>
      <c r="M37" s="2697"/>
    </row>
    <row r="38" spans="1:18" ht="18" customHeight="1" thickBot="1">
      <c r="A38" s="1089" t="s">
        <v>684</v>
      </c>
      <c r="B38" s="1090" t="s">
        <v>728</v>
      </c>
      <c r="C38" s="1091">
        <f ca="1">ROUND(C5*F38,2)</f>
        <v>174.39</v>
      </c>
      <c r="D38" s="1092" t="s">
        <v>748</v>
      </c>
      <c r="E38" s="1090" t="s">
        <v>744</v>
      </c>
      <c r="F38" s="1086">
        <f ca="1">INDIRECT("'数据-取费表'!Am"&amp;$G$1)</f>
        <v>1.4999999999999999E-2</v>
      </c>
      <c r="G38" s="1383"/>
      <c r="H38" s="2697"/>
      <c r="I38" s="1397"/>
      <c r="J38" s="1398"/>
      <c r="K38" s="2701"/>
      <c r="L38" s="2697"/>
      <c r="M38" s="2697"/>
    </row>
    <row r="39" spans="1:18" ht="24.6" customHeight="1" thickTop="1">
      <c r="A39" s="1079" t="s">
        <v>394</v>
      </c>
      <c r="B39" s="1094" t="s">
        <v>772</v>
      </c>
      <c r="C39" s="310">
        <f ca="1">C5-C30</f>
        <v>8190</v>
      </c>
      <c r="D39" s="1095" t="s">
        <v>773</v>
      </c>
      <c r="E39" s="1096"/>
      <c r="F39" s="1097"/>
      <c r="G39" s="1383"/>
      <c r="H39" s="2697"/>
      <c r="I39" s="1397"/>
      <c r="J39" s="1398"/>
      <c r="K39" s="2701"/>
      <c r="L39" s="2697"/>
      <c r="M39" s="2697"/>
    </row>
    <row r="40" spans="1:18" ht="18" customHeight="1">
      <c r="A40" s="299" t="s">
        <v>395</v>
      </c>
      <c r="B40" s="300" t="s">
        <v>774</v>
      </c>
      <c r="C40" s="301">
        <f ca="1">ROUND(C39*(1-((1+F42)/(1+F40))^F41)/(F40-F42),0)</f>
        <v>120731</v>
      </c>
      <c r="D40" s="324" t="s">
        <v>758</v>
      </c>
      <c r="E40" s="302" t="s">
        <v>759</v>
      </c>
      <c r="F40" s="312">
        <f ca="1">INDIRECT("'数据-取费表'!I"&amp;$G$1)</f>
        <v>0.06</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37.04</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f ca="1">ROUND(C40*10000/F43,0)</f>
        <v>20646</v>
      </c>
      <c r="D43" s="337" t="s">
        <v>777</v>
      </c>
      <c r="E43" s="338" t="s">
        <v>778</v>
      </c>
      <c r="F43" s="339">
        <f ca="1">INDIRECT("'数据-取费表'!k"&amp;$G$1)</f>
        <v>58476.87</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5" thickBot="1">
      <c r="A46" s="1403" t="s">
        <v>809</v>
      </c>
      <c r="C46" s="1404">
        <f ca="1">C68-C40</f>
        <v>-140278</v>
      </c>
      <c r="D46" s="1405" t="str">
        <f>C2</f>
        <v>万元</v>
      </c>
      <c r="E46" s="1399"/>
      <c r="F46" s="1399"/>
      <c r="I46" s="1406" t="s">
        <v>810</v>
      </c>
      <c r="J46" s="1407"/>
      <c r="K46" s="1408"/>
      <c r="L46" s="1409">
        <f ca="1">IF(M47="住宅",0,IF(L48&gt;J51,L60,J60))</f>
        <v>2202</v>
      </c>
      <c r="O46" s="1410" t="s">
        <v>811</v>
      </c>
      <c r="P46" s="1411" t="s">
        <v>812</v>
      </c>
      <c r="Q46" s="1412" t="s">
        <v>813</v>
      </c>
      <c r="R46" s="1412" t="s">
        <v>814</v>
      </c>
    </row>
    <row r="47" spans="1:18" s="1383" customFormat="1" ht="13.5" thickBot="1">
      <c r="A47" s="946" t="s">
        <v>687</v>
      </c>
      <c r="B47" s="978" t="s">
        <v>688</v>
      </c>
      <c r="C47" s="1116" t="s">
        <v>689</v>
      </c>
      <c r="D47" s="978" t="s">
        <v>690</v>
      </c>
      <c r="E47" s="1058" t="s">
        <v>691</v>
      </c>
      <c r="F47" s="1059"/>
      <c r="G47" s="722"/>
      <c r="I47" s="1413" t="s">
        <v>815</v>
      </c>
      <c r="J47" s="1414" t="s">
        <v>3498</v>
      </c>
      <c r="K47" s="1415" t="s">
        <v>816</v>
      </c>
      <c r="L47" s="1416">
        <f ca="1">INDIRECT("'数据-取费表'!d"&amp;$G$1)</f>
        <v>50</v>
      </c>
      <c r="M47" s="1379" t="str">
        <f>IF(ISNUMBER(FIND("住宅",C1)),"住宅","非住宅")</f>
        <v>非住宅</v>
      </c>
      <c r="O47" s="1417" t="s">
        <v>403</v>
      </c>
      <c r="P47" s="1418" t="s">
        <v>817</v>
      </c>
      <c r="Q47" s="1419">
        <f ca="1">C40+J29</f>
        <v>120731</v>
      </c>
      <c r="R47" s="1419" t="s">
        <v>818</v>
      </c>
    </row>
    <row r="48" spans="1:18" s="1383" customFormat="1" ht="28.5" thickBot="1">
      <c r="A48" s="1109" t="s">
        <v>438</v>
      </c>
      <c r="B48" s="300" t="s">
        <v>692</v>
      </c>
      <c r="C48" s="1358">
        <f ca="1">C49+C53+C55</f>
        <v>0</v>
      </c>
      <c r="D48" s="1111"/>
      <c r="E48" s="1112"/>
      <c r="F48" s="962"/>
      <c r="G48" s="722"/>
      <c r="H48" s="723"/>
      <c r="I48" s="1420" t="s">
        <v>819</v>
      </c>
      <c r="J48" s="1421" t="s">
        <v>3499</v>
      </c>
      <c r="K48" s="1422" t="s">
        <v>820</v>
      </c>
      <c r="L48" s="1423">
        <f ca="1">INDIRECT("'数据-取费表'!f"&amp;$G$1)</f>
        <v>37.07</v>
      </c>
      <c r="O48" s="1417" t="s">
        <v>404</v>
      </c>
      <c r="P48" s="1418" t="s">
        <v>821</v>
      </c>
      <c r="Q48" s="1419">
        <f ca="1">J60</f>
        <v>2202</v>
      </c>
      <c r="R48" s="1419" t="s">
        <v>822</v>
      </c>
    </row>
    <row r="49" spans="1:18" s="1383" customFormat="1" ht="13.5" thickBot="1">
      <c r="A49" s="975" t="s">
        <v>439</v>
      </c>
      <c r="B49" s="1370" t="s">
        <v>779</v>
      </c>
      <c r="C49" s="1113">
        <f ca="1">ROUND(F49*F51*F50*(1-F52)/10000,0)</f>
        <v>0</v>
      </c>
      <c r="D49" s="1055" t="s">
        <v>2110</v>
      </c>
      <c r="E49" s="1371" t="s">
        <v>780</v>
      </c>
      <c r="F49" s="1060"/>
      <c r="G49" s="1424"/>
      <c r="H49" s="723"/>
      <c r="I49" s="1420" t="s">
        <v>823</v>
      </c>
      <c r="J49" s="1425">
        <v>2017</v>
      </c>
      <c r="K49" s="1422" t="s">
        <v>824</v>
      </c>
      <c r="L49" s="1426"/>
      <c r="O49" s="1427" t="s">
        <v>405</v>
      </c>
      <c r="P49" s="1418" t="s">
        <v>825</v>
      </c>
      <c r="Q49" s="1419">
        <f ca="1">C29</f>
        <v>80205</v>
      </c>
      <c r="R49" s="1419" t="s">
        <v>818</v>
      </c>
    </row>
    <row r="50" spans="1:18" s="1383" customFormat="1" ht="13.5" thickBot="1">
      <c r="A50" s="976"/>
      <c r="B50" s="979"/>
      <c r="C50" s="1117"/>
      <c r="D50" s="953"/>
      <c r="E50" s="1056" t="s">
        <v>697</v>
      </c>
      <c r="F50" s="1057">
        <f ca="1">F7</f>
        <v>58476.87</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53</v>
      </c>
      <c r="K51" s="1433" t="s">
        <v>830</v>
      </c>
      <c r="L51" s="1434">
        <f ca="1">ROUND(-PV(INDIRECT("'数据-取费表'!h"&amp;$G$1),J51,(C39-C13*C76),0),0)</f>
        <v>40216</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37.04</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37.04</v>
      </c>
      <c r="K53" s="3655" t="s">
        <v>837</v>
      </c>
      <c r="L53" s="3656"/>
      <c r="O53" s="1417" t="s">
        <v>409</v>
      </c>
      <c r="P53" s="1418" t="s">
        <v>838</v>
      </c>
      <c r="Q53" s="1419">
        <f ca="1">Q47+Q48</f>
        <v>122933</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0.26600000000000001</v>
      </c>
      <c r="K55" s="1444" t="s">
        <v>841</v>
      </c>
      <c r="L55" s="1445"/>
      <c r="O55" s="1410" t="s">
        <v>811</v>
      </c>
      <c r="P55" s="1411" t="s">
        <v>812</v>
      </c>
      <c r="Q55" s="1412" t="s">
        <v>813</v>
      </c>
      <c r="R55" s="1412" t="s">
        <v>814</v>
      </c>
    </row>
    <row r="56" spans="1:18" s="1383" customFormat="1" ht="25.5" thickTop="1" thickBot="1">
      <c r="A56" s="957">
        <v>2</v>
      </c>
      <c r="B56" s="958" t="s">
        <v>704</v>
      </c>
      <c r="C56" s="232">
        <f ca="1">C13</f>
        <v>80205</v>
      </c>
      <c r="D56" s="1446"/>
      <c r="E56" s="1447"/>
      <c r="F56" s="1439"/>
      <c r="I56" s="1448" t="s">
        <v>842</v>
      </c>
      <c r="J56" s="1449" t="s">
        <v>3418</v>
      </c>
      <c r="K56" s="1420" t="s">
        <v>843</v>
      </c>
      <c r="L56" s="1423" t="str">
        <f ca="1">IF(L48&lt;J51,"——",L48-J53)</f>
        <v>——</v>
      </c>
      <c r="O56" s="1417" t="s">
        <v>403</v>
      </c>
      <c r="P56" s="1418" t="s">
        <v>817</v>
      </c>
      <c r="Q56" s="1419">
        <f ca="1">C40+J29</f>
        <v>120731</v>
      </c>
      <c r="R56" s="1419" t="s">
        <v>818</v>
      </c>
    </row>
    <row r="57" spans="1:18" s="1383" customFormat="1" ht="24.75" thickBot="1">
      <c r="A57" s="1450"/>
      <c r="B57" s="950" t="s">
        <v>767</v>
      </c>
      <c r="C57" s="238">
        <f ca="1">C29</f>
        <v>80205</v>
      </c>
      <c r="D57" s="1451"/>
      <c r="E57" s="1452"/>
      <c r="F57" s="1453"/>
      <c r="I57" s="1454" t="s">
        <v>844</v>
      </c>
      <c r="J57" s="1455">
        <f ca="1">IF(OR(M47="住宅",J51&lt;L48,J56="是"),"——",J51-L48)</f>
        <v>15.93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1326</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32082</v>
      </c>
      <c r="K59" s="142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2202</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3337</v>
      </c>
      <c r="E61" s="950" t="s">
        <v>783</v>
      </c>
      <c r="F61" s="322">
        <f t="shared" si="0"/>
        <v>0.12</v>
      </c>
      <c r="I61" s="1460"/>
      <c r="J61" s="1460"/>
      <c r="K61" s="1460"/>
      <c r="L61" s="1460"/>
      <c r="O61" s="1427" t="s">
        <v>408</v>
      </c>
      <c r="P61" s="1418" t="str">
        <f>K59</f>
        <v>续建工期及建筑物耐用年限下的土地年期修正系数Kn</v>
      </c>
      <c r="Q61" s="1419" t="e">
        <f ca="1">L59</f>
        <v>#DIV/0!</v>
      </c>
      <c r="R61" s="1419" t="s">
        <v>857</v>
      </c>
    </row>
    <row r="62" spans="1:18" s="1383" customFormat="1" ht="13.5" thickBot="1">
      <c r="A62" s="982" t="s">
        <v>784</v>
      </c>
      <c r="B62" s="949" t="s">
        <v>785</v>
      </c>
      <c r="C62" s="22">
        <f ca="1">IF(项目基本情况!B11="自然人","——",ROUND(F62*F63/10000,2))</f>
        <v>3.07</v>
      </c>
      <c r="D62" s="965" t="s">
        <v>786</v>
      </c>
      <c r="E62" s="950" t="s">
        <v>787</v>
      </c>
      <c r="F62" s="325">
        <f t="shared" si="0"/>
        <v>1.5</v>
      </c>
      <c r="I62" s="1461" t="s">
        <v>858</v>
      </c>
      <c r="J62" s="1462" t="s">
        <v>859</v>
      </c>
      <c r="K62" s="1462" t="s">
        <v>860</v>
      </c>
      <c r="L62" s="1462" t="s">
        <v>861</v>
      </c>
      <c r="M62" s="1463" t="s">
        <v>862</v>
      </c>
      <c r="O62" s="1417" t="s">
        <v>409</v>
      </c>
      <c r="P62" s="1418" t="s">
        <v>863</v>
      </c>
      <c r="Q62" s="1419">
        <f ca="1">Q56+Q57</f>
        <v>120731</v>
      </c>
      <c r="R62" s="1419" t="s">
        <v>410</v>
      </c>
    </row>
    <row r="63" spans="1:18" s="1383" customFormat="1" ht="13.5" thickBot="1">
      <c r="A63" s="326"/>
      <c r="B63" s="956"/>
      <c r="C63" s="26"/>
      <c r="D63" s="966"/>
      <c r="E63" s="950" t="s">
        <v>788</v>
      </c>
      <c r="F63" s="303">
        <f t="shared" ca="1" si="0"/>
        <v>20455.650000000001</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1203.08</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120.31</v>
      </c>
      <c r="D65" s="964" t="s">
        <v>743</v>
      </c>
      <c r="E65" s="950" t="s">
        <v>744</v>
      </c>
      <c r="F65" s="330">
        <f t="shared" ca="1" si="0"/>
        <v>1.5E-3</v>
      </c>
      <c r="I65" s="1461" t="s">
        <v>867</v>
      </c>
      <c r="J65" s="1462">
        <v>40</v>
      </c>
      <c r="K65" s="1462">
        <v>30</v>
      </c>
      <c r="L65" s="1462">
        <v>50</v>
      </c>
      <c r="M65" s="1464">
        <v>0.02</v>
      </c>
      <c r="O65" s="1417" t="s">
        <v>403</v>
      </c>
      <c r="P65" s="1418" t="s">
        <v>868</v>
      </c>
      <c r="Q65" s="1419">
        <f ca="1">C40+J29</f>
        <v>120731</v>
      </c>
      <c r="R65" s="1419" t="s">
        <v>818</v>
      </c>
    </row>
    <row r="66" spans="1:18" s="1383" customFormat="1" ht="16.5" thickBot="1">
      <c r="A66" s="982" t="s">
        <v>793</v>
      </c>
      <c r="B66" s="950" t="s">
        <v>728</v>
      </c>
      <c r="C66" s="21">
        <f ca="1">ROUND(C48*F66,2)</f>
        <v>0</v>
      </c>
      <c r="D66" s="964" t="s">
        <v>794</v>
      </c>
      <c r="E66" s="950" t="s">
        <v>712</v>
      </c>
      <c r="F66" s="312">
        <f t="shared" ca="1" si="0"/>
        <v>1.4999999999999999E-2</v>
      </c>
      <c r="O66" s="1417" t="s">
        <v>404</v>
      </c>
      <c r="P66" s="1418" t="s">
        <v>846</v>
      </c>
      <c r="Q66" s="1419">
        <f ca="1">L60</f>
        <v>0</v>
      </c>
      <c r="R66" s="1419" t="s">
        <v>869</v>
      </c>
    </row>
    <row r="67" spans="1:18" s="1383" customFormat="1" ht="16.5" thickBot="1">
      <c r="A67" s="957" t="s">
        <v>394</v>
      </c>
      <c r="B67" s="967" t="s">
        <v>752</v>
      </c>
      <c r="C67" s="316">
        <f ca="1">C48-C58</f>
        <v>-1326</v>
      </c>
      <c r="D67" s="963" t="s">
        <v>753</v>
      </c>
      <c r="E67" s="968"/>
      <c r="F67" s="969"/>
      <c r="O67" s="1427" t="s">
        <v>405</v>
      </c>
      <c r="P67" s="1418" t="s">
        <v>850</v>
      </c>
      <c r="Q67" s="1465">
        <f ca="1">L51</f>
        <v>40216</v>
      </c>
      <c r="R67" s="1419" t="s">
        <v>870</v>
      </c>
    </row>
    <row r="68" spans="1:18" s="1383" customFormat="1" ht="16.5" thickBot="1">
      <c r="A68" s="947" t="s">
        <v>395</v>
      </c>
      <c r="B68" s="948" t="s">
        <v>774</v>
      </c>
      <c r="C68" s="301">
        <f ca="1">ROUND(C67*(1-((1+F70)/(1+F68))^F69)/(F68-F70),0)</f>
        <v>-19547</v>
      </c>
      <c r="D68" s="965" t="s">
        <v>758</v>
      </c>
      <c r="E68" s="950" t="s">
        <v>759</v>
      </c>
      <c r="F68" s="312">
        <f ca="1">F40</f>
        <v>0.06</v>
      </c>
      <c r="O68" s="1427" t="s">
        <v>406</v>
      </c>
      <c r="P68" s="1466" t="s">
        <v>871</v>
      </c>
      <c r="Q68" s="1419">
        <f ca="1">ROUND(Q69-Q70*Q71,0)</f>
        <v>2175</v>
      </c>
      <c r="R68" s="1419" t="s">
        <v>414</v>
      </c>
    </row>
    <row r="69" spans="1:18" s="1383" customFormat="1" ht="13.5" thickBot="1">
      <c r="A69" s="951"/>
      <c r="B69" s="952"/>
      <c r="C69" s="306"/>
      <c r="D69" s="970" t="s">
        <v>762</v>
      </c>
      <c r="E69" s="950" t="s">
        <v>763</v>
      </c>
      <c r="F69" s="333">
        <f ca="1">F41</f>
        <v>37.04</v>
      </c>
      <c r="O69" s="1427" t="s">
        <v>411</v>
      </c>
      <c r="P69" s="1466" t="s">
        <v>872</v>
      </c>
      <c r="Q69" s="1419">
        <f ca="1">C39</f>
        <v>8190</v>
      </c>
      <c r="R69" s="1419" t="s">
        <v>818</v>
      </c>
    </row>
    <row r="70" spans="1:18" s="1383" customFormat="1" ht="13.5" thickBot="1">
      <c r="A70" s="954"/>
      <c r="B70" s="955"/>
      <c r="C70" s="310"/>
      <c r="D70" s="966"/>
      <c r="E70" s="950" t="s">
        <v>766</v>
      </c>
      <c r="F70" s="1054"/>
      <c r="O70" s="1427" t="s">
        <v>412</v>
      </c>
      <c r="P70" s="1466" t="s">
        <v>873</v>
      </c>
      <c r="Q70" s="1419">
        <f ca="1">C13</f>
        <v>80205</v>
      </c>
      <c r="R70" s="1419" t="s">
        <v>818</v>
      </c>
    </row>
    <row r="71" spans="1:18" s="1383" customFormat="1" ht="13.5" thickBot="1">
      <c r="A71" s="971" t="s">
        <v>396</v>
      </c>
      <c r="B71" s="972" t="s">
        <v>776</v>
      </c>
      <c r="C71" s="336">
        <f ca="1">ROUND(C68*10000/F71,0)</f>
        <v>-3343</v>
      </c>
      <c r="D71" s="973" t="s">
        <v>777</v>
      </c>
      <c r="E71" s="974" t="s">
        <v>778</v>
      </c>
      <c r="F71" s="339">
        <f ca="1">F43</f>
        <v>58476.87</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续建工期及建筑物耐用年限下的土地年期修正系数Kn</v>
      </c>
      <c r="Q74" s="1419" t="e">
        <f ca="1">L59</f>
        <v>#DIV/0!</v>
      </c>
      <c r="R74" s="1419" t="s">
        <v>857</v>
      </c>
    </row>
    <row r="75" spans="1:18" ht="13.5" thickBot="1">
      <c r="A75" s="1383"/>
      <c r="B75" s="340" t="s">
        <v>795</v>
      </c>
      <c r="C75" s="341">
        <f ca="1">ROUND(C13*C76,0)</f>
        <v>6015</v>
      </c>
      <c r="D75" s="1383"/>
      <c r="E75" s="1383"/>
      <c r="F75" s="1383"/>
      <c r="K75" s="1401"/>
      <c r="L75" s="1383"/>
      <c r="O75" s="1417" t="s">
        <v>409</v>
      </c>
      <c r="P75" s="1418" t="s">
        <v>838</v>
      </c>
      <c r="Q75" s="1419">
        <f ca="1">Q65+Q66</f>
        <v>120731</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0.26600000000000001</v>
      </c>
    </row>
    <row r="80" spans="1:18">
      <c r="B80" s="340" t="s">
        <v>800</v>
      </c>
      <c r="C80" s="274">
        <f ca="1">ROUND(C75/C39,3)</f>
        <v>0.73399999999999999</v>
      </c>
    </row>
    <row r="81" spans="2:3">
      <c r="B81" s="270" t="s">
        <v>801</v>
      </c>
      <c r="C81" s="238"/>
    </row>
    <row r="82" spans="2:3">
      <c r="B82" s="273" t="s">
        <v>802</v>
      </c>
      <c r="C82" s="275">
        <f ca="1">1-C83</f>
        <v>0.33599999999999997</v>
      </c>
    </row>
    <row r="83" spans="2:3">
      <c r="B83" s="273" t="s">
        <v>803</v>
      </c>
      <c r="C83" s="274">
        <f ca="1">ROUND(C13/C40,3)</f>
        <v>0.66400000000000003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t="e">
        <f ca="1">ROUND(D2/10000,4)</f>
        <v>#DIV/0!</v>
      </c>
      <c r="C2" s="1386" t="s">
        <v>879</v>
      </c>
      <c r="D2" s="1470" t="e">
        <f ca="1">C40+J29+L46</f>
        <v>#DIV/0!</v>
      </c>
      <c r="E2" s="1387" t="s">
        <v>880</v>
      </c>
      <c r="F2" s="1388"/>
      <c r="G2" s="2703"/>
      <c r="H2" s="2692"/>
      <c r="I2" s="2692"/>
      <c r="J2" s="2692"/>
      <c r="K2" s="2693"/>
      <c r="L2" s="2692"/>
      <c r="M2" s="2692"/>
    </row>
    <row r="3" spans="1:37" ht="18" customHeight="1" thickBot="1">
      <c r="A3" s="1389" t="s">
        <v>881</v>
      </c>
      <c r="B3" s="1390">
        <f ca="1">IF(ISERROR(D2/F43),0,ROUND(D2/F43,0))</f>
        <v>0</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57" t="s">
        <v>694</v>
      </c>
      <c r="C6" s="1074">
        <f ca="1">ROUND(F6*F8*F7*(1-F9),0)</f>
        <v>0</v>
      </c>
      <c r="D6" s="155" t="s">
        <v>2106</v>
      </c>
      <c r="E6" s="302" t="s">
        <v>696</v>
      </c>
      <c r="F6" s="303">
        <f ca="1">INDIRECT("'数据-取费表'!u"&amp;$G$1)</f>
        <v>0</v>
      </c>
      <c r="G6" s="1383"/>
      <c r="H6" s="1069" t="s">
        <v>398</v>
      </c>
      <c r="I6" s="3657" t="s">
        <v>694</v>
      </c>
      <c r="J6" s="301">
        <f ca="1">ROUND(M6*M8*M7*(1-M9),0)</f>
        <v>0</v>
      </c>
      <c r="K6" s="1375"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3"/>
      <c r="H7" s="304"/>
      <c r="I7" s="3658"/>
      <c r="J7" s="306"/>
      <c r="K7" s="307"/>
      <c r="L7" s="302" t="s">
        <v>697</v>
      </c>
      <c r="M7" s="303">
        <f ca="1">F7</f>
        <v>0</v>
      </c>
    </row>
    <row r="8" spans="1:37" ht="18" customHeight="1">
      <c r="A8" s="304"/>
      <c r="B8" s="3658"/>
      <c r="C8" s="306"/>
      <c r="D8" s="307"/>
      <c r="E8" s="302" t="s">
        <v>698</v>
      </c>
      <c r="F8" s="303">
        <f ca="1">INDIRECT("'数据-取费表'!ai"&amp;$G$1)</f>
        <v>0</v>
      </c>
      <c r="G8" s="1383"/>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3"/>
      <c r="H9" s="304"/>
      <c r="I9" s="365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5"/>
      <c r="G10" s="1383"/>
      <c r="H10" s="1069" t="s">
        <v>402</v>
      </c>
      <c r="I10" s="1364" t="s">
        <v>700</v>
      </c>
      <c r="J10" s="301">
        <f ca="1">ROUND(IF(M10="押一",J6/12*M11,IF(M10="押二",J6/12*2*M11,IF(M10="押三",J6/12*3*M11,J11*M11))),0)</f>
        <v>0</v>
      </c>
      <c r="K10" s="1376" t="s">
        <v>2118</v>
      </c>
      <c r="L10" s="313" t="s">
        <v>701</v>
      </c>
      <c r="M10" s="1115"/>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0.1</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3337</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5" t="s">
        <v>2308</v>
      </c>
      <c r="I31" s="1397"/>
      <c r="J31" s="1398"/>
      <c r="K31" s="2473"/>
      <c r="L31" s="2695"/>
      <c r="M31" s="2696"/>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3337</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0</v>
      </c>
      <c r="D36" s="1343" t="s">
        <v>771</v>
      </c>
      <c r="E36" s="302" t="s">
        <v>712</v>
      </c>
      <c r="F36" s="328">
        <f ca="1">INDIRECT("'数据-取费表'!Ak"&amp;$G$1)</f>
        <v>0</v>
      </c>
      <c r="G36" s="1383"/>
      <c r="H36" s="2697"/>
      <c r="I36" s="1397"/>
      <c r="J36" s="1398"/>
      <c r="K36" s="2542"/>
      <c r="L36" s="2697"/>
      <c r="M36" s="2697"/>
    </row>
    <row r="37" spans="1:18" ht="18" customHeight="1">
      <c r="A37" s="982" t="s">
        <v>437</v>
      </c>
      <c r="B37" s="302" t="s">
        <v>742</v>
      </c>
      <c r="C37" s="21">
        <f ca="1">ROUND(C13*F37,0)</f>
        <v>0</v>
      </c>
      <c r="D37" s="1343" t="s">
        <v>743</v>
      </c>
      <c r="E37" s="302" t="s">
        <v>744</v>
      </c>
      <c r="F37" s="330">
        <f ca="1">INDIRECT("'数据-取费表'!Al"&amp;$G$1)</f>
        <v>0</v>
      </c>
      <c r="G37" s="1383"/>
      <c r="H37" s="2697"/>
      <c r="I37" s="1397"/>
      <c r="J37" s="1398"/>
      <c r="K37" s="2542"/>
      <c r="L37" s="2697"/>
      <c r="M37" s="2697"/>
    </row>
    <row r="38" spans="1:18" ht="18" customHeight="1" thickBot="1">
      <c r="A38" s="1089" t="s">
        <v>684</v>
      </c>
      <c r="B38" s="1090" t="s">
        <v>728</v>
      </c>
      <c r="C38" s="1091">
        <f ca="1">ROUND(C5*F38,0)</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3353</v>
      </c>
      <c r="B45" s="1399"/>
      <c r="C45" s="1471" t="e">
        <f ca="1">ROUND((C68-C40)/10000,4)</f>
        <v>#DIV/0!</v>
      </c>
      <c r="D45" s="3429" t="s">
        <v>3354</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3337</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4" t="s">
        <v>2317</v>
      </c>
      <c r="B2" s="2840" t="e">
        <f>IF(D2="——",C40,C40+E2)</f>
        <v>#DIV/0!</v>
      </c>
      <c r="C2" s="2841" t="s">
        <v>2318</v>
      </c>
      <c r="D2" s="3440" t="s">
        <v>3360</v>
      </c>
      <c r="E2" s="3441"/>
      <c r="F2" s="2843"/>
      <c r="G2" s="2844"/>
      <c r="H2" s="2845"/>
      <c r="I2" s="2846"/>
      <c r="J2" s="3666" t="s">
        <v>2319</v>
      </c>
      <c r="K2" s="3667"/>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668" t="s">
        <v>2329</v>
      </c>
      <c r="K3" s="3669"/>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668" t="s">
        <v>2331</v>
      </c>
      <c r="K4" s="3669"/>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674" t="s">
        <v>2335</v>
      </c>
      <c r="B6" s="3675"/>
      <c r="C6" s="3676"/>
      <c r="D6" s="2867"/>
      <c r="E6" s="2868"/>
      <c r="F6" s="2869"/>
      <c r="G6" s="2870"/>
      <c r="H6" s="2845"/>
      <c r="I6" s="2846"/>
      <c r="J6" s="3660">
        <v>1</v>
      </c>
      <c r="K6" s="3661"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660"/>
      <c r="K7" s="3662"/>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677" t="s">
        <v>2349</v>
      </c>
      <c r="C8" s="3678"/>
      <c r="D8" s="2886" t="s">
        <v>2350</v>
      </c>
      <c r="E8" s="2887" t="s">
        <v>2351</v>
      </c>
      <c r="F8" s="2888" t="s">
        <v>2352</v>
      </c>
      <c r="G8" s="2889"/>
      <c r="H8" s="2845"/>
      <c r="I8" s="2846"/>
      <c r="J8" s="3660"/>
      <c r="K8" s="3662"/>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677" t="s">
        <v>2355</v>
      </c>
      <c r="C9" s="3678"/>
      <c r="D9" s="2886">
        <f>ROUND(D6*E9,0)</f>
        <v>0</v>
      </c>
      <c r="E9" s="2890"/>
      <c r="F9" s="2891" t="s">
        <v>2356</v>
      </c>
      <c r="G9" s="2870"/>
      <c r="H9" s="2845"/>
      <c r="I9" s="2846"/>
      <c r="J9" s="3660"/>
      <c r="K9" s="3662"/>
      <c r="L9" s="2880" t="s">
        <v>2357</v>
      </c>
      <c r="M9" s="2881"/>
      <c r="N9" s="2857"/>
      <c r="O9" s="2882"/>
      <c r="P9" s="2882"/>
      <c r="Q9" s="2883">
        <v>365</v>
      </c>
      <c r="R9" s="2884">
        <f t="shared" si="0"/>
        <v>0</v>
      </c>
      <c r="S9" s="2838"/>
      <c r="T9" s="2838"/>
      <c r="U9" s="2838"/>
      <c r="V9" s="2846"/>
    </row>
    <row r="10" spans="1:22" s="2850" customFormat="1" ht="13.15" customHeight="1">
      <c r="A10" s="2885">
        <v>2</v>
      </c>
      <c r="B10" s="3677" t="s">
        <v>2358</v>
      </c>
      <c r="C10" s="3678"/>
      <c r="D10" s="2886">
        <f>ROUND(D6*E10,0)</f>
        <v>0</v>
      </c>
      <c r="E10" s="2890"/>
      <c r="F10" s="2891" t="s">
        <v>2359</v>
      </c>
      <c r="G10" s="2870"/>
      <c r="H10" s="2845"/>
      <c r="I10" s="2846"/>
      <c r="J10" s="3660"/>
      <c r="K10" s="3662"/>
      <c r="L10" s="2880" t="s">
        <v>2360</v>
      </c>
      <c r="M10" s="2881"/>
      <c r="N10" s="2857"/>
      <c r="O10" s="2882"/>
      <c r="P10" s="2882"/>
      <c r="Q10" s="2883">
        <v>365</v>
      </c>
      <c r="R10" s="2884">
        <f t="shared" si="0"/>
        <v>0</v>
      </c>
      <c r="S10" s="2838"/>
      <c r="T10" s="2838"/>
      <c r="U10" s="2838"/>
      <c r="V10" s="2846"/>
    </row>
    <row r="11" spans="1:22" s="2850" customFormat="1" ht="13.15" customHeight="1">
      <c r="A11" s="2885">
        <v>3</v>
      </c>
      <c r="B11" s="3677" t="s">
        <v>2361</v>
      </c>
      <c r="C11" s="3678"/>
      <c r="D11" s="2886">
        <f>D12+D14+D15+D16</f>
        <v>0</v>
      </c>
      <c r="E11" s="2892" t="e">
        <f>D11/D6</f>
        <v>#DIV/0!</v>
      </c>
      <c r="F11" s="2888"/>
      <c r="G11" s="2889"/>
      <c r="H11" s="2845"/>
      <c r="I11" s="2846"/>
      <c r="J11" s="3660"/>
      <c r="K11" s="3662"/>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670" t="s">
        <v>2364</v>
      </c>
      <c r="C12" s="3671"/>
      <c r="D12" s="2894">
        <f>ROUND(D13*1.2%*(1-30%),0)</f>
        <v>0</v>
      </c>
      <c r="E12" s="2895">
        <v>1.2E-2</v>
      </c>
      <c r="F12" s="2888" t="s">
        <v>2365</v>
      </c>
      <c r="G12" s="2889"/>
      <c r="H12" s="2845"/>
      <c r="I12" s="2846"/>
      <c r="J12" s="3660"/>
      <c r="K12" s="3662"/>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660"/>
      <c r="K13" s="3662"/>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670" t="s">
        <v>2370</v>
      </c>
      <c r="C14" s="3671"/>
      <c r="D14" s="2894">
        <f>ROUND(E14*B5/10000,0)</f>
        <v>0</v>
      </c>
      <c r="E14" s="2883"/>
      <c r="F14" s="2888" t="s">
        <v>2371</v>
      </c>
      <c r="G14" s="2889"/>
      <c r="H14" s="2845"/>
      <c r="I14" s="2846"/>
      <c r="J14" s="3660"/>
      <c r="K14" s="3663"/>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670" t="s">
        <v>2374</v>
      </c>
      <c r="C15" s="3671"/>
      <c r="D15" s="2894">
        <f>ROUND(D6*E15,0)</f>
        <v>0</v>
      </c>
      <c r="E15" s="2895">
        <v>5.5E-2</v>
      </c>
      <c r="F15" s="2888" t="s">
        <v>2375</v>
      </c>
      <c r="G15" s="2870"/>
      <c r="H15" s="2845"/>
      <c r="I15" s="2846"/>
      <c r="J15" s="3660">
        <v>2</v>
      </c>
      <c r="K15" s="3661"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670" t="s">
        <v>2383</v>
      </c>
      <c r="C16" s="3671"/>
      <c r="D16" s="2905">
        <f>D6*E16</f>
        <v>0</v>
      </c>
      <c r="E16" s="2906"/>
      <c r="F16" s="2891" t="s">
        <v>2384</v>
      </c>
      <c r="G16" s="2870"/>
      <c r="H16" s="2845"/>
      <c r="I16" s="2846"/>
      <c r="J16" s="3660"/>
      <c r="K16" s="3662"/>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672" t="s">
        <v>2386</v>
      </c>
      <c r="C17" s="3673"/>
      <c r="D17" s="2908">
        <f>ROUND(D6*E17,0)</f>
        <v>0</v>
      </c>
      <c r="E17" s="2909"/>
      <c r="F17" s="2910" t="s">
        <v>2387</v>
      </c>
      <c r="G17" s="2870"/>
      <c r="H17" s="2845"/>
      <c r="I17" s="2846"/>
      <c r="J17" s="3660"/>
      <c r="K17" s="3662"/>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660"/>
      <c r="K18" s="3662"/>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660"/>
      <c r="K19" s="3663"/>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60">
        <v>3</v>
      </c>
      <c r="K20" s="3661"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660"/>
      <c r="K21" s="3662"/>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660"/>
      <c r="K22" s="3662"/>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660"/>
      <c r="K23" s="3662"/>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660"/>
      <c r="K24" s="3663"/>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664">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66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666" t="s">
        <v>2319</v>
      </c>
      <c r="K32" s="3667"/>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668" t="s">
        <v>2329</v>
      </c>
      <c r="K33" s="3669"/>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668" t="s">
        <v>2331</v>
      </c>
      <c r="K34" s="366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660">
        <v>1</v>
      </c>
      <c r="K36" s="3661"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660"/>
      <c r="K37" s="3662"/>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60"/>
      <c r="K38" s="3662"/>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660"/>
      <c r="K39" s="3662"/>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660"/>
      <c r="K40" s="3663"/>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4">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66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122933</v>
      </c>
      <c r="C2" s="1871" t="s">
        <v>1651</v>
      </c>
      <c r="D2" s="1872" t="s">
        <v>1652</v>
      </c>
      <c r="E2" s="2605">
        <f>SUM(E6:E13)</f>
        <v>59427.91</v>
      </c>
      <c r="F2" s="2704"/>
      <c r="G2" s="1488"/>
      <c r="H2" s="1488"/>
      <c r="I2" s="1488"/>
      <c r="J2" s="1488"/>
      <c r="K2" s="1488"/>
      <c r="L2" s="1488"/>
      <c r="M2" s="1488"/>
      <c r="N2" s="1488"/>
      <c r="O2" s="1488"/>
      <c r="P2" s="1488"/>
      <c r="Q2" s="1488"/>
      <c r="R2" s="1488"/>
      <c r="S2" s="1488"/>
    </row>
    <row r="3" spans="1:22" ht="15.75">
      <c r="A3" s="1869" t="s">
        <v>686</v>
      </c>
      <c r="B3" s="2599">
        <f ca="1">ROUND(B2*10000/E2,0)</f>
        <v>20686</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679" t="s">
        <v>1654</v>
      </c>
      <c r="C5" s="3680"/>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v>
      </c>
      <c r="B6" s="2600">
        <f ca="1">IF(F6="是",'数据-取费表'!AO6,0)</f>
        <v>122933</v>
      </c>
      <c r="C6" s="1871" t="s">
        <v>1651</v>
      </c>
      <c r="D6" s="2706"/>
      <c r="E6" s="2604">
        <f>IF(OR(A6=0,F6="否"),0,'数据-取费表'!K6+'数据-取费表'!S6)</f>
        <v>59427.91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59427.91</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1666</v>
      </c>
      <c r="B4" s="356"/>
      <c r="C4" s="3699" t="s">
        <v>1667</v>
      </c>
      <c r="D4" s="3700"/>
      <c r="E4" s="3701" t="s">
        <v>1668</v>
      </c>
      <c r="F4" s="3702"/>
      <c r="G4" s="3699" t="s">
        <v>1669</v>
      </c>
      <c r="H4" s="3700"/>
      <c r="I4" s="3699" t="s">
        <v>1670</v>
      </c>
      <c r="J4" s="3700"/>
      <c r="K4" s="1888" t="s">
        <v>1671</v>
      </c>
      <c r="L4" s="2712"/>
      <c r="M4" s="2713"/>
      <c r="N4" s="2713"/>
      <c r="O4" s="2713"/>
      <c r="P4" s="3703" t="s">
        <v>1672</v>
      </c>
      <c r="Q4" s="3704"/>
      <c r="R4" s="3709" t="s">
        <v>1668</v>
      </c>
      <c r="S4" s="3710"/>
      <c r="T4" s="3709" t="s">
        <v>1669</v>
      </c>
      <c r="U4" s="3710"/>
      <c r="V4" s="3715" t="s">
        <v>1670</v>
      </c>
      <c r="W4" s="3715"/>
      <c r="X4" s="1354"/>
      <c r="Y4" s="3709" t="s">
        <v>1672</v>
      </c>
      <c r="Z4" s="3710"/>
      <c r="AA4" s="3696" t="s">
        <v>1668</v>
      </c>
      <c r="AB4" s="3696" t="s">
        <v>1669</v>
      </c>
      <c r="AC4" s="3696" t="s">
        <v>1670</v>
      </c>
    </row>
    <row r="5" spans="1:29" ht="15">
      <c r="A5" s="358"/>
      <c r="B5" s="359"/>
      <c r="C5" s="3718" t="s">
        <v>1673</v>
      </c>
      <c r="D5" s="3719"/>
      <c r="E5" s="3725" t="s">
        <v>1674</v>
      </c>
      <c r="F5" s="3726"/>
      <c r="G5" s="3718" t="s">
        <v>1675</v>
      </c>
      <c r="H5" s="3719"/>
      <c r="I5" s="3718" t="s">
        <v>1676</v>
      </c>
      <c r="J5" s="3719"/>
      <c r="K5" s="1889"/>
      <c r="L5" s="2712"/>
      <c r="M5" s="2713"/>
      <c r="N5" s="2713"/>
      <c r="O5" s="2713"/>
      <c r="P5" s="3705"/>
      <c r="Q5" s="3706"/>
      <c r="R5" s="3711"/>
      <c r="S5" s="3712"/>
      <c r="T5" s="3711"/>
      <c r="U5" s="3712"/>
      <c r="V5" s="3715"/>
      <c r="W5" s="3715"/>
      <c r="X5" s="1354"/>
      <c r="Y5" s="3711"/>
      <c r="Z5" s="3712"/>
      <c r="AA5" s="3697"/>
      <c r="AB5" s="3697"/>
      <c r="AC5" s="3697"/>
    </row>
    <row r="6" spans="1:29" ht="15.75" thickBot="1">
      <c r="A6" s="360"/>
      <c r="B6" s="361"/>
      <c r="C6" s="3716" t="s">
        <v>1677</v>
      </c>
      <c r="D6" s="3717"/>
      <c r="E6" s="3723" t="s">
        <v>1677</v>
      </c>
      <c r="F6" s="3724"/>
      <c r="G6" s="3716" t="s">
        <v>1677</v>
      </c>
      <c r="H6" s="3717"/>
      <c r="I6" s="3716" t="s">
        <v>1677</v>
      </c>
      <c r="J6" s="3717"/>
      <c r="K6" s="1889" t="s">
        <v>1678</v>
      </c>
      <c r="L6" s="2712"/>
      <c r="M6" s="2713"/>
      <c r="N6" s="2713"/>
      <c r="O6" s="2713"/>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45631</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20" t="s">
        <v>1680</v>
      </c>
      <c r="Q7" s="3722"/>
      <c r="R7" s="701" t="s">
        <v>20</v>
      </c>
      <c r="S7" s="702">
        <f t="shared" ref="S7:S15" si="0">F7</f>
        <v>0</v>
      </c>
      <c r="T7" s="701" t="s">
        <v>20</v>
      </c>
      <c r="U7" s="702">
        <f t="shared" ref="U7:U15" si="1">H7</f>
        <v>0</v>
      </c>
      <c r="V7" s="701" t="s">
        <v>20</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95"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95"/>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5"/>
      <c r="Q11" s="1342"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95"/>
      <c r="Q12" s="1342">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95"/>
      <c r="Q13" s="1342">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95"/>
      <c r="Q14" s="1342">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93" t="s">
        <v>1691</v>
      </c>
      <c r="Q15" s="1351" t="str">
        <f t="shared" si="6"/>
        <v>居住社区成熟度</v>
      </c>
      <c r="R15" s="705" t="s">
        <v>18</v>
      </c>
      <c r="S15" s="706">
        <f t="shared" si="0"/>
        <v>100</v>
      </c>
      <c r="T15" s="705" t="s">
        <v>18</v>
      </c>
      <c r="U15" s="706">
        <f t="shared" si="1"/>
        <v>100</v>
      </c>
      <c r="V15" s="705" t="s">
        <v>18</v>
      </c>
      <c r="W15" s="706">
        <f t="shared" si="2"/>
        <v>100</v>
      </c>
      <c r="X15" s="1354"/>
      <c r="Y15" s="3686"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694"/>
      <c r="Q16" s="1351"/>
      <c r="R16" s="705"/>
      <c r="S16" s="706"/>
      <c r="T16" s="705"/>
      <c r="U16" s="706"/>
      <c r="V16" s="705"/>
      <c r="W16" s="706"/>
      <c r="X16" s="1354"/>
      <c r="Y16" s="3687"/>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94"/>
      <c r="Q17" s="1351" t="str">
        <f>B17</f>
        <v>交通便捷度</v>
      </c>
      <c r="R17" s="705" t="s">
        <v>18</v>
      </c>
      <c r="S17" s="706">
        <f>F17</f>
        <v>100</v>
      </c>
      <c r="T17" s="705" t="s">
        <v>18</v>
      </c>
      <c r="U17" s="706">
        <f>H17</f>
        <v>100</v>
      </c>
      <c r="V17" s="705" t="s">
        <v>18</v>
      </c>
      <c r="W17" s="706">
        <f>J17</f>
        <v>100</v>
      </c>
      <c r="X17" s="1354"/>
      <c r="Y17" s="3687"/>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694"/>
      <c r="Q18" s="1351"/>
      <c r="R18" s="705"/>
      <c r="S18" s="706"/>
      <c r="T18" s="705"/>
      <c r="U18" s="706"/>
      <c r="V18" s="705"/>
      <c r="W18" s="706"/>
      <c r="X18" s="1354"/>
      <c r="Y18" s="3687"/>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94"/>
      <c r="Q19" s="1351" t="str">
        <f>B19</f>
        <v>公共配套设施</v>
      </c>
      <c r="R19" s="705" t="s">
        <v>18</v>
      </c>
      <c r="S19" s="706">
        <f>F19</f>
        <v>100</v>
      </c>
      <c r="T19" s="705" t="s">
        <v>18</v>
      </c>
      <c r="U19" s="706">
        <f>H19</f>
        <v>100</v>
      </c>
      <c r="V19" s="705" t="s">
        <v>18</v>
      </c>
      <c r="W19" s="706">
        <f>J19</f>
        <v>100</v>
      </c>
      <c r="X19" s="1354"/>
      <c r="Y19" s="3687"/>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694"/>
      <c r="Q20" s="1351"/>
      <c r="R20" s="705"/>
      <c r="S20" s="706"/>
      <c r="T20" s="705"/>
      <c r="U20" s="706"/>
      <c r="V20" s="705"/>
      <c r="W20" s="706"/>
      <c r="X20" s="1354"/>
      <c r="Y20" s="3687"/>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94"/>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694"/>
      <c r="Q22" s="1351"/>
      <c r="R22" s="705"/>
      <c r="S22" s="706"/>
      <c r="T22" s="705"/>
      <c r="U22" s="706"/>
      <c r="V22" s="705"/>
      <c r="W22" s="706"/>
      <c r="X22" s="1354"/>
      <c r="Y22" s="3687"/>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94"/>
      <c r="Q23" s="1351" t="str">
        <f>B23</f>
        <v>自然及人文环境</v>
      </c>
      <c r="R23" s="705" t="s">
        <v>18</v>
      </c>
      <c r="S23" s="706">
        <f>F23</f>
        <v>100</v>
      </c>
      <c r="T23" s="705" t="s">
        <v>18</v>
      </c>
      <c r="U23" s="706">
        <f>H23</f>
        <v>100</v>
      </c>
      <c r="V23" s="705" t="s">
        <v>18</v>
      </c>
      <c r="W23" s="706">
        <f>J23</f>
        <v>100</v>
      </c>
      <c r="X23" s="1354"/>
      <c r="Y23" s="3687"/>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694"/>
      <c r="Q24" s="1351"/>
      <c r="R24" s="705"/>
      <c r="S24" s="706"/>
      <c r="T24" s="705"/>
      <c r="U24" s="706"/>
      <c r="V24" s="705"/>
      <c r="W24" s="706"/>
      <c r="X24" s="1354"/>
      <c r="Y24" s="3687"/>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9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87"/>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694"/>
      <c r="Q26" s="1351" t="str">
        <f t="shared" si="11"/>
        <v>朝向</v>
      </c>
      <c r="R26" s="705" t="s">
        <v>18</v>
      </c>
      <c r="S26" s="706">
        <f t="shared" si="12"/>
        <v>100</v>
      </c>
      <c r="T26" s="705" t="s">
        <v>18</v>
      </c>
      <c r="U26" s="706">
        <f t="shared" si="13"/>
        <v>100</v>
      </c>
      <c r="V26" s="705" t="s">
        <v>18</v>
      </c>
      <c r="W26" s="706">
        <f t="shared" si="14"/>
        <v>100</v>
      </c>
      <c r="X26" s="1354"/>
      <c r="Y26" s="3687"/>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694"/>
      <c r="Q27" s="1342">
        <f t="shared" si="11"/>
        <v>111</v>
      </c>
      <c r="R27" s="701" t="s">
        <v>18</v>
      </c>
      <c r="S27" s="702">
        <f t="shared" si="12"/>
        <v>100</v>
      </c>
      <c r="T27" s="701" t="s">
        <v>18</v>
      </c>
      <c r="U27" s="702">
        <f t="shared" si="13"/>
        <v>100</v>
      </c>
      <c r="V27" s="701" t="s">
        <v>18</v>
      </c>
      <c r="W27" s="702">
        <f t="shared" si="14"/>
        <v>100</v>
      </c>
      <c r="X27" s="703"/>
      <c r="Y27" s="3687"/>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694"/>
      <c r="Q28" s="1351">
        <f t="shared" si="11"/>
        <v>111</v>
      </c>
      <c r="R28" s="705" t="s">
        <v>18</v>
      </c>
      <c r="S28" s="706">
        <f t="shared" si="12"/>
        <v>100</v>
      </c>
      <c r="T28" s="705" t="s">
        <v>18</v>
      </c>
      <c r="U28" s="706">
        <f t="shared" si="13"/>
        <v>100</v>
      </c>
      <c r="V28" s="705" t="s">
        <v>18</v>
      </c>
      <c r="W28" s="706">
        <f t="shared" si="14"/>
        <v>100</v>
      </c>
      <c r="X28" s="1354"/>
      <c r="Y28" s="3687"/>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94"/>
      <c r="Q29" s="1351">
        <f t="shared" si="11"/>
        <v>111</v>
      </c>
      <c r="R29" s="705" t="s">
        <v>18</v>
      </c>
      <c r="S29" s="706">
        <f t="shared" si="12"/>
        <v>100</v>
      </c>
      <c r="T29" s="705" t="s">
        <v>18</v>
      </c>
      <c r="U29" s="706">
        <f t="shared" si="13"/>
        <v>100</v>
      </c>
      <c r="V29" s="705" t="s">
        <v>18</v>
      </c>
      <c r="W29" s="706">
        <f t="shared" si="14"/>
        <v>100</v>
      </c>
      <c r="X29" s="1354"/>
      <c r="Y29" s="3687"/>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94"/>
      <c r="Q30" s="1351">
        <f t="shared" si="11"/>
        <v>111</v>
      </c>
      <c r="R30" s="705" t="s">
        <v>18</v>
      </c>
      <c r="S30" s="706">
        <f t="shared" si="12"/>
        <v>100</v>
      </c>
      <c r="T30" s="705" t="s">
        <v>18</v>
      </c>
      <c r="U30" s="706">
        <f t="shared" si="13"/>
        <v>100</v>
      </c>
      <c r="V30" s="705" t="s">
        <v>18</v>
      </c>
      <c r="W30" s="706">
        <f t="shared" si="14"/>
        <v>100</v>
      </c>
      <c r="X30" s="1354"/>
      <c r="Y30" s="3687"/>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94"/>
      <c r="Q31" s="1351">
        <f t="shared" si="11"/>
        <v>111</v>
      </c>
      <c r="R31" s="705" t="s">
        <v>18</v>
      </c>
      <c r="S31" s="706">
        <f t="shared" si="12"/>
        <v>100</v>
      </c>
      <c r="T31" s="705" t="s">
        <v>18</v>
      </c>
      <c r="U31" s="706">
        <f t="shared" si="13"/>
        <v>100</v>
      </c>
      <c r="V31" s="705" t="s">
        <v>18</v>
      </c>
      <c r="W31" s="706">
        <f t="shared" si="14"/>
        <v>100</v>
      </c>
      <c r="X31" s="1354"/>
      <c r="Y31" s="3687"/>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688" t="s">
        <v>1696</v>
      </c>
      <c r="Q32" s="1351" t="str">
        <f t="shared" si="11"/>
        <v>建筑类型</v>
      </c>
      <c r="R32" s="705" t="s">
        <v>18</v>
      </c>
      <c r="S32" s="706">
        <f t="shared" si="12"/>
        <v>100</v>
      </c>
      <c r="T32" s="705" t="s">
        <v>18</v>
      </c>
      <c r="U32" s="706">
        <f t="shared" si="13"/>
        <v>100</v>
      </c>
      <c r="V32" s="705" t="s">
        <v>18</v>
      </c>
      <c r="W32" s="706">
        <f t="shared" si="14"/>
        <v>100</v>
      </c>
      <c r="X32" s="1354"/>
      <c r="Y32" s="3691"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689"/>
      <c r="Q34" s="1351" t="str">
        <f t="shared" si="11"/>
        <v>建筑结构</v>
      </c>
      <c r="R34" s="705" t="s">
        <v>18</v>
      </c>
      <c r="S34" s="706">
        <f t="shared" si="12"/>
        <v>100</v>
      </c>
      <c r="T34" s="705" t="s">
        <v>18</v>
      </c>
      <c r="U34" s="706">
        <f t="shared" si="13"/>
        <v>100</v>
      </c>
      <c r="V34" s="705" t="s">
        <v>18</v>
      </c>
      <c r="W34" s="706">
        <f t="shared" si="14"/>
        <v>100</v>
      </c>
      <c r="X34" s="1354"/>
      <c r="Y34" s="3691"/>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89"/>
      <c r="Q35" s="1351" t="str">
        <f t="shared" si="11"/>
        <v>建筑品质</v>
      </c>
      <c r="R35" s="705" t="s">
        <v>18</v>
      </c>
      <c r="S35" s="706">
        <f t="shared" si="12"/>
        <v>100</v>
      </c>
      <c r="T35" s="705" t="s">
        <v>18</v>
      </c>
      <c r="U35" s="706">
        <f t="shared" si="13"/>
        <v>100</v>
      </c>
      <c r="V35" s="705" t="s">
        <v>18</v>
      </c>
      <c r="W35" s="706">
        <f t="shared" si="14"/>
        <v>100</v>
      </c>
      <c r="X35" s="1354"/>
      <c r="Y35" s="3691"/>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689"/>
      <c r="Q36" s="1351" t="str">
        <f t="shared" si="11"/>
        <v>公共部分装修</v>
      </c>
      <c r="R36" s="705" t="s">
        <v>18</v>
      </c>
      <c r="S36" s="706">
        <f t="shared" si="12"/>
        <v>100</v>
      </c>
      <c r="T36" s="705" t="s">
        <v>18</v>
      </c>
      <c r="U36" s="706">
        <f t="shared" si="13"/>
        <v>100</v>
      </c>
      <c r="V36" s="705" t="s">
        <v>18</v>
      </c>
      <c r="W36" s="706">
        <f t="shared" si="14"/>
        <v>100</v>
      </c>
      <c r="X36" s="1354"/>
      <c r="Y36" s="3691"/>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89"/>
      <c r="Q37" s="1342"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689" t="s">
        <v>1696</v>
      </c>
      <c r="Q38" s="1351" t="str">
        <f t="shared" si="11"/>
        <v>物业管理</v>
      </c>
      <c r="R38" s="705" t="s">
        <v>18</v>
      </c>
      <c r="S38" s="706">
        <f t="shared" si="12"/>
        <v>100</v>
      </c>
      <c r="T38" s="705" t="s">
        <v>18</v>
      </c>
      <c r="U38" s="706">
        <f t="shared" si="13"/>
        <v>100</v>
      </c>
      <c r="V38" s="705" t="s">
        <v>18</v>
      </c>
      <c r="W38" s="706">
        <f t="shared" si="14"/>
        <v>100</v>
      </c>
      <c r="X38" s="1354"/>
      <c r="Y38" s="3691"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689"/>
      <c r="Q39" s="1351" t="str">
        <f t="shared" si="11"/>
        <v>市政基础设施</v>
      </c>
      <c r="R39" s="705" t="s">
        <v>18</v>
      </c>
      <c r="S39" s="706">
        <f t="shared" si="12"/>
        <v>100</v>
      </c>
      <c r="T39" s="705" t="s">
        <v>18</v>
      </c>
      <c r="U39" s="706">
        <f t="shared" si="13"/>
        <v>100</v>
      </c>
      <c r="V39" s="705" t="s">
        <v>18</v>
      </c>
      <c r="W39" s="706">
        <f t="shared" si="14"/>
        <v>100</v>
      </c>
      <c r="X39" s="1354"/>
      <c r="Y39" s="3691"/>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689"/>
      <c r="Q40" s="1351" t="str">
        <f t="shared" si="11"/>
        <v>房型</v>
      </c>
      <c r="R40" s="705" t="s">
        <v>18</v>
      </c>
      <c r="S40" s="706">
        <f t="shared" si="12"/>
        <v>100</v>
      </c>
      <c r="T40" s="705" t="s">
        <v>18</v>
      </c>
      <c r="U40" s="706">
        <f t="shared" si="13"/>
        <v>100</v>
      </c>
      <c r="V40" s="705" t="s">
        <v>18</v>
      </c>
      <c r="W40" s="706">
        <f t="shared" si="14"/>
        <v>100</v>
      </c>
      <c r="X40" s="1354"/>
      <c r="Y40" s="3691"/>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689"/>
      <c r="Q42" s="1351" t="str">
        <f t="shared" si="11"/>
        <v>内部装修</v>
      </c>
      <c r="R42" s="705" t="s">
        <v>18</v>
      </c>
      <c r="S42" s="706">
        <f t="shared" si="12"/>
        <v>100</v>
      </c>
      <c r="T42" s="705" t="s">
        <v>18</v>
      </c>
      <c r="U42" s="706">
        <f t="shared" si="13"/>
        <v>100</v>
      </c>
      <c r="V42" s="705" t="s">
        <v>18</v>
      </c>
      <c r="W42" s="706">
        <f t="shared" si="14"/>
        <v>100</v>
      </c>
      <c r="X42" s="1354"/>
      <c r="Y42" s="3691"/>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689"/>
      <c r="Q43" s="1351" t="str">
        <f t="shared" si="11"/>
        <v>内部装修维护情况</v>
      </c>
      <c r="R43" s="705" t="s">
        <v>18</v>
      </c>
      <c r="S43" s="706">
        <f t="shared" si="12"/>
        <v>100</v>
      </c>
      <c r="T43" s="705" t="s">
        <v>18</v>
      </c>
      <c r="U43" s="706">
        <f t="shared" si="13"/>
        <v>100</v>
      </c>
      <c r="V43" s="705" t="s">
        <v>18</v>
      </c>
      <c r="W43" s="706">
        <f t="shared" si="14"/>
        <v>100</v>
      </c>
      <c r="X43" s="1354"/>
      <c r="Y43" s="3691"/>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689"/>
      <c r="Q44" s="1342">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689"/>
      <c r="Q45" s="1351">
        <f t="shared" si="11"/>
        <v>111</v>
      </c>
      <c r="R45" s="705" t="s">
        <v>18</v>
      </c>
      <c r="S45" s="706">
        <f t="shared" si="12"/>
        <v>100</v>
      </c>
      <c r="T45" s="705" t="s">
        <v>18</v>
      </c>
      <c r="U45" s="706">
        <f t="shared" si="13"/>
        <v>100</v>
      </c>
      <c r="V45" s="705" t="s">
        <v>18</v>
      </c>
      <c r="W45" s="706">
        <f t="shared" si="14"/>
        <v>100</v>
      </c>
      <c r="X45" s="1354"/>
      <c r="Y45" s="3691"/>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90"/>
      <c r="Q46" s="1351">
        <f t="shared" si="11"/>
        <v>111</v>
      </c>
      <c r="R46" s="705" t="s">
        <v>17</v>
      </c>
      <c r="S46" s="706">
        <f t="shared" si="12"/>
        <v>100</v>
      </c>
      <c r="T46" s="705" t="s">
        <v>17</v>
      </c>
      <c r="U46" s="706">
        <f t="shared" si="13"/>
        <v>100</v>
      </c>
      <c r="V46" s="705" t="s">
        <v>17</v>
      </c>
      <c r="W46" s="706">
        <f t="shared" si="14"/>
        <v>100</v>
      </c>
      <c r="X46" s="1354"/>
      <c r="Y46" s="3692"/>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684" t="str">
        <f>A47</f>
        <v>成交单价（元/平方米）</v>
      </c>
      <c r="Q47" s="3684"/>
      <c r="R47" s="3685">
        <f>E47</f>
        <v>0</v>
      </c>
      <c r="S47" s="3685"/>
      <c r="T47" s="3685">
        <f>G47</f>
        <v>0</v>
      </c>
      <c r="U47" s="3685"/>
      <c r="V47" s="3685">
        <f>I47</f>
        <v>0</v>
      </c>
      <c r="W47" s="3685"/>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1"/>
      <c r="M48" s="2722"/>
      <c r="N48" s="2722"/>
      <c r="O48" s="2722"/>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1"/>
      <c r="M49" s="2722"/>
      <c r="N49" s="2722"/>
      <c r="O49" s="2722"/>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2024-12</v>
      </c>
      <c r="D58" s="1184">
        <f>EDATE(C58,-1)</f>
        <v>45597</v>
      </c>
      <c r="E58" s="1184">
        <f>EDATE(D58,-1)</f>
        <v>45566</v>
      </c>
      <c r="F58" s="1184">
        <f t="shared" ref="F58:O58" si="19">EDATE(E58,-1)</f>
        <v>45536</v>
      </c>
      <c r="G58" s="1184">
        <f t="shared" si="19"/>
        <v>45505</v>
      </c>
      <c r="H58" s="1184">
        <f t="shared" si="19"/>
        <v>45474</v>
      </c>
      <c r="I58" s="1184">
        <f t="shared" si="19"/>
        <v>45444</v>
      </c>
      <c r="J58" s="1184">
        <f t="shared" si="19"/>
        <v>45413</v>
      </c>
      <c r="K58" s="1184">
        <f t="shared" si="19"/>
        <v>45383</v>
      </c>
      <c r="L58" s="1184">
        <f t="shared" si="19"/>
        <v>45352</v>
      </c>
      <c r="M58" s="1184">
        <f t="shared" si="19"/>
        <v>45323</v>
      </c>
      <c r="N58" s="1184">
        <f t="shared" si="19"/>
        <v>45292</v>
      </c>
      <c r="O58" s="1184">
        <f t="shared" si="19"/>
        <v>45261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59427.91</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1769</v>
      </c>
      <c r="B4" s="356"/>
      <c r="C4" s="3699" t="s">
        <v>1770</v>
      </c>
      <c r="D4" s="3700"/>
      <c r="E4" s="3701" t="s">
        <v>1771</v>
      </c>
      <c r="F4" s="3702"/>
      <c r="G4" s="3699" t="s">
        <v>1772</v>
      </c>
      <c r="H4" s="3700"/>
      <c r="I4" s="3699" t="s">
        <v>1773</v>
      </c>
      <c r="J4" s="3700"/>
      <c r="K4" s="559" t="s">
        <v>1774</v>
      </c>
      <c r="L4" s="2712"/>
      <c r="M4" s="2713"/>
      <c r="N4" s="2713"/>
      <c r="O4" s="2713"/>
      <c r="P4" s="3703" t="s">
        <v>1775</v>
      </c>
      <c r="Q4" s="3704"/>
      <c r="R4" s="3709" t="s">
        <v>1771</v>
      </c>
      <c r="S4" s="3710"/>
      <c r="T4" s="3709" t="s">
        <v>1772</v>
      </c>
      <c r="U4" s="3710"/>
      <c r="V4" s="3715" t="s">
        <v>1773</v>
      </c>
      <c r="W4" s="3715"/>
      <c r="X4" s="1354"/>
      <c r="Y4" s="3709" t="s">
        <v>1775</v>
      </c>
      <c r="Z4" s="3710"/>
      <c r="AA4" s="3696" t="s">
        <v>1771</v>
      </c>
      <c r="AB4" s="3715" t="s">
        <v>1772</v>
      </c>
      <c r="AC4" s="3696" t="s">
        <v>1773</v>
      </c>
    </row>
    <row r="5" spans="1:29" ht="15">
      <c r="A5" s="358"/>
      <c r="B5" s="359"/>
      <c r="C5" s="3718" t="s">
        <v>1673</v>
      </c>
      <c r="D5" s="3719"/>
      <c r="E5" s="3725" t="s">
        <v>1674</v>
      </c>
      <c r="F5" s="3726"/>
      <c r="G5" s="3718" t="s">
        <v>1675</v>
      </c>
      <c r="H5" s="3719"/>
      <c r="I5" s="3718" t="s">
        <v>1676</v>
      </c>
      <c r="J5" s="3719"/>
      <c r="K5" s="559"/>
      <c r="L5" s="2712"/>
      <c r="M5" s="2713"/>
      <c r="N5" s="2713"/>
      <c r="O5" s="2713"/>
      <c r="P5" s="3705"/>
      <c r="Q5" s="3706"/>
      <c r="R5" s="3711"/>
      <c r="S5" s="3712"/>
      <c r="T5" s="3711"/>
      <c r="U5" s="3712"/>
      <c r="V5" s="3715"/>
      <c r="W5" s="3715"/>
      <c r="X5" s="1354"/>
      <c r="Y5" s="3711"/>
      <c r="Z5" s="3712"/>
      <c r="AA5" s="3697"/>
      <c r="AB5" s="3715"/>
      <c r="AC5" s="3697"/>
    </row>
    <row r="6" spans="1:29" ht="15.75" thickBot="1">
      <c r="A6" s="360"/>
      <c r="B6" s="361"/>
      <c r="C6" s="3716" t="s">
        <v>1677</v>
      </c>
      <c r="D6" s="3717"/>
      <c r="E6" s="3723" t="s">
        <v>1677</v>
      </c>
      <c r="F6" s="3724"/>
      <c r="G6" s="3716" t="s">
        <v>1677</v>
      </c>
      <c r="H6" s="3717"/>
      <c r="I6" s="3716" t="s">
        <v>1677</v>
      </c>
      <c r="J6" s="3717"/>
      <c r="K6" s="559" t="s">
        <v>1678</v>
      </c>
      <c r="L6" s="2712"/>
      <c r="M6" s="2713"/>
      <c r="N6" s="2713"/>
      <c r="O6" s="2713"/>
      <c r="P6" s="3707"/>
      <c r="Q6" s="3708"/>
      <c r="R6" s="3711"/>
      <c r="S6" s="3712"/>
      <c r="T6" s="3713"/>
      <c r="U6" s="3714"/>
      <c r="V6" s="3715"/>
      <c r="W6" s="3715"/>
      <c r="X6" s="1354"/>
      <c r="Y6" s="3713"/>
      <c r="Z6" s="3714"/>
      <c r="AA6" s="3698"/>
      <c r="AB6" s="3715"/>
      <c r="AC6" s="3698"/>
    </row>
    <row r="7" spans="1:29" s="108" customFormat="1" ht="15.75" thickBot="1">
      <c r="A7" s="362" t="s">
        <v>1679</v>
      </c>
      <c r="B7" s="363"/>
      <c r="C7" s="364">
        <f>'数据-取费表'!B2</f>
        <v>45631</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5"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5"/>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5"/>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5"/>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5"/>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5"/>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93" t="s">
        <v>1691</v>
      </c>
      <c r="Q15" s="1351" t="str">
        <f t="shared" si="6"/>
        <v>商业繁华度</v>
      </c>
      <c r="R15" s="705" t="s">
        <v>14</v>
      </c>
      <c r="S15" s="706">
        <f t="shared" si="0"/>
        <v>100</v>
      </c>
      <c r="T15" s="705" t="s">
        <v>14</v>
      </c>
      <c r="U15" s="706">
        <f t="shared" si="1"/>
        <v>100</v>
      </c>
      <c r="V15" s="705" t="s">
        <v>14</v>
      </c>
      <c r="W15" s="706">
        <f t="shared" si="2"/>
        <v>100</v>
      </c>
      <c r="X15" s="1354"/>
      <c r="Y15" s="3686"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694"/>
      <c r="Q16" s="1351"/>
      <c r="R16" s="705"/>
      <c r="S16" s="706"/>
      <c r="T16" s="705"/>
      <c r="U16" s="706"/>
      <c r="V16" s="705"/>
      <c r="W16" s="706"/>
      <c r="X16" s="1354"/>
      <c r="Y16" s="3687"/>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94"/>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694"/>
      <c r="Q18" s="1351"/>
      <c r="R18" s="705"/>
      <c r="S18" s="706"/>
      <c r="T18" s="705"/>
      <c r="U18" s="706"/>
      <c r="V18" s="705"/>
      <c r="W18" s="706"/>
      <c r="X18" s="1354"/>
      <c r="Y18" s="3687"/>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94"/>
      <c r="Q19" s="1351" t="str">
        <f>B19</f>
        <v>公共配套设施</v>
      </c>
      <c r="R19" s="705" t="s">
        <v>14</v>
      </c>
      <c r="S19" s="706">
        <f>F19</f>
        <v>100</v>
      </c>
      <c r="T19" s="705" t="s">
        <v>14</v>
      </c>
      <c r="U19" s="706">
        <f>H19</f>
        <v>100</v>
      </c>
      <c r="V19" s="705" t="s">
        <v>14</v>
      </c>
      <c r="W19" s="706">
        <f>J19</f>
        <v>100</v>
      </c>
      <c r="X19" s="1354"/>
      <c r="Y19" s="368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694"/>
      <c r="Q20" s="1351"/>
      <c r="R20" s="705"/>
      <c r="S20" s="706"/>
      <c r="T20" s="705"/>
      <c r="U20" s="706"/>
      <c r="V20" s="705"/>
      <c r="W20" s="706"/>
      <c r="X20" s="1354"/>
      <c r="Y20" s="3687"/>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94"/>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9"/>
      <c r="M22" s="2713"/>
      <c r="N22" s="2713"/>
      <c r="O22" s="2713"/>
      <c r="P22" s="3694"/>
      <c r="Q22" s="1351"/>
      <c r="R22" s="705"/>
      <c r="S22" s="706"/>
      <c r="T22" s="705"/>
      <c r="U22" s="706"/>
      <c r="V22" s="705"/>
      <c r="W22" s="706"/>
      <c r="X22" s="1354"/>
      <c r="Y22" s="3687"/>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94"/>
      <c r="Q23" s="1351" t="str">
        <f>B23</f>
        <v>自然及人文环境</v>
      </c>
      <c r="R23" s="705" t="s">
        <v>14</v>
      </c>
      <c r="S23" s="706">
        <f>F23</f>
        <v>100</v>
      </c>
      <c r="T23" s="705" t="s">
        <v>14</v>
      </c>
      <c r="U23" s="706">
        <f>H23</f>
        <v>100</v>
      </c>
      <c r="V23" s="705" t="s">
        <v>14</v>
      </c>
      <c r="W23" s="706">
        <f>J23</f>
        <v>100</v>
      </c>
      <c r="X23" s="1354"/>
      <c r="Y23" s="3687"/>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694"/>
      <c r="Q24" s="1351"/>
      <c r="R24" s="705"/>
      <c r="S24" s="706"/>
      <c r="T24" s="705"/>
      <c r="U24" s="706"/>
      <c r="V24" s="705"/>
      <c r="W24" s="706"/>
      <c r="X24" s="1354"/>
      <c r="Y24" s="3687"/>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94"/>
      <c r="Q25" s="1351" t="str">
        <f t="shared" ref="Q25:Q46" si="11">B25</f>
        <v>临街状况</v>
      </c>
      <c r="R25" s="705" t="s">
        <v>14</v>
      </c>
      <c r="S25" s="706">
        <f>F25</f>
        <v>100</v>
      </c>
      <c r="T25" s="705" t="s">
        <v>14</v>
      </c>
      <c r="U25" s="706">
        <f>H25</f>
        <v>100</v>
      </c>
      <c r="V25" s="705" t="s">
        <v>14</v>
      </c>
      <c r="W25" s="706">
        <f>J25</f>
        <v>100</v>
      </c>
      <c r="X25" s="1354"/>
      <c r="Y25" s="3687"/>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94"/>
      <c r="Q26" s="1351" t="str">
        <f t="shared" si="11"/>
        <v>平面位置/可视性</v>
      </c>
      <c r="R26" s="705" t="s">
        <v>14</v>
      </c>
      <c r="S26" s="706">
        <f>F26</f>
        <v>100</v>
      </c>
      <c r="T26" s="705" t="s">
        <v>14</v>
      </c>
      <c r="U26" s="706">
        <f>H26</f>
        <v>100</v>
      </c>
      <c r="V26" s="705" t="s">
        <v>14</v>
      </c>
      <c r="W26" s="706">
        <f>J26</f>
        <v>100</v>
      </c>
      <c r="X26" s="1354"/>
      <c r="Y26" s="3687"/>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694"/>
      <c r="Q27" s="1342" t="str">
        <f t="shared" si="11"/>
        <v>人流量</v>
      </c>
      <c r="R27" s="701" t="s">
        <v>14</v>
      </c>
      <c r="S27" s="702">
        <f>F27</f>
        <v>100</v>
      </c>
      <c r="T27" s="701" t="s">
        <v>14</v>
      </c>
      <c r="U27" s="702">
        <f>H27</f>
        <v>100</v>
      </c>
      <c r="V27" s="701" t="s">
        <v>14</v>
      </c>
      <c r="W27" s="702">
        <f>J27</f>
        <v>100</v>
      </c>
      <c r="X27" s="703"/>
      <c r="Y27" s="3687"/>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9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87"/>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94"/>
      <c r="Q29" s="1351">
        <f t="shared" si="11"/>
        <v>111</v>
      </c>
      <c r="R29" s="705" t="s">
        <v>14</v>
      </c>
      <c r="S29" s="706">
        <f t="shared" si="12"/>
        <v>100</v>
      </c>
      <c r="T29" s="705" t="s">
        <v>14</v>
      </c>
      <c r="U29" s="706">
        <f t="shared" si="13"/>
        <v>100</v>
      </c>
      <c r="V29" s="705" t="s">
        <v>14</v>
      </c>
      <c r="W29" s="706">
        <f t="shared" si="14"/>
        <v>100</v>
      </c>
      <c r="X29" s="1354"/>
      <c r="Y29" s="3687"/>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94"/>
      <c r="Q30" s="1351">
        <f t="shared" si="11"/>
        <v>111</v>
      </c>
      <c r="R30" s="705" t="s">
        <v>14</v>
      </c>
      <c r="S30" s="706">
        <f t="shared" si="12"/>
        <v>100</v>
      </c>
      <c r="T30" s="705" t="s">
        <v>14</v>
      </c>
      <c r="U30" s="706">
        <f t="shared" si="13"/>
        <v>100</v>
      </c>
      <c r="V30" s="705" t="s">
        <v>14</v>
      </c>
      <c r="W30" s="706">
        <f t="shared" si="14"/>
        <v>100</v>
      </c>
      <c r="X30" s="1354"/>
      <c r="Y30" s="3687"/>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94"/>
      <c r="Q31" s="1351">
        <f t="shared" si="11"/>
        <v>111</v>
      </c>
      <c r="R31" s="705" t="s">
        <v>14</v>
      </c>
      <c r="S31" s="706">
        <f t="shared" si="12"/>
        <v>100</v>
      </c>
      <c r="T31" s="705" t="s">
        <v>14</v>
      </c>
      <c r="U31" s="706">
        <f t="shared" si="13"/>
        <v>100</v>
      </c>
      <c r="V31" s="705" t="s">
        <v>14</v>
      </c>
      <c r="W31" s="706">
        <f t="shared" si="14"/>
        <v>100</v>
      </c>
      <c r="X31" s="1354"/>
      <c r="Y31" s="3687"/>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88" t="s">
        <v>1696</v>
      </c>
      <c r="Q32" s="1351" t="str">
        <f t="shared" si="11"/>
        <v>商业类型</v>
      </c>
      <c r="R32" s="705" t="s">
        <v>14</v>
      </c>
      <c r="S32" s="706">
        <f t="shared" si="12"/>
        <v>100</v>
      </c>
      <c r="T32" s="705" t="s">
        <v>14</v>
      </c>
      <c r="U32" s="706">
        <f t="shared" si="13"/>
        <v>100</v>
      </c>
      <c r="V32" s="705" t="s">
        <v>14</v>
      </c>
      <c r="W32" s="706">
        <f t="shared" si="14"/>
        <v>100</v>
      </c>
      <c r="X32" s="1354"/>
      <c r="Y32" s="3691"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689"/>
      <c r="Q34" s="1351" t="str">
        <f t="shared" si="11"/>
        <v>建筑结构</v>
      </c>
      <c r="R34" s="705" t="s">
        <v>14</v>
      </c>
      <c r="S34" s="706">
        <f t="shared" si="12"/>
        <v>100</v>
      </c>
      <c r="T34" s="705" t="s">
        <v>14</v>
      </c>
      <c r="U34" s="706">
        <f t="shared" si="13"/>
        <v>100</v>
      </c>
      <c r="V34" s="705" t="s">
        <v>14</v>
      </c>
      <c r="W34" s="706">
        <f t="shared" si="14"/>
        <v>100</v>
      </c>
      <c r="X34" s="1354"/>
      <c r="Y34" s="3691"/>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89"/>
      <c r="Q35" s="1351" t="str">
        <f t="shared" si="11"/>
        <v>公共部分装修</v>
      </c>
      <c r="R35" s="705" t="s">
        <v>14</v>
      </c>
      <c r="S35" s="706">
        <f t="shared" si="12"/>
        <v>100</v>
      </c>
      <c r="T35" s="705" t="s">
        <v>14</v>
      </c>
      <c r="U35" s="706">
        <f t="shared" si="13"/>
        <v>100</v>
      </c>
      <c r="V35" s="705" t="s">
        <v>14</v>
      </c>
      <c r="W35" s="706">
        <f t="shared" si="14"/>
        <v>100</v>
      </c>
      <c r="X35" s="1354"/>
      <c r="Y35" s="3691"/>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89"/>
      <c r="Q36" s="1351" t="str">
        <f t="shared" si="11"/>
        <v>成新度</v>
      </c>
      <c r="R36" s="705" t="s">
        <v>14</v>
      </c>
      <c r="S36" s="706" t="e">
        <f t="shared" si="12"/>
        <v>#N/A</v>
      </c>
      <c r="T36" s="705" t="s">
        <v>14</v>
      </c>
      <c r="U36" s="706" t="e">
        <f t="shared" si="13"/>
        <v>#N/A</v>
      </c>
      <c r="V36" s="705" t="s">
        <v>14</v>
      </c>
      <c r="W36" s="706" t="e">
        <f t="shared" si="14"/>
        <v>#N/A</v>
      </c>
      <c r="X36" s="1354"/>
      <c r="Y36" s="3691"/>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89"/>
      <c r="Q37" s="1342"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89" t="s">
        <v>1696</v>
      </c>
      <c r="Q38" s="1351" t="str">
        <f t="shared" si="11"/>
        <v>业态</v>
      </c>
      <c r="R38" s="705" t="s">
        <v>14</v>
      </c>
      <c r="S38" s="706">
        <f t="shared" si="12"/>
        <v>100</v>
      </c>
      <c r="T38" s="705" t="s">
        <v>14</v>
      </c>
      <c r="U38" s="706">
        <f t="shared" si="13"/>
        <v>100</v>
      </c>
      <c r="V38" s="705" t="s">
        <v>14</v>
      </c>
      <c r="W38" s="706">
        <f t="shared" si="14"/>
        <v>100</v>
      </c>
      <c r="X38" s="1354"/>
      <c r="Y38" s="3691"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89"/>
      <c r="Q39" s="1351" t="str">
        <f t="shared" si="11"/>
        <v>层高</v>
      </c>
      <c r="R39" s="705" t="s">
        <v>14</v>
      </c>
      <c r="S39" s="706">
        <f t="shared" si="12"/>
        <v>100</v>
      </c>
      <c r="T39" s="705" t="s">
        <v>14</v>
      </c>
      <c r="U39" s="706">
        <f t="shared" si="13"/>
        <v>100</v>
      </c>
      <c r="V39" s="705" t="s">
        <v>14</v>
      </c>
      <c r="W39" s="706">
        <f t="shared" si="14"/>
        <v>100</v>
      </c>
      <c r="X39" s="1354"/>
      <c r="Y39" s="3691"/>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89"/>
      <c r="Q40" s="1351" t="str">
        <f t="shared" si="11"/>
        <v>单套建筑面积</v>
      </c>
      <c r="R40" s="705" t="s">
        <v>14</v>
      </c>
      <c r="S40" s="706">
        <f t="shared" si="12"/>
        <v>100</v>
      </c>
      <c r="T40" s="705" t="s">
        <v>14</v>
      </c>
      <c r="U40" s="706">
        <f t="shared" si="13"/>
        <v>100</v>
      </c>
      <c r="V40" s="705" t="s">
        <v>14</v>
      </c>
      <c r="W40" s="706">
        <f t="shared" si="14"/>
        <v>100</v>
      </c>
      <c r="X40" s="1354"/>
      <c r="Y40" s="3691"/>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89"/>
      <c r="Q42" s="1351" t="str">
        <f t="shared" si="11"/>
        <v>内部装修</v>
      </c>
      <c r="R42" s="705" t="s">
        <v>14</v>
      </c>
      <c r="S42" s="706">
        <f t="shared" si="12"/>
        <v>100</v>
      </c>
      <c r="T42" s="705" t="s">
        <v>14</v>
      </c>
      <c r="U42" s="706">
        <f t="shared" si="13"/>
        <v>100</v>
      </c>
      <c r="V42" s="705" t="s">
        <v>14</v>
      </c>
      <c r="W42" s="706">
        <f t="shared" si="14"/>
        <v>100</v>
      </c>
      <c r="X42" s="1354"/>
      <c r="Y42" s="3691"/>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89"/>
      <c r="Q43" s="1351" t="str">
        <f t="shared" si="11"/>
        <v>内部装修维护情况</v>
      </c>
      <c r="R43" s="705" t="s">
        <v>14</v>
      </c>
      <c r="S43" s="706">
        <f t="shared" si="12"/>
        <v>100</v>
      </c>
      <c r="T43" s="705" t="s">
        <v>14</v>
      </c>
      <c r="U43" s="706">
        <f t="shared" si="13"/>
        <v>100</v>
      </c>
      <c r="V43" s="705" t="s">
        <v>14</v>
      </c>
      <c r="W43" s="706">
        <f t="shared" si="14"/>
        <v>100</v>
      </c>
      <c r="X43" s="1354"/>
      <c r="Y43" s="3691"/>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89"/>
      <c r="Q44" s="1342">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89"/>
      <c r="Q45" s="1351">
        <f t="shared" si="11"/>
        <v>111</v>
      </c>
      <c r="R45" s="705" t="s">
        <v>14</v>
      </c>
      <c r="S45" s="706">
        <f t="shared" si="12"/>
        <v>100</v>
      </c>
      <c r="T45" s="705" t="s">
        <v>14</v>
      </c>
      <c r="U45" s="706">
        <f t="shared" si="13"/>
        <v>100</v>
      </c>
      <c r="V45" s="705" t="s">
        <v>14</v>
      </c>
      <c r="W45" s="706">
        <f t="shared" si="14"/>
        <v>100</v>
      </c>
      <c r="X45" s="1354"/>
      <c r="Y45" s="3691"/>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90"/>
      <c r="Q46" s="1351">
        <f t="shared" si="11"/>
        <v>111</v>
      </c>
      <c r="R46" s="705" t="s">
        <v>14</v>
      </c>
      <c r="S46" s="706">
        <f t="shared" si="12"/>
        <v>100</v>
      </c>
      <c r="T46" s="705" t="s">
        <v>14</v>
      </c>
      <c r="U46" s="706">
        <f t="shared" si="13"/>
        <v>100</v>
      </c>
      <c r="V46" s="705" t="s">
        <v>14</v>
      </c>
      <c r="W46" s="706">
        <f t="shared" si="14"/>
        <v>100</v>
      </c>
      <c r="X46" s="1354"/>
      <c r="Y46" s="3692"/>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1"/>
      <c r="M47" s="2722"/>
      <c r="N47" s="2713"/>
      <c r="O47" s="2722"/>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1"/>
      <c r="M48" s="2722"/>
      <c r="N48" s="2713"/>
      <c r="O48" s="2722"/>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1"/>
      <c r="M49" s="2722"/>
      <c r="N49" s="2713"/>
      <c r="O49" s="2722"/>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2024-12</v>
      </c>
      <c r="D58" s="1184">
        <f>EDATE(C58,-1)</f>
        <v>45597</v>
      </c>
      <c r="E58" s="1184">
        <f t="shared" ref="E58:N58" si="16">EDATE(D58,-1)</f>
        <v>45566</v>
      </c>
      <c r="F58" s="1184">
        <f t="shared" si="16"/>
        <v>45536</v>
      </c>
      <c r="G58" s="1184">
        <f t="shared" si="16"/>
        <v>45505</v>
      </c>
      <c r="H58" s="1184">
        <f t="shared" si="16"/>
        <v>45474</v>
      </c>
      <c r="I58" s="1184">
        <f t="shared" si="16"/>
        <v>45444</v>
      </c>
      <c r="J58" s="1184">
        <f t="shared" si="16"/>
        <v>45413</v>
      </c>
      <c r="K58" s="1184">
        <f t="shared" si="16"/>
        <v>45383</v>
      </c>
      <c r="L58" s="1184">
        <f t="shared" si="16"/>
        <v>45352</v>
      </c>
      <c r="M58" s="1184">
        <f t="shared" si="16"/>
        <v>45323</v>
      </c>
      <c r="N58" s="1184">
        <f t="shared" si="16"/>
        <v>45292</v>
      </c>
      <c r="O58" s="1184">
        <f>EDATE(N58,-1)</f>
        <v>45261</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59427.91</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2"/>
      <c r="M4" s="2713"/>
      <c r="N4" s="2713"/>
      <c r="O4" s="2713"/>
      <c r="P4" s="3733" t="s">
        <v>1775</v>
      </c>
      <c r="Q4" s="3734"/>
      <c r="R4" s="3737" t="s">
        <v>1771</v>
      </c>
      <c r="S4" s="3738"/>
      <c r="T4" s="3737" t="s">
        <v>1772</v>
      </c>
      <c r="U4" s="3738"/>
      <c r="V4" s="3739" t="s">
        <v>1773</v>
      </c>
      <c r="W4" s="3739"/>
      <c r="X4" s="1957"/>
      <c r="Y4" s="3737" t="s">
        <v>1775</v>
      </c>
      <c r="Z4" s="3738"/>
      <c r="AA4" s="3741" t="s">
        <v>1771</v>
      </c>
      <c r="AB4" s="3741" t="s">
        <v>1772</v>
      </c>
      <c r="AC4" s="3730" t="s">
        <v>1773</v>
      </c>
    </row>
    <row r="5" spans="1:29" ht="15">
      <c r="A5" s="358"/>
      <c r="B5" s="359"/>
      <c r="C5" s="3718" t="s">
        <v>1673</v>
      </c>
      <c r="D5" s="3719"/>
      <c r="E5" s="3725" t="s">
        <v>1674</v>
      </c>
      <c r="F5" s="3726"/>
      <c r="G5" s="3718" t="s">
        <v>1675</v>
      </c>
      <c r="H5" s="3719"/>
      <c r="I5" s="3718" t="s">
        <v>1676</v>
      </c>
      <c r="J5" s="3719"/>
      <c r="K5" s="559"/>
      <c r="L5" s="2712"/>
      <c r="M5" s="2713"/>
      <c r="N5" s="2713"/>
      <c r="O5" s="2713"/>
      <c r="P5" s="3735"/>
      <c r="Q5" s="3706"/>
      <c r="R5" s="3711"/>
      <c r="S5" s="3712"/>
      <c r="T5" s="3711"/>
      <c r="U5" s="3712"/>
      <c r="V5" s="3715"/>
      <c r="W5" s="3715"/>
      <c r="X5" s="1354"/>
      <c r="Y5" s="3711"/>
      <c r="Z5" s="3712"/>
      <c r="AA5" s="3697"/>
      <c r="AB5" s="3697"/>
      <c r="AC5" s="3731"/>
    </row>
    <row r="6" spans="1:29" ht="15.75" thickBot="1">
      <c r="A6" s="360"/>
      <c r="B6" s="361"/>
      <c r="C6" s="3716" t="s">
        <v>1677</v>
      </c>
      <c r="D6" s="3717"/>
      <c r="E6" s="3723" t="s">
        <v>1677</v>
      </c>
      <c r="F6" s="3724"/>
      <c r="G6" s="3716" t="s">
        <v>1677</v>
      </c>
      <c r="H6" s="3717"/>
      <c r="I6" s="3716" t="s">
        <v>1677</v>
      </c>
      <c r="J6" s="3717"/>
      <c r="K6" s="559" t="s">
        <v>1678</v>
      </c>
      <c r="L6" s="2712"/>
      <c r="M6" s="2713"/>
      <c r="N6" s="2713"/>
      <c r="O6" s="2713"/>
      <c r="P6" s="3736"/>
      <c r="Q6" s="3708"/>
      <c r="R6" s="3711"/>
      <c r="S6" s="3712"/>
      <c r="T6" s="3713"/>
      <c r="U6" s="3714"/>
      <c r="V6" s="3715"/>
      <c r="W6" s="3715"/>
      <c r="X6" s="1354"/>
      <c r="Y6" s="3713"/>
      <c r="Z6" s="3714"/>
      <c r="AA6" s="3698"/>
      <c r="AB6" s="3698"/>
      <c r="AC6" s="3732"/>
    </row>
    <row r="7" spans="1:29" s="108" customFormat="1" ht="15.75" thickBot="1">
      <c r="A7" s="362" t="s">
        <v>1679</v>
      </c>
      <c r="B7" s="363"/>
      <c r="C7" s="364">
        <f>'数据-取费表'!B2</f>
        <v>45631</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0"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5"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5"/>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5"/>
      <c r="Q11" s="1342"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95"/>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95"/>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95"/>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93" t="s">
        <v>1691</v>
      </c>
      <c r="Q15" s="1351" t="str">
        <f t="shared" si="6"/>
        <v>办公集聚程度</v>
      </c>
      <c r="R15" s="705" t="s">
        <v>14</v>
      </c>
      <c r="S15" s="706">
        <f t="shared" si="0"/>
        <v>100</v>
      </c>
      <c r="T15" s="705" t="s">
        <v>14</v>
      </c>
      <c r="U15" s="706">
        <f t="shared" si="1"/>
        <v>100</v>
      </c>
      <c r="V15" s="705" t="s">
        <v>14</v>
      </c>
      <c r="W15" s="706">
        <f t="shared" si="2"/>
        <v>100</v>
      </c>
      <c r="X15" s="1354"/>
      <c r="Y15" s="3686"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694"/>
      <c r="Q16" s="1351"/>
      <c r="R16" s="705"/>
      <c r="S16" s="706"/>
      <c r="T16" s="705"/>
      <c r="U16" s="706"/>
      <c r="V16" s="705"/>
      <c r="W16" s="706"/>
      <c r="X16" s="1354"/>
      <c r="Y16" s="3687"/>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94"/>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694"/>
      <c r="Q18" s="1351"/>
      <c r="R18" s="705"/>
      <c r="S18" s="706"/>
      <c r="T18" s="705"/>
      <c r="U18" s="706"/>
      <c r="V18" s="705"/>
      <c r="W18" s="706"/>
      <c r="X18" s="1354"/>
      <c r="Y18" s="3687"/>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94"/>
      <c r="Q19" s="1351" t="str">
        <f>B19</f>
        <v>公共配套设施</v>
      </c>
      <c r="R19" s="705" t="s">
        <v>14</v>
      </c>
      <c r="S19" s="706">
        <f>F19</f>
        <v>100</v>
      </c>
      <c r="T19" s="705" t="s">
        <v>14</v>
      </c>
      <c r="U19" s="706">
        <f>H19</f>
        <v>100</v>
      </c>
      <c r="V19" s="705" t="s">
        <v>14</v>
      </c>
      <c r="W19" s="706">
        <f>J19</f>
        <v>100</v>
      </c>
      <c r="X19" s="1354"/>
      <c r="Y19" s="3687"/>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694"/>
      <c r="Q20" s="1351"/>
      <c r="R20" s="705"/>
      <c r="S20" s="706"/>
      <c r="T20" s="705"/>
      <c r="U20" s="706"/>
      <c r="V20" s="705"/>
      <c r="W20" s="706"/>
      <c r="X20" s="1354"/>
      <c r="Y20" s="3687"/>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94"/>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19"/>
      <c r="M22" s="2713"/>
      <c r="N22" s="2713"/>
      <c r="O22" s="2713"/>
      <c r="P22" s="3694"/>
      <c r="Q22" s="1351"/>
      <c r="R22" s="705"/>
      <c r="S22" s="706"/>
      <c r="T22" s="705"/>
      <c r="U22" s="706"/>
      <c r="V22" s="705"/>
      <c r="W22" s="706"/>
      <c r="X22" s="1354"/>
      <c r="Y22" s="3687"/>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94"/>
      <c r="Q23" s="1351" t="str">
        <f>B23</f>
        <v>环境质量</v>
      </c>
      <c r="R23" s="705" t="s">
        <v>14</v>
      </c>
      <c r="S23" s="706">
        <f>F23</f>
        <v>100</v>
      </c>
      <c r="T23" s="705" t="s">
        <v>14</v>
      </c>
      <c r="U23" s="706">
        <f>H23</f>
        <v>100</v>
      </c>
      <c r="V23" s="705" t="s">
        <v>14</v>
      </c>
      <c r="W23" s="706">
        <f>J23</f>
        <v>100</v>
      </c>
      <c r="X23" s="1354"/>
      <c r="Y23" s="3687"/>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694"/>
      <c r="Q24" s="1351"/>
      <c r="R24" s="705"/>
      <c r="S24" s="706"/>
      <c r="T24" s="705"/>
      <c r="U24" s="706"/>
      <c r="V24" s="705"/>
      <c r="W24" s="706"/>
      <c r="X24" s="1354"/>
      <c r="Y24" s="3687"/>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94"/>
      <c r="Q25" s="1351" t="str">
        <f>B25</f>
        <v>毗邻道路的类型与等级</v>
      </c>
      <c r="R25" s="705" t="s">
        <v>14</v>
      </c>
      <c r="S25" s="706">
        <f>F25</f>
        <v>100</v>
      </c>
      <c r="T25" s="705" t="s">
        <v>14</v>
      </c>
      <c r="U25" s="706">
        <f>H25</f>
        <v>100</v>
      </c>
      <c r="V25" s="705" t="s">
        <v>14</v>
      </c>
      <c r="W25" s="706">
        <f>J25</f>
        <v>100</v>
      </c>
      <c r="X25" s="1354"/>
      <c r="Y25" s="3687"/>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694"/>
      <c r="Q26" s="1351"/>
      <c r="R26" s="705"/>
      <c r="S26" s="706"/>
      <c r="T26" s="705"/>
      <c r="U26" s="706"/>
      <c r="V26" s="705"/>
      <c r="W26" s="706"/>
      <c r="X26" s="1354"/>
      <c r="Y26" s="3687"/>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94"/>
      <c r="Q27" s="1351" t="str">
        <f t="shared" ref="Q27:Q47" si="11">B27</f>
        <v>楼层</v>
      </c>
      <c r="R27" s="705" t="s">
        <v>14</v>
      </c>
      <c r="S27" s="706">
        <f>F27</f>
        <v>100</v>
      </c>
      <c r="T27" s="705" t="s">
        <v>14</v>
      </c>
      <c r="U27" s="706">
        <f>H27</f>
        <v>100</v>
      </c>
      <c r="V27" s="705" t="s">
        <v>14</v>
      </c>
      <c r="W27" s="706">
        <f>J27</f>
        <v>100</v>
      </c>
      <c r="X27" s="1354"/>
      <c r="Y27" s="3687"/>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694"/>
      <c r="Q28" s="1342" t="str">
        <f t="shared" si="11"/>
        <v>朝向</v>
      </c>
      <c r="R28" s="701" t="s">
        <v>14</v>
      </c>
      <c r="S28" s="702">
        <f>F28</f>
        <v>100</v>
      </c>
      <c r="T28" s="701" t="s">
        <v>14</v>
      </c>
      <c r="U28" s="702">
        <f>H28</f>
        <v>100</v>
      </c>
      <c r="V28" s="701" t="s">
        <v>14</v>
      </c>
      <c r="W28" s="702">
        <f>J28</f>
        <v>100</v>
      </c>
      <c r="X28" s="703"/>
      <c r="Y28" s="3687"/>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694"/>
      <c r="Q29" s="1351">
        <f t="shared" si="11"/>
        <v>111</v>
      </c>
      <c r="R29" s="705" t="s">
        <v>14</v>
      </c>
      <c r="S29" s="706">
        <f t="shared" ref="S29:S47" si="12">F29</f>
        <v>100</v>
      </c>
      <c r="T29" s="705" t="s">
        <v>14</v>
      </c>
      <c r="U29" s="706">
        <f t="shared" ref="U29:U47" si="13">H29</f>
        <v>100</v>
      </c>
      <c r="V29" s="705" t="s">
        <v>14</v>
      </c>
      <c r="W29" s="706">
        <f t="shared" ref="W29:W47" si="14">J29</f>
        <v>100</v>
      </c>
      <c r="X29" s="1354"/>
      <c r="Y29" s="3687"/>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694"/>
      <c r="Q30" s="1351">
        <f t="shared" si="11"/>
        <v>111</v>
      </c>
      <c r="R30" s="705" t="s">
        <v>14</v>
      </c>
      <c r="S30" s="706">
        <f t="shared" si="12"/>
        <v>100</v>
      </c>
      <c r="T30" s="705" t="s">
        <v>14</v>
      </c>
      <c r="U30" s="706">
        <f t="shared" si="13"/>
        <v>100</v>
      </c>
      <c r="V30" s="705" t="s">
        <v>14</v>
      </c>
      <c r="W30" s="706">
        <f t="shared" si="14"/>
        <v>100</v>
      </c>
      <c r="X30" s="1354"/>
      <c r="Y30" s="3687"/>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694"/>
      <c r="Q31" s="1351">
        <f t="shared" si="11"/>
        <v>111</v>
      </c>
      <c r="R31" s="705" t="s">
        <v>14</v>
      </c>
      <c r="S31" s="706">
        <f t="shared" si="12"/>
        <v>100</v>
      </c>
      <c r="T31" s="705" t="s">
        <v>14</v>
      </c>
      <c r="U31" s="706">
        <f t="shared" si="13"/>
        <v>100</v>
      </c>
      <c r="V31" s="705" t="s">
        <v>14</v>
      </c>
      <c r="W31" s="706">
        <f t="shared" si="14"/>
        <v>100</v>
      </c>
      <c r="X31" s="1354"/>
      <c r="Y31" s="3687"/>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694"/>
      <c r="Q32" s="1351">
        <f t="shared" si="11"/>
        <v>111</v>
      </c>
      <c r="R32" s="705" t="s">
        <v>14</v>
      </c>
      <c r="S32" s="706">
        <f t="shared" si="12"/>
        <v>100</v>
      </c>
      <c r="T32" s="705" t="s">
        <v>14</v>
      </c>
      <c r="U32" s="706">
        <f t="shared" si="13"/>
        <v>100</v>
      </c>
      <c r="V32" s="705" t="s">
        <v>14</v>
      </c>
      <c r="W32" s="706">
        <f t="shared" si="14"/>
        <v>100</v>
      </c>
      <c r="X32" s="1354"/>
      <c r="Y32" s="3687"/>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688" t="s">
        <v>1696</v>
      </c>
      <c r="Q33" s="1351" t="str">
        <f t="shared" si="11"/>
        <v>建筑类型</v>
      </c>
      <c r="R33" s="705" t="s">
        <v>14</v>
      </c>
      <c r="S33" s="706">
        <f t="shared" si="12"/>
        <v>100</v>
      </c>
      <c r="T33" s="705" t="s">
        <v>14</v>
      </c>
      <c r="U33" s="706">
        <f t="shared" si="13"/>
        <v>100</v>
      </c>
      <c r="V33" s="705" t="s">
        <v>14</v>
      </c>
      <c r="W33" s="706">
        <f t="shared" si="14"/>
        <v>100</v>
      </c>
      <c r="X33" s="1354"/>
      <c r="Y33" s="3691"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89"/>
      <c r="Q35" s="1351" t="str">
        <f t="shared" si="11"/>
        <v>建筑结构</v>
      </c>
      <c r="R35" s="705" t="s">
        <v>14</v>
      </c>
      <c r="S35" s="706">
        <f t="shared" si="12"/>
        <v>100</v>
      </c>
      <c r="T35" s="705" t="s">
        <v>14</v>
      </c>
      <c r="U35" s="706">
        <f t="shared" si="13"/>
        <v>100</v>
      </c>
      <c r="V35" s="705" t="s">
        <v>14</v>
      </c>
      <c r="W35" s="706">
        <f t="shared" si="14"/>
        <v>100</v>
      </c>
      <c r="X35" s="1354"/>
      <c r="Y35" s="3691"/>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89"/>
      <c r="Q36" s="1351" t="str">
        <f t="shared" si="11"/>
        <v>公共部分装修</v>
      </c>
      <c r="R36" s="705" t="s">
        <v>14</v>
      </c>
      <c r="S36" s="706">
        <f t="shared" si="12"/>
        <v>100</v>
      </c>
      <c r="T36" s="705" t="s">
        <v>14</v>
      </c>
      <c r="U36" s="706">
        <f t="shared" si="13"/>
        <v>100</v>
      </c>
      <c r="V36" s="705" t="s">
        <v>14</v>
      </c>
      <c r="W36" s="706">
        <f t="shared" si="14"/>
        <v>100</v>
      </c>
      <c r="X36" s="1354"/>
      <c r="Y36" s="3691"/>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89"/>
      <c r="Q37" s="1351" t="str">
        <f t="shared" si="11"/>
        <v>成新度</v>
      </c>
      <c r="R37" s="705" t="s">
        <v>14</v>
      </c>
      <c r="S37" s="706" t="e">
        <f t="shared" si="12"/>
        <v>#N/A</v>
      </c>
      <c r="T37" s="705" t="s">
        <v>14</v>
      </c>
      <c r="U37" s="706" t="e">
        <f t="shared" si="13"/>
        <v>#N/A</v>
      </c>
      <c r="V37" s="705" t="s">
        <v>14</v>
      </c>
      <c r="W37" s="706" t="e">
        <f t="shared" si="14"/>
        <v>#N/A</v>
      </c>
      <c r="X37" s="1354"/>
      <c r="Y37" s="3691"/>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89"/>
      <c r="Q38" s="1342"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89" t="s">
        <v>1696</v>
      </c>
      <c r="Q39" s="1351" t="str">
        <f t="shared" si="11"/>
        <v>物业管理</v>
      </c>
      <c r="R39" s="705" t="s">
        <v>14</v>
      </c>
      <c r="S39" s="706">
        <f t="shared" si="12"/>
        <v>100</v>
      </c>
      <c r="T39" s="705" t="s">
        <v>14</v>
      </c>
      <c r="U39" s="706">
        <f t="shared" si="13"/>
        <v>100</v>
      </c>
      <c r="V39" s="705" t="s">
        <v>14</v>
      </c>
      <c r="W39" s="706">
        <f t="shared" si="14"/>
        <v>100</v>
      </c>
      <c r="X39" s="1354"/>
      <c r="Y39" s="3691"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89"/>
      <c r="Q40" s="1351" t="str">
        <f t="shared" si="11"/>
        <v>市政基础设施</v>
      </c>
      <c r="R40" s="705" t="s">
        <v>14</v>
      </c>
      <c r="S40" s="706">
        <f t="shared" si="12"/>
        <v>100</v>
      </c>
      <c r="T40" s="705" t="s">
        <v>14</v>
      </c>
      <c r="U40" s="706">
        <f t="shared" si="13"/>
        <v>100</v>
      </c>
      <c r="V40" s="705" t="s">
        <v>14</v>
      </c>
      <c r="W40" s="706">
        <f t="shared" si="14"/>
        <v>100</v>
      </c>
      <c r="X40" s="1354"/>
      <c r="Y40" s="3691"/>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89"/>
      <c r="Q41" s="1351" t="str">
        <f t="shared" si="11"/>
        <v>层高</v>
      </c>
      <c r="R41" s="705" t="s">
        <v>14</v>
      </c>
      <c r="S41" s="706">
        <f t="shared" si="12"/>
        <v>100</v>
      </c>
      <c r="T41" s="705" t="s">
        <v>14</v>
      </c>
      <c r="U41" s="706">
        <f t="shared" si="13"/>
        <v>100</v>
      </c>
      <c r="V41" s="705" t="s">
        <v>14</v>
      </c>
      <c r="W41" s="706">
        <f t="shared" si="14"/>
        <v>100</v>
      </c>
      <c r="X41" s="1354"/>
      <c r="Y41" s="3691"/>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89"/>
      <c r="Q43" s="1351" t="str">
        <f t="shared" si="11"/>
        <v>内部装修</v>
      </c>
      <c r="R43" s="705" t="s">
        <v>14</v>
      </c>
      <c r="S43" s="706">
        <f t="shared" si="12"/>
        <v>100</v>
      </c>
      <c r="T43" s="705" t="s">
        <v>14</v>
      </c>
      <c r="U43" s="706">
        <f t="shared" si="13"/>
        <v>100</v>
      </c>
      <c r="V43" s="705" t="s">
        <v>14</v>
      </c>
      <c r="W43" s="706">
        <f t="shared" si="14"/>
        <v>100</v>
      </c>
      <c r="X43" s="1354"/>
      <c r="Y43" s="3691"/>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89"/>
      <c r="Q44" s="1351" t="str">
        <f t="shared" si="11"/>
        <v>内部装修维护情况</v>
      </c>
      <c r="R44" s="705" t="s">
        <v>14</v>
      </c>
      <c r="S44" s="706">
        <f t="shared" si="12"/>
        <v>100</v>
      </c>
      <c r="T44" s="705" t="s">
        <v>14</v>
      </c>
      <c r="U44" s="706">
        <f t="shared" si="13"/>
        <v>100</v>
      </c>
      <c r="V44" s="705" t="s">
        <v>14</v>
      </c>
      <c r="W44" s="706">
        <f t="shared" si="14"/>
        <v>100</v>
      </c>
      <c r="X44" s="1354"/>
      <c r="Y44" s="3691"/>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89"/>
      <c r="Q45" s="1342">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89"/>
      <c r="Q46" s="1351">
        <f t="shared" si="11"/>
        <v>111</v>
      </c>
      <c r="R46" s="705" t="s">
        <v>14</v>
      </c>
      <c r="S46" s="706">
        <f t="shared" si="12"/>
        <v>100</v>
      </c>
      <c r="T46" s="705" t="s">
        <v>14</v>
      </c>
      <c r="U46" s="706">
        <f t="shared" si="13"/>
        <v>100</v>
      </c>
      <c r="V46" s="705" t="s">
        <v>14</v>
      </c>
      <c r="W46" s="706">
        <f t="shared" si="14"/>
        <v>100</v>
      </c>
      <c r="X46" s="1354"/>
      <c r="Y46" s="3691"/>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90"/>
      <c r="Q47" s="1351">
        <f t="shared" si="11"/>
        <v>111</v>
      </c>
      <c r="R47" s="705" t="s">
        <v>14</v>
      </c>
      <c r="S47" s="706">
        <f t="shared" si="12"/>
        <v>100</v>
      </c>
      <c r="T47" s="705" t="s">
        <v>14</v>
      </c>
      <c r="U47" s="706">
        <f t="shared" si="13"/>
        <v>100</v>
      </c>
      <c r="V47" s="705" t="s">
        <v>14</v>
      </c>
      <c r="W47" s="706">
        <f t="shared" si="14"/>
        <v>100</v>
      </c>
      <c r="X47" s="1354"/>
      <c r="Y47" s="3692"/>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1"/>
      <c r="M48" s="2713"/>
      <c r="N48" s="2713"/>
      <c r="O48" s="2713"/>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1"/>
      <c r="M49" s="2713"/>
      <c r="N49" s="2713"/>
      <c r="O49" s="2713"/>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1"/>
      <c r="M50" s="2713"/>
      <c r="N50" s="2713"/>
      <c r="O50" s="2713"/>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2024-12</v>
      </c>
      <c r="D59" s="1184">
        <f>EDATE(C59,-1)</f>
        <v>45597</v>
      </c>
      <c r="E59" s="1184">
        <f>EDATE(D59,-1)</f>
        <v>45566</v>
      </c>
      <c r="F59" s="1184">
        <f t="shared" ref="F59:O59" si="16">EDATE(E59,-1)</f>
        <v>45536</v>
      </c>
      <c r="G59" s="1184">
        <f t="shared" si="16"/>
        <v>45505</v>
      </c>
      <c r="H59" s="1184">
        <f t="shared" si="16"/>
        <v>45474</v>
      </c>
      <c r="I59" s="1184">
        <f t="shared" si="16"/>
        <v>45444</v>
      </c>
      <c r="J59" s="1184">
        <f t="shared" si="16"/>
        <v>45413</v>
      </c>
      <c r="K59" s="1184">
        <f t="shared" si="16"/>
        <v>45383</v>
      </c>
      <c r="L59" s="1184">
        <f t="shared" si="16"/>
        <v>45352</v>
      </c>
      <c r="M59" s="1184">
        <f t="shared" si="16"/>
        <v>45323</v>
      </c>
      <c r="N59" s="1184">
        <f t="shared" si="16"/>
        <v>45292</v>
      </c>
      <c r="O59" s="1184">
        <f t="shared" si="16"/>
        <v>45261</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受贵公司委托，我公司对北京市通州区宋庄镇尹各庄村新建科研用地房地产抵押价值进行了预评估。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估价对象为北京市通州区宋庄镇尹各庄村新建科研用地房地产，为汇天网络所有。根据《国有土地使用证》[]，估价对象（分摊）出让国有建设用地使用权面积为20455.65平方米，建筑面积为59427.91平方米。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开发建设的，该项目尚在开发建设中。根据《国有土地使用证》[]，估价对象（分摊）出让国有建设用地使用权面积为20455.65平方米，规划建筑面积为59427.91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通州区宋庄镇尹各庄村新建科研用地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2024年12月5日（评估专业人员实地查勘之日）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5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本次评估采用的主估价方法为成本法和假设开发法。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59427.91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913"/>
      <c r="M5" s="914"/>
      <c r="N5" s="914"/>
      <c r="O5" s="914"/>
      <c r="P5" s="3705"/>
      <c r="Q5" s="3706"/>
      <c r="R5" s="3711"/>
      <c r="S5" s="3712"/>
      <c r="T5" s="3711"/>
      <c r="U5" s="3712"/>
      <c r="V5" s="3715"/>
      <c r="W5" s="3715"/>
      <c r="X5" s="1354"/>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913"/>
      <c r="M6" s="914"/>
      <c r="N6" s="914"/>
      <c r="O6" s="914"/>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45631</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84"/>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2"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84"/>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1" t="str">
        <f t="shared" si="6"/>
        <v>产业集聚程度</v>
      </c>
      <c r="R15" s="705" t="s">
        <v>14</v>
      </c>
      <c r="S15" s="706">
        <f t="shared" si="0"/>
        <v>100</v>
      </c>
      <c r="T15" s="705" t="s">
        <v>14</v>
      </c>
      <c r="U15" s="706">
        <f t="shared" si="1"/>
        <v>100</v>
      </c>
      <c r="V15" s="705" t="s">
        <v>14</v>
      </c>
      <c r="W15" s="706">
        <f t="shared" si="2"/>
        <v>100</v>
      </c>
      <c r="X15" s="1354"/>
      <c r="Y15" s="3686"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87"/>
      <c r="Q16" s="1351"/>
      <c r="R16" s="705"/>
      <c r="S16" s="706"/>
      <c r="T16" s="705"/>
      <c r="U16" s="706"/>
      <c r="V16" s="705"/>
      <c r="W16" s="706"/>
      <c r="X16" s="1354"/>
      <c r="Y16" s="3687"/>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87"/>
      <c r="Q18" s="1351"/>
      <c r="R18" s="705"/>
      <c r="S18" s="706"/>
      <c r="T18" s="705"/>
      <c r="U18" s="706"/>
      <c r="V18" s="705"/>
      <c r="W18" s="706"/>
      <c r="X18" s="1354"/>
      <c r="Y18" s="3687"/>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1" t="str">
        <f>B19</f>
        <v>公共配套设施</v>
      </c>
      <c r="R19" s="705" t="s">
        <v>14</v>
      </c>
      <c r="S19" s="706">
        <f>F19</f>
        <v>100</v>
      </c>
      <c r="T19" s="705" t="s">
        <v>14</v>
      </c>
      <c r="U19" s="706">
        <f>H19</f>
        <v>100</v>
      </c>
      <c r="V19" s="705" t="s">
        <v>14</v>
      </c>
      <c r="W19" s="706">
        <f>J19</f>
        <v>100</v>
      </c>
      <c r="X19" s="1354"/>
      <c r="Y19" s="3687"/>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87"/>
      <c r="Q20" s="1351"/>
      <c r="R20" s="705"/>
      <c r="S20" s="706"/>
      <c r="T20" s="705"/>
      <c r="U20" s="706"/>
      <c r="V20" s="705"/>
      <c r="W20" s="706"/>
      <c r="X20" s="1354"/>
      <c r="Y20" s="3687"/>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1" t="str">
        <f>B21</f>
        <v>基础设施水平</v>
      </c>
      <c r="R21" s="705" t="s">
        <v>14</v>
      </c>
      <c r="S21" s="706">
        <f>F21</f>
        <v>100</v>
      </c>
      <c r="T21" s="705" t="s">
        <v>14</v>
      </c>
      <c r="U21" s="706">
        <f>H21</f>
        <v>100</v>
      </c>
      <c r="V21" s="705" t="s">
        <v>14</v>
      </c>
      <c r="W21" s="706">
        <f>J21</f>
        <v>100</v>
      </c>
      <c r="X21" s="1354"/>
      <c r="Y21" s="3687"/>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87"/>
      <c r="Q22" s="1351"/>
      <c r="R22" s="705"/>
      <c r="S22" s="706"/>
      <c r="T22" s="705"/>
      <c r="U22" s="706"/>
      <c r="V22" s="705"/>
      <c r="W22" s="706"/>
      <c r="X22" s="1354"/>
      <c r="Y22" s="3687"/>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1" t="str">
        <f>B23</f>
        <v>环境质量</v>
      </c>
      <c r="R23" s="705" t="s">
        <v>14</v>
      </c>
      <c r="S23" s="706">
        <f>F23</f>
        <v>100</v>
      </c>
      <c r="T23" s="705" t="s">
        <v>14</v>
      </c>
      <c r="U23" s="706">
        <f>H23</f>
        <v>100</v>
      </c>
      <c r="V23" s="705" t="s">
        <v>14</v>
      </c>
      <c r="W23" s="706">
        <f>J23</f>
        <v>100</v>
      </c>
      <c r="X23" s="1354"/>
      <c r="Y23" s="3687"/>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87"/>
      <c r="Q24" s="1351"/>
      <c r="R24" s="705"/>
      <c r="S24" s="706"/>
      <c r="T24" s="705"/>
      <c r="U24" s="706"/>
      <c r="V24" s="705"/>
      <c r="W24" s="706"/>
      <c r="X24" s="1354"/>
      <c r="Y24" s="3687"/>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1">
        <f>B25</f>
        <v>111</v>
      </c>
      <c r="R25" s="705" t="s">
        <v>14</v>
      </c>
      <c r="S25" s="706">
        <f>F25</f>
        <v>100</v>
      </c>
      <c r="T25" s="705" t="s">
        <v>14</v>
      </c>
      <c r="U25" s="706">
        <f>H25</f>
        <v>100</v>
      </c>
      <c r="V25" s="705" t="s">
        <v>14</v>
      </c>
      <c r="W25" s="706">
        <f>J25</f>
        <v>100</v>
      </c>
      <c r="X25" s="1354"/>
      <c r="Y25" s="3687"/>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1">
        <f t="shared" ref="Q26:Q40" si="11">B26</f>
        <v>111</v>
      </c>
      <c r="R26" s="705" t="s">
        <v>14</v>
      </c>
      <c r="S26" s="706">
        <f>F26</f>
        <v>100</v>
      </c>
      <c r="T26" s="705" t="s">
        <v>14</v>
      </c>
      <c r="U26" s="706">
        <f>H26</f>
        <v>100</v>
      </c>
      <c r="V26" s="705" t="s">
        <v>14</v>
      </c>
      <c r="W26" s="706">
        <f>J26</f>
        <v>100</v>
      </c>
      <c r="X26" s="1354"/>
      <c r="Y26" s="3687"/>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2">
        <f t="shared" si="11"/>
        <v>111</v>
      </c>
      <c r="R27" s="701" t="s">
        <v>14</v>
      </c>
      <c r="S27" s="702">
        <f>F27</f>
        <v>100</v>
      </c>
      <c r="T27" s="701" t="s">
        <v>14</v>
      </c>
      <c r="U27" s="702">
        <f>H27</f>
        <v>100</v>
      </c>
      <c r="V27" s="701" t="s">
        <v>14</v>
      </c>
      <c r="W27" s="702">
        <f>J27</f>
        <v>100</v>
      </c>
      <c r="X27" s="703"/>
      <c r="Y27" s="3687"/>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1">
        <f t="shared" si="11"/>
        <v>111</v>
      </c>
      <c r="R28" s="705" t="s">
        <v>14</v>
      </c>
      <c r="S28" s="706">
        <f t="shared" ref="S28:S40" si="12">F28</f>
        <v>100</v>
      </c>
      <c r="T28" s="705" t="s">
        <v>14</v>
      </c>
      <c r="U28" s="706">
        <f t="shared" ref="U28:U40" si="13">H28</f>
        <v>100</v>
      </c>
      <c r="V28" s="705" t="s">
        <v>14</v>
      </c>
      <c r="W28" s="706">
        <f t="shared" ref="W28:W40" si="14">J28</f>
        <v>100</v>
      </c>
      <c r="X28" s="1354"/>
      <c r="Y28" s="3687"/>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2" t="s">
        <v>1696</v>
      </c>
      <c r="Q29" s="1351" t="str">
        <f t="shared" si="11"/>
        <v>建筑类型</v>
      </c>
      <c r="R29" s="705" t="s">
        <v>14</v>
      </c>
      <c r="S29" s="706">
        <f t="shared" si="12"/>
        <v>100</v>
      </c>
      <c r="T29" s="705" t="s">
        <v>14</v>
      </c>
      <c r="U29" s="706">
        <f t="shared" si="13"/>
        <v>100</v>
      </c>
      <c r="V29" s="705" t="s">
        <v>14</v>
      </c>
      <c r="W29" s="706">
        <f t="shared" si="14"/>
        <v>100</v>
      </c>
      <c r="X29" s="1354"/>
      <c r="Y29" s="3691"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1" t="str">
        <f t="shared" si="11"/>
        <v>建筑结构</v>
      </c>
      <c r="R31" s="705" t="s">
        <v>14</v>
      </c>
      <c r="S31" s="706">
        <f t="shared" si="12"/>
        <v>100</v>
      </c>
      <c r="T31" s="705" t="s">
        <v>14</v>
      </c>
      <c r="U31" s="706">
        <f t="shared" si="13"/>
        <v>100</v>
      </c>
      <c r="V31" s="705" t="s">
        <v>14</v>
      </c>
      <c r="W31" s="706">
        <f t="shared" si="14"/>
        <v>100</v>
      </c>
      <c r="X31" s="1354"/>
      <c r="Y31" s="3691"/>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1" t="str">
        <f t="shared" si="11"/>
        <v>公共部分装修</v>
      </c>
      <c r="R32" s="705" t="s">
        <v>14</v>
      </c>
      <c r="S32" s="706">
        <f t="shared" si="12"/>
        <v>100</v>
      </c>
      <c r="T32" s="705" t="s">
        <v>14</v>
      </c>
      <c r="U32" s="706">
        <f t="shared" si="13"/>
        <v>100</v>
      </c>
      <c r="V32" s="705" t="s">
        <v>14</v>
      </c>
      <c r="W32" s="706">
        <f t="shared" si="14"/>
        <v>100</v>
      </c>
      <c r="X32" s="1354"/>
      <c r="Y32" s="3691"/>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1" t="str">
        <f t="shared" si="11"/>
        <v>成新度</v>
      </c>
      <c r="R33" s="705" t="s">
        <v>14</v>
      </c>
      <c r="S33" s="706" t="e">
        <f t="shared" si="12"/>
        <v>#N/A</v>
      </c>
      <c r="T33" s="705" t="s">
        <v>14</v>
      </c>
      <c r="U33" s="706" t="e">
        <f t="shared" si="13"/>
        <v>#N/A</v>
      </c>
      <c r="V33" s="705" t="s">
        <v>14</v>
      </c>
      <c r="W33" s="706" t="e">
        <f t="shared" si="14"/>
        <v>#N/A</v>
      </c>
      <c r="X33" s="1354"/>
      <c r="Y33" s="3691"/>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2"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1" t="str">
        <f t="shared" si="11"/>
        <v>市政基础设施</v>
      </c>
      <c r="R35" s="705" t="s">
        <v>14</v>
      </c>
      <c r="S35" s="706">
        <f t="shared" si="12"/>
        <v>100</v>
      </c>
      <c r="T35" s="705" t="s">
        <v>14</v>
      </c>
      <c r="U35" s="706">
        <f t="shared" si="13"/>
        <v>100</v>
      </c>
      <c r="V35" s="705" t="s">
        <v>14</v>
      </c>
      <c r="W35" s="706">
        <f t="shared" si="14"/>
        <v>100</v>
      </c>
      <c r="X35" s="1354"/>
      <c r="Y35" s="3691"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1" t="str">
        <f t="shared" si="11"/>
        <v>内部装修</v>
      </c>
      <c r="R36" s="705" t="s">
        <v>14</v>
      </c>
      <c r="S36" s="706">
        <f t="shared" si="12"/>
        <v>100</v>
      </c>
      <c r="T36" s="705" t="s">
        <v>14</v>
      </c>
      <c r="U36" s="706">
        <f t="shared" si="13"/>
        <v>100</v>
      </c>
      <c r="V36" s="705" t="s">
        <v>14</v>
      </c>
      <c r="W36" s="706">
        <f t="shared" si="14"/>
        <v>100</v>
      </c>
      <c r="X36" s="1354"/>
      <c r="Y36" s="3691"/>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1" t="str">
        <f t="shared" si="11"/>
        <v>内部装修状况</v>
      </c>
      <c r="R37" s="705" t="s">
        <v>14</v>
      </c>
      <c r="S37" s="706">
        <f t="shared" si="12"/>
        <v>100</v>
      </c>
      <c r="T37" s="705" t="s">
        <v>14</v>
      </c>
      <c r="U37" s="706">
        <f t="shared" si="13"/>
        <v>100</v>
      </c>
      <c r="V37" s="705" t="s">
        <v>14</v>
      </c>
      <c r="W37" s="706">
        <f t="shared" si="14"/>
        <v>100</v>
      </c>
      <c r="X37" s="1354"/>
      <c r="Y37" s="3691"/>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1">
        <f t="shared" si="11"/>
        <v>111</v>
      </c>
      <c r="R39" s="705" t="s">
        <v>14</v>
      </c>
      <c r="S39" s="706">
        <f t="shared" si="12"/>
        <v>100</v>
      </c>
      <c r="T39" s="705" t="s">
        <v>14</v>
      </c>
      <c r="U39" s="706">
        <f t="shared" si="13"/>
        <v>100</v>
      </c>
      <c r="V39" s="705" t="s">
        <v>14</v>
      </c>
      <c r="W39" s="706">
        <f t="shared" si="14"/>
        <v>100</v>
      </c>
      <c r="X39" s="1354"/>
      <c r="Y39" s="3691"/>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1">
        <f t="shared" si="11"/>
        <v>111</v>
      </c>
      <c r="R40" s="705" t="s">
        <v>14</v>
      </c>
      <c r="S40" s="706">
        <f t="shared" si="12"/>
        <v>100</v>
      </c>
      <c r="T40" s="705" t="s">
        <v>14</v>
      </c>
      <c r="U40" s="706">
        <f t="shared" si="13"/>
        <v>100</v>
      </c>
      <c r="V40" s="705" t="s">
        <v>14</v>
      </c>
      <c r="W40" s="706">
        <f t="shared" si="14"/>
        <v>100</v>
      </c>
      <c r="X40" s="1354"/>
      <c r="Y40" s="3692"/>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2024-12</v>
      </c>
      <c r="D52" s="1184">
        <f>EDATE(C52,-1)</f>
        <v>45597</v>
      </c>
      <c r="E52" s="1184">
        <f t="shared" ref="E52:O52" si="16">EDATE(D52,-1)</f>
        <v>45566</v>
      </c>
      <c r="F52" s="1184">
        <f t="shared" si="16"/>
        <v>45536</v>
      </c>
      <c r="G52" s="1184">
        <f t="shared" si="16"/>
        <v>45505</v>
      </c>
      <c r="H52" s="1184">
        <f t="shared" si="16"/>
        <v>45474</v>
      </c>
      <c r="I52" s="1184">
        <f t="shared" si="16"/>
        <v>45444</v>
      </c>
      <c r="J52" s="1184">
        <f t="shared" si="16"/>
        <v>45413</v>
      </c>
      <c r="K52" s="1184">
        <f t="shared" si="16"/>
        <v>45383</v>
      </c>
      <c r="L52" s="1184">
        <f t="shared" si="16"/>
        <v>45352</v>
      </c>
      <c r="M52" s="1184">
        <f t="shared" si="16"/>
        <v>45323</v>
      </c>
      <c r="N52" s="1184">
        <f t="shared" si="16"/>
        <v>45292</v>
      </c>
      <c r="O52" s="1184">
        <f t="shared" si="16"/>
        <v>45261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4"/>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2"/>
      <c r="M4" s="2713"/>
      <c r="N4" s="2713"/>
      <c r="O4" s="2713"/>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2"/>
      <c r="M5" s="2713"/>
      <c r="N5" s="2713"/>
      <c r="O5" s="2713"/>
      <c r="P5" s="3705"/>
      <c r="Q5" s="3706"/>
      <c r="R5" s="3711"/>
      <c r="S5" s="3712"/>
      <c r="T5" s="3711"/>
      <c r="U5" s="3712"/>
      <c r="V5" s="3715"/>
      <c r="W5" s="3715"/>
      <c r="X5" s="1354"/>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2"/>
      <c r="M6" s="2713"/>
      <c r="N6" s="2713"/>
      <c r="O6" s="2713"/>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45631</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84" t="s">
        <v>1686</v>
      </c>
      <c r="Q9" s="1342"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84"/>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84"/>
      <c r="Q11" s="1342">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86" t="s">
        <v>1691</v>
      </c>
      <c r="Q14" s="1351" t="str">
        <f t="shared" si="6"/>
        <v>交通便捷度</v>
      </c>
      <c r="R14" s="705" t="s">
        <v>14</v>
      </c>
      <c r="S14" s="706">
        <f t="shared" si="0"/>
        <v>100</v>
      </c>
      <c r="T14" s="705" t="s">
        <v>14</v>
      </c>
      <c r="U14" s="706">
        <f t="shared" si="1"/>
        <v>100</v>
      </c>
      <c r="V14" s="705" t="s">
        <v>14</v>
      </c>
      <c r="W14" s="706">
        <f t="shared" si="2"/>
        <v>100</v>
      </c>
      <c r="X14" s="1354"/>
      <c r="Y14" s="3686"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87"/>
      <c r="Q15" s="1351"/>
      <c r="R15" s="705"/>
      <c r="S15" s="706"/>
      <c r="T15" s="705"/>
      <c r="U15" s="706"/>
      <c r="V15" s="705"/>
      <c r="W15" s="706"/>
      <c r="X15" s="1354"/>
      <c r="Y15" s="3687"/>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87"/>
      <c r="Q16" s="1351" t="str">
        <f>B16</f>
        <v>公共配套设施</v>
      </c>
      <c r="R16" s="705" t="s">
        <v>14</v>
      </c>
      <c r="S16" s="706">
        <f>F16</f>
        <v>100</v>
      </c>
      <c r="T16" s="705" t="s">
        <v>14</v>
      </c>
      <c r="U16" s="706">
        <f>H16</f>
        <v>100</v>
      </c>
      <c r="V16" s="705" t="s">
        <v>14</v>
      </c>
      <c r="W16" s="706">
        <f>J16</f>
        <v>100</v>
      </c>
      <c r="X16" s="1354"/>
      <c r="Y16" s="3687"/>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87"/>
      <c r="Q17" s="1351"/>
      <c r="R17" s="705"/>
      <c r="S17" s="706"/>
      <c r="T17" s="705"/>
      <c r="U17" s="706"/>
      <c r="V17" s="705"/>
      <c r="W17" s="706"/>
      <c r="X17" s="1354"/>
      <c r="Y17" s="3687"/>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87"/>
      <c r="Q18" s="1351" t="str">
        <f>B18</f>
        <v>基础设施水平</v>
      </c>
      <c r="R18" s="705" t="s">
        <v>14</v>
      </c>
      <c r="S18" s="706">
        <f>F18</f>
        <v>100</v>
      </c>
      <c r="T18" s="705" t="s">
        <v>14</v>
      </c>
      <c r="U18" s="706">
        <f>H18</f>
        <v>100</v>
      </c>
      <c r="V18" s="705" t="s">
        <v>14</v>
      </c>
      <c r="W18" s="706">
        <f>J18</f>
        <v>100</v>
      </c>
      <c r="X18" s="1354"/>
      <c r="Y18" s="3687"/>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687"/>
      <c r="Q19" s="1351"/>
      <c r="R19" s="705"/>
      <c r="S19" s="706"/>
      <c r="T19" s="705"/>
      <c r="U19" s="706"/>
      <c r="V19" s="705"/>
      <c r="W19" s="706"/>
      <c r="X19" s="1354"/>
      <c r="Y19" s="3687"/>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87"/>
      <c r="Q20" s="1351" t="str">
        <f>B20</f>
        <v>自然及人文环境</v>
      </c>
      <c r="R20" s="705" t="s">
        <v>14</v>
      </c>
      <c r="S20" s="706">
        <f>F20</f>
        <v>100</v>
      </c>
      <c r="T20" s="705" t="s">
        <v>14</v>
      </c>
      <c r="U20" s="706">
        <f>H20</f>
        <v>100</v>
      </c>
      <c r="V20" s="705" t="s">
        <v>14</v>
      </c>
      <c r="W20" s="706">
        <f>J20</f>
        <v>100</v>
      </c>
      <c r="X20" s="1354"/>
      <c r="Y20" s="3687"/>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87"/>
      <c r="Q21" s="1351"/>
      <c r="R21" s="705"/>
      <c r="S21" s="706"/>
      <c r="T21" s="705"/>
      <c r="U21" s="706"/>
      <c r="V21" s="705"/>
      <c r="W21" s="706"/>
      <c r="X21" s="1354"/>
      <c r="Y21" s="3687"/>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87"/>
      <c r="Q22" s="1351" t="str">
        <f>B22</f>
        <v>楼层</v>
      </c>
      <c r="R22" s="705" t="s">
        <v>14</v>
      </c>
      <c r="S22" s="706">
        <f>F22</f>
        <v>100</v>
      </c>
      <c r="T22" s="705" t="s">
        <v>14</v>
      </c>
      <c r="U22" s="706">
        <f>H22</f>
        <v>100</v>
      </c>
      <c r="V22" s="705" t="s">
        <v>14</v>
      </c>
      <c r="W22" s="706">
        <f>J22</f>
        <v>100</v>
      </c>
      <c r="X22" s="1354"/>
      <c r="Y22" s="3687"/>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87"/>
      <c r="Q23" s="1351">
        <f>B23</f>
        <v>111</v>
      </c>
      <c r="R23" s="705" t="s">
        <v>14</v>
      </c>
      <c r="S23" s="706">
        <f>F23</f>
        <v>100</v>
      </c>
      <c r="T23" s="705" t="s">
        <v>14</v>
      </c>
      <c r="U23" s="706">
        <f>H23</f>
        <v>100</v>
      </c>
      <c r="V23" s="705" t="s">
        <v>14</v>
      </c>
      <c r="W23" s="706">
        <f>J23</f>
        <v>100</v>
      </c>
      <c r="X23" s="1354"/>
      <c r="Y23" s="3687"/>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87"/>
      <c r="Q24" s="1351">
        <f t="shared" ref="Q24:Q36" si="11">B24</f>
        <v>111</v>
      </c>
      <c r="R24" s="705" t="s">
        <v>14</v>
      </c>
      <c r="S24" s="706">
        <f>F24</f>
        <v>100</v>
      </c>
      <c r="T24" s="705" t="s">
        <v>14</v>
      </c>
      <c r="U24" s="706">
        <f>H24</f>
        <v>100</v>
      </c>
      <c r="V24" s="705" t="s">
        <v>14</v>
      </c>
      <c r="W24" s="706">
        <f>J24</f>
        <v>100</v>
      </c>
      <c r="X24" s="1354"/>
      <c r="Y24" s="3687"/>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87"/>
      <c r="Q25" s="1342">
        <f t="shared" si="11"/>
        <v>111</v>
      </c>
      <c r="R25" s="701" t="s">
        <v>14</v>
      </c>
      <c r="S25" s="702">
        <f>F25</f>
        <v>100</v>
      </c>
      <c r="T25" s="701" t="s">
        <v>14</v>
      </c>
      <c r="U25" s="702">
        <f>H25</f>
        <v>100</v>
      </c>
      <c r="V25" s="701" t="s">
        <v>14</v>
      </c>
      <c r="W25" s="702">
        <f>J25</f>
        <v>100</v>
      </c>
      <c r="X25" s="703"/>
      <c r="Y25" s="3687"/>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91"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91"/>
      <c r="Q28" s="1351" t="str">
        <f t="shared" si="11"/>
        <v>公共部分装修</v>
      </c>
      <c r="R28" s="705" t="s">
        <v>14</v>
      </c>
      <c r="S28" s="706">
        <f t="shared" si="12"/>
        <v>100</v>
      </c>
      <c r="T28" s="705" t="s">
        <v>14</v>
      </c>
      <c r="U28" s="706">
        <f t="shared" si="13"/>
        <v>100</v>
      </c>
      <c r="V28" s="705" t="s">
        <v>14</v>
      </c>
      <c r="W28" s="706">
        <f t="shared" si="14"/>
        <v>100</v>
      </c>
      <c r="X28" s="1354"/>
      <c r="Y28" s="3691"/>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91"/>
      <c r="Q29" s="1351" t="str">
        <f t="shared" si="11"/>
        <v>成新率</v>
      </c>
      <c r="R29" s="705" t="s">
        <v>14</v>
      </c>
      <c r="S29" s="706" t="e">
        <f t="shared" si="12"/>
        <v>#N/A</v>
      </c>
      <c r="T29" s="705" t="s">
        <v>14</v>
      </c>
      <c r="U29" s="706" t="e">
        <f t="shared" si="13"/>
        <v>#N/A</v>
      </c>
      <c r="V29" s="705" t="s">
        <v>14</v>
      </c>
      <c r="W29" s="706" t="e">
        <f t="shared" si="14"/>
        <v>#N/A</v>
      </c>
      <c r="X29" s="1354"/>
      <c r="Y29" s="3691"/>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91"/>
      <c r="Q30" s="1351" t="str">
        <f t="shared" si="11"/>
        <v>物业等级</v>
      </c>
      <c r="R30" s="705" t="s">
        <v>14</v>
      </c>
      <c r="S30" s="706">
        <f t="shared" si="12"/>
        <v>100</v>
      </c>
      <c r="T30" s="705" t="s">
        <v>14</v>
      </c>
      <c r="U30" s="706">
        <f t="shared" si="13"/>
        <v>100</v>
      </c>
      <c r="V30" s="705" t="s">
        <v>14</v>
      </c>
      <c r="W30" s="706">
        <f t="shared" si="14"/>
        <v>100</v>
      </c>
      <c r="X30" s="1354"/>
      <c r="Y30" s="3691"/>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91"/>
      <c r="Q31" s="1342"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91" t="s">
        <v>1696</v>
      </c>
      <c r="Q32" s="1351" t="str">
        <f t="shared" si="11"/>
        <v>车位类型</v>
      </c>
      <c r="R32" s="705" t="s">
        <v>14</v>
      </c>
      <c r="S32" s="706">
        <f t="shared" si="12"/>
        <v>100</v>
      </c>
      <c r="T32" s="705" t="s">
        <v>14</v>
      </c>
      <c r="U32" s="706">
        <f t="shared" si="13"/>
        <v>100</v>
      </c>
      <c r="V32" s="705" t="s">
        <v>14</v>
      </c>
      <c r="W32" s="706">
        <f t="shared" si="14"/>
        <v>100</v>
      </c>
      <c r="X32" s="1354"/>
      <c r="Y32" s="3691"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91"/>
      <c r="Q33" s="1351" t="str">
        <f t="shared" si="11"/>
        <v>是否直接入户</v>
      </c>
      <c r="R33" s="705" t="s">
        <v>14</v>
      </c>
      <c r="S33" s="706">
        <f t="shared" si="12"/>
        <v>100</v>
      </c>
      <c r="T33" s="705" t="s">
        <v>14</v>
      </c>
      <c r="U33" s="706">
        <f t="shared" si="13"/>
        <v>100</v>
      </c>
      <c r="V33" s="705" t="s">
        <v>14</v>
      </c>
      <c r="W33" s="706">
        <f t="shared" si="14"/>
        <v>100</v>
      </c>
      <c r="X33" s="1354"/>
      <c r="Y33" s="3691"/>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91"/>
      <c r="Q34" s="1351">
        <f t="shared" si="11"/>
        <v>111</v>
      </c>
      <c r="R34" s="705" t="s">
        <v>14</v>
      </c>
      <c r="S34" s="706">
        <f t="shared" si="12"/>
        <v>100</v>
      </c>
      <c r="T34" s="705" t="s">
        <v>14</v>
      </c>
      <c r="U34" s="706">
        <f t="shared" si="13"/>
        <v>100</v>
      </c>
      <c r="V34" s="705" t="s">
        <v>14</v>
      </c>
      <c r="W34" s="706">
        <f t="shared" si="14"/>
        <v>100</v>
      </c>
      <c r="X34" s="1354"/>
      <c r="Y34" s="3691"/>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91"/>
      <c r="Q36" s="1351">
        <f t="shared" si="11"/>
        <v>111</v>
      </c>
      <c r="R36" s="705" t="s">
        <v>14</v>
      </c>
      <c r="S36" s="706">
        <f t="shared" si="12"/>
        <v>100</v>
      </c>
      <c r="T36" s="705" t="s">
        <v>14</v>
      </c>
      <c r="U36" s="706">
        <f t="shared" si="13"/>
        <v>100</v>
      </c>
      <c r="V36" s="705" t="s">
        <v>14</v>
      </c>
      <c r="W36" s="706">
        <f t="shared" si="14"/>
        <v>100</v>
      </c>
      <c r="X36" s="1354"/>
      <c r="Y36" s="3691"/>
      <c r="Z36" s="1355">
        <f t="shared" si="15"/>
        <v>111</v>
      </c>
      <c r="AA36" s="1352">
        <f t="shared" si="3"/>
        <v>1</v>
      </c>
      <c r="AB36" s="1352">
        <f t="shared" si="4"/>
        <v>1</v>
      </c>
      <c r="AC36" s="1352">
        <f t="shared" si="5"/>
        <v>1</v>
      </c>
    </row>
    <row r="37" spans="1:29" ht="15">
      <c r="A37" s="430" t="s">
        <v>1844</v>
      </c>
      <c r="B37" s="1972" t="s">
        <v>3355</v>
      </c>
      <c r="C37" s="1153" t="s">
        <v>0</v>
      </c>
      <c r="D37" s="1154"/>
      <c r="E37" s="1155"/>
      <c r="F37" s="1156"/>
      <c r="G37" s="1157"/>
      <c r="H37" s="1158"/>
      <c r="I37" s="1155"/>
      <c r="J37" s="1158"/>
      <c r="K37" s="568"/>
      <c r="L37" s="2721"/>
      <c r="M37" s="2722"/>
      <c r="N37" s="2713"/>
      <c r="O37" s="2722"/>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1"/>
      <c r="M38" s="2722"/>
      <c r="N38" s="2722"/>
      <c r="O38" s="2722"/>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1"/>
      <c r="M39" s="2722"/>
      <c r="N39" s="2722"/>
      <c r="O39" s="2722"/>
      <c r="P39" s="3681" t="str">
        <f>A39</f>
        <v>估价对象XX用房的比较价值（楼面单价，元/平方米）</v>
      </c>
      <c r="Q39" s="3682"/>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7"/>
      <c r="C47" s="940"/>
      <c r="D47" s="940"/>
      <c r="E47" s="940"/>
      <c r="F47" s="1166"/>
      <c r="G47" s="1166"/>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2024-12</v>
      </c>
      <c r="D48" s="1184">
        <f>EDATE(C48,-1)</f>
        <v>45597</v>
      </c>
      <c r="E48" s="1184">
        <f t="shared" ref="E48:O48" si="16">EDATE(D48,-1)</f>
        <v>45566</v>
      </c>
      <c r="F48" s="1184">
        <f t="shared" si="16"/>
        <v>45536</v>
      </c>
      <c r="G48" s="1184">
        <f t="shared" si="16"/>
        <v>45505</v>
      </c>
      <c r="H48" s="1184">
        <f t="shared" si="16"/>
        <v>45474</v>
      </c>
      <c r="I48" s="1184">
        <f t="shared" si="16"/>
        <v>45444</v>
      </c>
      <c r="J48" s="1184">
        <f t="shared" si="16"/>
        <v>45413</v>
      </c>
      <c r="K48" s="1184">
        <f t="shared" si="16"/>
        <v>45383</v>
      </c>
      <c r="L48" s="1184">
        <f t="shared" si="16"/>
        <v>45352</v>
      </c>
      <c r="M48" s="1184">
        <f t="shared" si="16"/>
        <v>45323</v>
      </c>
      <c r="N48" s="1184">
        <f t="shared" si="16"/>
        <v>45292</v>
      </c>
      <c r="O48" s="1184">
        <f t="shared" si="16"/>
        <v>45261</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2"/>
      <c r="M4" s="2713"/>
      <c r="N4" s="2713"/>
      <c r="O4" s="2713"/>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2"/>
      <c r="M5" s="2713"/>
      <c r="N5" s="2713"/>
      <c r="O5" s="2713"/>
      <c r="P5" s="3705"/>
      <c r="Q5" s="3706"/>
      <c r="R5" s="3711"/>
      <c r="S5" s="3712"/>
      <c r="T5" s="3711"/>
      <c r="U5" s="3712"/>
      <c r="V5" s="3715"/>
      <c r="W5" s="3715"/>
      <c r="X5" s="1354"/>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2"/>
      <c r="M6" s="2713"/>
      <c r="N6" s="2713"/>
      <c r="O6" s="2713"/>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45631</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84" t="s">
        <v>1686</v>
      </c>
      <c r="Q9" s="1342"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84"/>
      <c r="Q10" s="1342"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84"/>
      <c r="Q11" s="1342">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86" t="s">
        <v>1691</v>
      </c>
      <c r="Q14" s="1351" t="str">
        <f t="shared" si="6"/>
        <v>交通便捷度</v>
      </c>
      <c r="R14" s="705" t="s">
        <v>14</v>
      </c>
      <c r="S14" s="706">
        <f t="shared" si="0"/>
        <v>100</v>
      </c>
      <c r="T14" s="705" t="s">
        <v>14</v>
      </c>
      <c r="U14" s="706">
        <f t="shared" si="1"/>
        <v>100</v>
      </c>
      <c r="V14" s="705" t="s">
        <v>14</v>
      </c>
      <c r="W14" s="706">
        <f t="shared" si="2"/>
        <v>100</v>
      </c>
      <c r="X14" s="1354"/>
      <c r="Y14" s="3686"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87"/>
      <c r="Q15" s="1351"/>
      <c r="R15" s="705"/>
      <c r="S15" s="706"/>
      <c r="T15" s="705"/>
      <c r="U15" s="706"/>
      <c r="V15" s="705"/>
      <c r="W15" s="706"/>
      <c r="X15" s="1354"/>
      <c r="Y15" s="3687"/>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87"/>
      <c r="Q16" s="1351" t="str">
        <f>B16</f>
        <v>公共配套设施</v>
      </c>
      <c r="R16" s="705" t="s">
        <v>14</v>
      </c>
      <c r="S16" s="706">
        <f>F16</f>
        <v>100</v>
      </c>
      <c r="T16" s="705" t="s">
        <v>14</v>
      </c>
      <c r="U16" s="706">
        <f>H16</f>
        <v>100</v>
      </c>
      <c r="V16" s="705" t="s">
        <v>14</v>
      </c>
      <c r="W16" s="706">
        <f>J16</f>
        <v>100</v>
      </c>
      <c r="X16" s="1354"/>
      <c r="Y16" s="3687"/>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87"/>
      <c r="Q17" s="1351"/>
      <c r="R17" s="705"/>
      <c r="S17" s="706"/>
      <c r="T17" s="705"/>
      <c r="U17" s="706"/>
      <c r="V17" s="705"/>
      <c r="W17" s="706"/>
      <c r="X17" s="1354"/>
      <c r="Y17" s="3687"/>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87"/>
      <c r="Q18" s="1351" t="str">
        <f>B18</f>
        <v>基础设施水平</v>
      </c>
      <c r="R18" s="705" t="s">
        <v>14</v>
      </c>
      <c r="S18" s="706">
        <f>F18</f>
        <v>100</v>
      </c>
      <c r="T18" s="705" t="s">
        <v>14</v>
      </c>
      <c r="U18" s="706">
        <f>H18</f>
        <v>100</v>
      </c>
      <c r="V18" s="705" t="s">
        <v>14</v>
      </c>
      <c r="W18" s="706">
        <f>J18</f>
        <v>100</v>
      </c>
      <c r="X18" s="1354"/>
      <c r="Y18" s="3687"/>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687"/>
      <c r="Q19" s="1351"/>
      <c r="R19" s="705"/>
      <c r="S19" s="706"/>
      <c r="T19" s="705"/>
      <c r="U19" s="706"/>
      <c r="V19" s="705"/>
      <c r="W19" s="706"/>
      <c r="X19" s="1354"/>
      <c r="Y19" s="3687"/>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87"/>
      <c r="Q20" s="1351" t="str">
        <f>B20</f>
        <v>自然及人文环境</v>
      </c>
      <c r="R20" s="705" t="s">
        <v>14</v>
      </c>
      <c r="S20" s="706">
        <f>F20</f>
        <v>100</v>
      </c>
      <c r="T20" s="705" t="s">
        <v>14</v>
      </c>
      <c r="U20" s="706">
        <f>H20</f>
        <v>100</v>
      </c>
      <c r="V20" s="705" t="s">
        <v>14</v>
      </c>
      <c r="W20" s="706">
        <f>J20</f>
        <v>100</v>
      </c>
      <c r="X20" s="1354"/>
      <c r="Y20" s="3687"/>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87"/>
      <c r="Q21" s="1351"/>
      <c r="R21" s="705"/>
      <c r="S21" s="706"/>
      <c r="T21" s="705"/>
      <c r="U21" s="706"/>
      <c r="V21" s="705"/>
      <c r="W21" s="706"/>
      <c r="X21" s="1354"/>
      <c r="Y21" s="3687"/>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87"/>
      <c r="Q22" s="1351" t="str">
        <f>B22</f>
        <v>楼层</v>
      </c>
      <c r="R22" s="705" t="s">
        <v>14</v>
      </c>
      <c r="S22" s="706">
        <f>F22</f>
        <v>100</v>
      </c>
      <c r="T22" s="705" t="s">
        <v>14</v>
      </c>
      <c r="U22" s="706">
        <f>H22</f>
        <v>100</v>
      </c>
      <c r="V22" s="705" t="s">
        <v>14</v>
      </c>
      <c r="W22" s="706">
        <f>J22</f>
        <v>100</v>
      </c>
      <c r="X22" s="1354"/>
      <c r="Y22" s="3687"/>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87"/>
      <c r="Q23" s="1351">
        <f>B23</f>
        <v>111</v>
      </c>
      <c r="R23" s="705" t="s">
        <v>14</v>
      </c>
      <c r="S23" s="706">
        <f>F23</f>
        <v>100</v>
      </c>
      <c r="T23" s="705" t="s">
        <v>14</v>
      </c>
      <c r="U23" s="706">
        <f>H23</f>
        <v>100</v>
      </c>
      <c r="V23" s="705" t="s">
        <v>14</v>
      </c>
      <c r="W23" s="706">
        <f>J23</f>
        <v>100</v>
      </c>
      <c r="X23" s="1354"/>
      <c r="Y23" s="3687"/>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87"/>
      <c r="Q24" s="1351">
        <f t="shared" ref="Q24:Q34" si="11">B24</f>
        <v>111</v>
      </c>
      <c r="R24" s="705" t="s">
        <v>14</v>
      </c>
      <c r="S24" s="706">
        <f>F24</f>
        <v>100</v>
      </c>
      <c r="T24" s="705" t="s">
        <v>14</v>
      </c>
      <c r="U24" s="706">
        <f>H24</f>
        <v>100</v>
      </c>
      <c r="V24" s="705" t="s">
        <v>14</v>
      </c>
      <c r="W24" s="706">
        <f>J24</f>
        <v>100</v>
      </c>
      <c r="X24" s="1354"/>
      <c r="Y24" s="3687"/>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687"/>
      <c r="Q25" s="1342">
        <f t="shared" si="11"/>
        <v>111</v>
      </c>
      <c r="R25" s="701" t="s">
        <v>14</v>
      </c>
      <c r="S25" s="702">
        <f>F25</f>
        <v>100</v>
      </c>
      <c r="T25" s="701" t="s">
        <v>14</v>
      </c>
      <c r="U25" s="702">
        <f>H25</f>
        <v>100</v>
      </c>
      <c r="V25" s="701" t="s">
        <v>14</v>
      </c>
      <c r="W25" s="702">
        <f>J25</f>
        <v>100</v>
      </c>
      <c r="X25" s="703"/>
      <c r="Y25" s="3687"/>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4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91"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91"/>
      <c r="Q28" s="1351" t="str">
        <f t="shared" si="11"/>
        <v>物业等级</v>
      </c>
      <c r="R28" s="705" t="s">
        <v>14</v>
      </c>
      <c r="S28" s="706">
        <f t="shared" si="12"/>
        <v>100</v>
      </c>
      <c r="T28" s="705" t="s">
        <v>14</v>
      </c>
      <c r="U28" s="706">
        <f t="shared" si="13"/>
        <v>100</v>
      </c>
      <c r="V28" s="705" t="s">
        <v>14</v>
      </c>
      <c r="W28" s="706">
        <f t="shared" si="14"/>
        <v>100</v>
      </c>
      <c r="X28" s="1354"/>
      <c r="Y28" s="3691"/>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91"/>
      <c r="Q29" s="1351" t="str">
        <f t="shared" si="11"/>
        <v>有无电梯</v>
      </c>
      <c r="R29" s="705" t="s">
        <v>14</v>
      </c>
      <c r="S29" s="706">
        <f t="shared" si="12"/>
        <v>100</v>
      </c>
      <c r="T29" s="705" t="s">
        <v>14</v>
      </c>
      <c r="U29" s="706">
        <f t="shared" si="13"/>
        <v>100</v>
      </c>
      <c r="V29" s="705" t="s">
        <v>14</v>
      </c>
      <c r="W29" s="706">
        <f t="shared" si="14"/>
        <v>100</v>
      </c>
      <c r="X29" s="1354"/>
      <c r="Y29" s="3691"/>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91"/>
      <c r="Q30" s="1351" t="str">
        <f t="shared" si="11"/>
        <v>建筑面积</v>
      </c>
      <c r="R30" s="705" t="s">
        <v>14</v>
      </c>
      <c r="S30" s="706" t="e">
        <f t="shared" si="12"/>
        <v>#N/A</v>
      </c>
      <c r="T30" s="705" t="s">
        <v>14</v>
      </c>
      <c r="U30" s="706" t="e">
        <f t="shared" si="13"/>
        <v>#N/A</v>
      </c>
      <c r="V30" s="705" t="s">
        <v>14</v>
      </c>
      <c r="W30" s="706" t="e">
        <f t="shared" si="14"/>
        <v>#N/A</v>
      </c>
      <c r="X30" s="1354"/>
      <c r="Y30" s="3691"/>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91"/>
      <c r="Q31" s="1342"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91" t="s">
        <v>1696</v>
      </c>
      <c r="Q32" s="1351">
        <f t="shared" si="11"/>
        <v>111</v>
      </c>
      <c r="R32" s="705" t="s">
        <v>14</v>
      </c>
      <c r="S32" s="706">
        <f t="shared" si="12"/>
        <v>100</v>
      </c>
      <c r="T32" s="705" t="s">
        <v>14</v>
      </c>
      <c r="U32" s="706">
        <f t="shared" si="13"/>
        <v>100</v>
      </c>
      <c r="V32" s="705" t="s">
        <v>14</v>
      </c>
      <c r="W32" s="706">
        <f t="shared" si="14"/>
        <v>100</v>
      </c>
      <c r="X32" s="1354"/>
      <c r="Y32" s="3691"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91"/>
      <c r="Q33" s="1351">
        <f t="shared" si="11"/>
        <v>111</v>
      </c>
      <c r="R33" s="705" t="s">
        <v>14</v>
      </c>
      <c r="S33" s="706">
        <f t="shared" si="12"/>
        <v>100</v>
      </c>
      <c r="T33" s="705" t="s">
        <v>14</v>
      </c>
      <c r="U33" s="706">
        <f t="shared" si="13"/>
        <v>100</v>
      </c>
      <c r="V33" s="705" t="s">
        <v>14</v>
      </c>
      <c r="W33" s="706">
        <f t="shared" si="14"/>
        <v>100</v>
      </c>
      <c r="X33" s="1354"/>
      <c r="Y33" s="3691"/>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691"/>
      <c r="Q34" s="1351">
        <f t="shared" si="11"/>
        <v>111</v>
      </c>
      <c r="R34" s="705" t="s">
        <v>14</v>
      </c>
      <c r="S34" s="706">
        <f t="shared" si="12"/>
        <v>100</v>
      </c>
      <c r="T34" s="705" t="s">
        <v>14</v>
      </c>
      <c r="U34" s="706">
        <f t="shared" si="13"/>
        <v>100</v>
      </c>
      <c r="V34" s="705" t="s">
        <v>14</v>
      </c>
      <c r="W34" s="706">
        <f t="shared" si="14"/>
        <v>100</v>
      </c>
      <c r="X34" s="1354"/>
      <c r="Y34" s="3691"/>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1"/>
      <c r="M35" s="2722"/>
      <c r="N35" s="2713"/>
      <c r="O35" s="2722"/>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1"/>
      <c r="M36" s="2722"/>
      <c r="N36" s="2713"/>
      <c r="O36" s="2722"/>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1"/>
      <c r="M37" s="2722"/>
      <c r="N37" s="2722"/>
      <c r="O37" s="2722"/>
      <c r="P37" s="3681" t="str">
        <f>A37</f>
        <v>估价对象XX用房的比较价值（楼面单价，元/平方米）</v>
      </c>
      <c r="Q37" s="3682"/>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2024-12</v>
      </c>
      <c r="D46" s="1184">
        <f>EDATE(C46,-1)</f>
        <v>45597</v>
      </c>
      <c r="E46" s="1184">
        <f t="shared" ref="E46:O46" si="16">EDATE(D46,-1)</f>
        <v>45566</v>
      </c>
      <c r="F46" s="1184">
        <f t="shared" si="16"/>
        <v>45536</v>
      </c>
      <c r="G46" s="1184">
        <f t="shared" si="16"/>
        <v>45505</v>
      </c>
      <c r="H46" s="1184">
        <f t="shared" si="16"/>
        <v>45474</v>
      </c>
      <c r="I46" s="1184">
        <f t="shared" si="16"/>
        <v>45444</v>
      </c>
      <c r="J46" s="1184">
        <f t="shared" si="16"/>
        <v>45413</v>
      </c>
      <c r="K46" s="1184">
        <f t="shared" si="16"/>
        <v>45383</v>
      </c>
      <c r="L46" s="1184">
        <f t="shared" si="16"/>
        <v>45352</v>
      </c>
      <c r="M46" s="1184">
        <f t="shared" si="16"/>
        <v>45323</v>
      </c>
      <c r="N46" s="1184">
        <f t="shared" si="16"/>
        <v>45292</v>
      </c>
      <c r="O46" s="1184">
        <f t="shared" si="16"/>
        <v>45261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2"/>
      <c r="M4" s="2713"/>
      <c r="N4" s="2713"/>
      <c r="O4" s="2713"/>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30" ht="15">
      <c r="A5" s="358"/>
      <c r="B5" s="359"/>
      <c r="C5" s="3718" t="s">
        <v>1673</v>
      </c>
      <c r="D5" s="3719"/>
      <c r="E5" s="3725" t="s">
        <v>1674</v>
      </c>
      <c r="F5" s="3726"/>
      <c r="G5" s="3718" t="s">
        <v>1675</v>
      </c>
      <c r="H5" s="3719"/>
      <c r="I5" s="3718" t="s">
        <v>1676</v>
      </c>
      <c r="J5" s="3719"/>
      <c r="K5" s="559"/>
      <c r="L5" s="2712"/>
      <c r="M5" s="2713"/>
      <c r="N5" s="2713"/>
      <c r="O5" s="2713"/>
      <c r="P5" s="3705"/>
      <c r="Q5" s="3706"/>
      <c r="R5" s="3711"/>
      <c r="S5" s="3712"/>
      <c r="T5" s="3711"/>
      <c r="U5" s="3712"/>
      <c r="V5" s="3715"/>
      <c r="W5" s="3715"/>
      <c r="X5" s="1354"/>
      <c r="Y5" s="3711"/>
      <c r="Z5" s="3712"/>
      <c r="AA5" s="3697"/>
      <c r="AB5" s="3697"/>
      <c r="AC5" s="3697"/>
    </row>
    <row r="6" spans="1:30" ht="15.75" thickBot="1">
      <c r="A6" s="360"/>
      <c r="B6" s="361"/>
      <c r="C6" s="3716" t="s">
        <v>1677</v>
      </c>
      <c r="D6" s="3717"/>
      <c r="E6" s="3723" t="s">
        <v>1677</v>
      </c>
      <c r="F6" s="3724"/>
      <c r="G6" s="3716" t="s">
        <v>1677</v>
      </c>
      <c r="H6" s="3717"/>
      <c r="I6" s="3716" t="s">
        <v>1677</v>
      </c>
      <c r="J6" s="3717"/>
      <c r="K6" s="559" t="s">
        <v>1678</v>
      </c>
      <c r="L6" s="2712"/>
      <c r="M6" s="2713"/>
      <c r="N6" s="2713"/>
      <c r="O6" s="2713"/>
      <c r="P6" s="3707"/>
      <c r="Q6" s="3708"/>
      <c r="R6" s="3711"/>
      <c r="S6" s="3712"/>
      <c r="T6" s="3713"/>
      <c r="U6" s="3714"/>
      <c r="V6" s="3715"/>
      <c r="W6" s="3715"/>
      <c r="X6" s="1354"/>
      <c r="Y6" s="3713"/>
      <c r="Z6" s="3714"/>
      <c r="AA6" s="3698"/>
      <c r="AB6" s="3698"/>
      <c r="AC6" s="3698"/>
    </row>
    <row r="7" spans="1:30" s="108" customFormat="1" ht="15.75" thickBot="1">
      <c r="A7" s="362" t="s">
        <v>1679</v>
      </c>
      <c r="B7" s="363"/>
      <c r="C7" s="364">
        <f>'数据-取费表'!B2</f>
        <v>45631</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84"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6"/>
      <c r="M10" s="2717"/>
      <c r="N10" s="2717"/>
      <c r="O10" s="2770"/>
      <c r="P10" s="3684"/>
      <c r="Q10" s="1342" t="str">
        <f t="shared" si="6"/>
        <v>土地使用年限（年）</v>
      </c>
      <c r="R10" s="701" t="s">
        <v>14</v>
      </c>
      <c r="S10" s="702">
        <f t="shared" si="0"/>
        <v>109</v>
      </c>
      <c r="T10" s="701" t="s">
        <v>14</v>
      </c>
      <c r="U10" s="702">
        <f t="shared" si="1"/>
        <v>109</v>
      </c>
      <c r="V10" s="701" t="s">
        <v>14</v>
      </c>
      <c r="W10" s="702">
        <f t="shared" si="2"/>
        <v>109</v>
      </c>
      <c r="X10" s="703"/>
      <c r="Y10" s="3559"/>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84"/>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84"/>
      <c r="Q12" s="1342"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84"/>
      <c r="Q14" s="1342">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86" t="s">
        <v>1691</v>
      </c>
      <c r="Q15" s="1351" t="str">
        <f t="shared" si="6"/>
        <v>居住社区成熟度</v>
      </c>
      <c r="R15" s="705" t="s">
        <v>14</v>
      </c>
      <c r="S15" s="706">
        <f t="shared" si="0"/>
        <v>100</v>
      </c>
      <c r="T15" s="705" t="s">
        <v>14</v>
      </c>
      <c r="U15" s="706">
        <f t="shared" si="1"/>
        <v>100</v>
      </c>
      <c r="V15" s="705" t="s">
        <v>14</v>
      </c>
      <c r="W15" s="706">
        <f t="shared" si="2"/>
        <v>100</v>
      </c>
      <c r="X15" s="1354"/>
      <c r="Y15" s="3686"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87"/>
      <c r="Q16" s="1351"/>
      <c r="R16" s="705"/>
      <c r="S16" s="706"/>
      <c r="T16" s="705"/>
      <c r="U16" s="706"/>
      <c r="V16" s="705"/>
      <c r="W16" s="706"/>
      <c r="X16" s="1354"/>
      <c r="Y16" s="3687"/>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87"/>
      <c r="Q17" s="1351" t="str">
        <f>B17</f>
        <v>商业繁华度</v>
      </c>
      <c r="R17" s="705" t="s">
        <v>14</v>
      </c>
      <c r="S17" s="706">
        <f>F17</f>
        <v>100</v>
      </c>
      <c r="T17" s="705" t="s">
        <v>14</v>
      </c>
      <c r="U17" s="706">
        <f>H17</f>
        <v>100</v>
      </c>
      <c r="V17" s="705" t="s">
        <v>14</v>
      </c>
      <c r="W17" s="706">
        <f>J17</f>
        <v>100</v>
      </c>
      <c r="X17" s="1354"/>
      <c r="Y17" s="3687"/>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87"/>
      <c r="Q18" s="1351"/>
      <c r="R18" s="705"/>
      <c r="S18" s="706"/>
      <c r="T18" s="705"/>
      <c r="U18" s="706"/>
      <c r="V18" s="705"/>
      <c r="W18" s="706"/>
      <c r="X18" s="1354"/>
      <c r="Y18" s="3687"/>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87"/>
      <c r="Q19" s="1351" t="str">
        <f>B19</f>
        <v>办公集聚程度</v>
      </c>
      <c r="R19" s="705" t="s">
        <v>14</v>
      </c>
      <c r="S19" s="706">
        <f>F19</f>
        <v>100</v>
      </c>
      <c r="T19" s="705" t="s">
        <v>14</v>
      </c>
      <c r="U19" s="706">
        <f>H19</f>
        <v>100</v>
      </c>
      <c r="V19" s="705" t="s">
        <v>14</v>
      </c>
      <c r="W19" s="706">
        <f>J19</f>
        <v>100</v>
      </c>
      <c r="X19" s="1354"/>
      <c r="Y19" s="3687"/>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87"/>
      <c r="Q20" s="1351"/>
      <c r="R20" s="705"/>
      <c r="S20" s="706"/>
      <c r="T20" s="705"/>
      <c r="U20" s="706"/>
      <c r="V20" s="705"/>
      <c r="W20" s="706"/>
      <c r="X20" s="1354"/>
      <c r="Y20" s="3687"/>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87"/>
      <c r="Q21" s="1351" t="str">
        <f>B21</f>
        <v>交通便捷度</v>
      </c>
      <c r="R21" s="705" t="s">
        <v>14</v>
      </c>
      <c r="S21" s="706">
        <f>F21</f>
        <v>100</v>
      </c>
      <c r="T21" s="705" t="s">
        <v>14</v>
      </c>
      <c r="U21" s="706">
        <f>H21</f>
        <v>100</v>
      </c>
      <c r="V21" s="705" t="s">
        <v>14</v>
      </c>
      <c r="W21" s="706">
        <f>J21</f>
        <v>100</v>
      </c>
      <c r="X21" s="1354"/>
      <c r="Y21" s="3687"/>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687"/>
      <c r="Q22" s="1351"/>
      <c r="R22" s="705"/>
      <c r="S22" s="706"/>
      <c r="T22" s="705"/>
      <c r="U22" s="706"/>
      <c r="V22" s="705"/>
      <c r="W22" s="706"/>
      <c r="X22" s="1354"/>
      <c r="Y22" s="3687"/>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87"/>
      <c r="Q23" s="1351" t="str">
        <f t="shared" ref="Q23:Q37" si="8">B23</f>
        <v>区域土地利用方向</v>
      </c>
      <c r="R23" s="705" t="s">
        <v>14</v>
      </c>
      <c r="S23" s="706">
        <f>F23</f>
        <v>100</v>
      </c>
      <c r="T23" s="705" t="s">
        <v>14</v>
      </c>
      <c r="U23" s="706">
        <f>H23</f>
        <v>100</v>
      </c>
      <c r="V23" s="705" t="s">
        <v>14</v>
      </c>
      <c r="W23" s="706">
        <f>J23</f>
        <v>100</v>
      </c>
      <c r="X23" s="1354"/>
      <c r="Y23" s="3687"/>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87"/>
      <c r="Q24" s="1351"/>
      <c r="R24" s="705"/>
      <c r="S24" s="706"/>
      <c r="T24" s="705"/>
      <c r="U24" s="706"/>
      <c r="V24" s="705"/>
      <c r="W24" s="706"/>
      <c r="X24" s="1354"/>
      <c r="Y24" s="3687"/>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87"/>
      <c r="Q25" s="1351" t="str">
        <f t="shared" si="8"/>
        <v>自然及人文环境状况</v>
      </c>
      <c r="R25" s="705" t="s">
        <v>14</v>
      </c>
      <c r="S25" s="706">
        <f>F25</f>
        <v>100</v>
      </c>
      <c r="T25" s="705" t="s">
        <v>14</v>
      </c>
      <c r="U25" s="706">
        <f>H25</f>
        <v>100</v>
      </c>
      <c r="V25" s="705" t="s">
        <v>14</v>
      </c>
      <c r="W25" s="706">
        <f>J25</f>
        <v>100</v>
      </c>
      <c r="X25" s="1354"/>
      <c r="Y25" s="3687"/>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87"/>
      <c r="Q26" s="1351"/>
      <c r="R26" s="705"/>
      <c r="S26" s="706"/>
      <c r="T26" s="705"/>
      <c r="U26" s="706"/>
      <c r="V26" s="705"/>
      <c r="W26" s="706"/>
      <c r="X26" s="1354"/>
      <c r="Y26" s="3687"/>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87"/>
      <c r="Q27" s="1342" t="str">
        <f t="shared" si="8"/>
        <v>公共配套设施</v>
      </c>
      <c r="R27" s="701" t="s">
        <v>14</v>
      </c>
      <c r="S27" s="702">
        <f>F27</f>
        <v>100</v>
      </c>
      <c r="T27" s="701" t="s">
        <v>14</v>
      </c>
      <c r="U27" s="702">
        <f>H27</f>
        <v>100</v>
      </c>
      <c r="V27" s="701" t="s">
        <v>14</v>
      </c>
      <c r="W27" s="702">
        <f>J27</f>
        <v>100</v>
      </c>
      <c r="X27" s="703"/>
      <c r="Y27" s="3687"/>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687"/>
      <c r="Q28" s="1342"/>
      <c r="R28" s="701"/>
      <c r="S28" s="702"/>
      <c r="T28" s="701"/>
      <c r="U28" s="702"/>
      <c r="V28" s="701"/>
      <c r="W28" s="702"/>
      <c r="X28" s="703"/>
      <c r="Y28" s="3687"/>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87"/>
      <c r="Q29" s="1342"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687"/>
      <c r="Q30" s="1342"/>
      <c r="R30" s="701"/>
      <c r="S30" s="702"/>
      <c r="T30" s="701"/>
      <c r="U30" s="702"/>
      <c r="V30" s="701"/>
      <c r="W30" s="702"/>
      <c r="X30" s="703"/>
      <c r="Y30" s="3687"/>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87"/>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87"/>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87"/>
      <c r="Q32" s="1351" t="str">
        <f t="shared" si="8"/>
        <v>毗邻道路的类型与等级</v>
      </c>
      <c r="R32" s="705" t="s">
        <v>14</v>
      </c>
      <c r="S32" s="706">
        <f t="shared" si="10"/>
        <v>100</v>
      </c>
      <c r="T32" s="705" t="s">
        <v>14</v>
      </c>
      <c r="U32" s="706">
        <f t="shared" si="11"/>
        <v>100</v>
      </c>
      <c r="V32" s="705" t="s">
        <v>14</v>
      </c>
      <c r="W32" s="706">
        <f t="shared" si="12"/>
        <v>100</v>
      </c>
      <c r="X32" s="1354"/>
      <c r="Y32" s="3687"/>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87"/>
      <c r="Q33" s="1351"/>
      <c r="R33" s="705"/>
      <c r="S33" s="706"/>
      <c r="T33" s="705"/>
      <c r="U33" s="706"/>
      <c r="V33" s="705"/>
      <c r="W33" s="706"/>
      <c r="X33" s="1354"/>
      <c r="Y33" s="3687"/>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87"/>
      <c r="Q34" s="1351" t="str">
        <f t="shared" si="8"/>
        <v>土地级别</v>
      </c>
      <c r="R34" s="705" t="s">
        <v>14</v>
      </c>
      <c r="S34" s="706">
        <f t="shared" si="10"/>
        <v>100</v>
      </c>
      <c r="T34" s="705" t="s">
        <v>14</v>
      </c>
      <c r="U34" s="706">
        <f t="shared" si="11"/>
        <v>100</v>
      </c>
      <c r="V34" s="705" t="s">
        <v>14</v>
      </c>
      <c r="W34" s="706">
        <f t="shared" si="12"/>
        <v>100</v>
      </c>
      <c r="X34" s="1354"/>
      <c r="Y34" s="3687"/>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87"/>
      <c r="Q35" s="1351">
        <f t="shared" si="8"/>
        <v>111</v>
      </c>
      <c r="R35" s="705" t="s">
        <v>14</v>
      </c>
      <c r="S35" s="706">
        <f t="shared" si="10"/>
        <v>100</v>
      </c>
      <c r="T35" s="705" t="s">
        <v>14</v>
      </c>
      <c r="U35" s="706">
        <f t="shared" si="11"/>
        <v>100</v>
      </c>
      <c r="V35" s="705" t="s">
        <v>14</v>
      </c>
      <c r="W35" s="706">
        <f t="shared" si="12"/>
        <v>100</v>
      </c>
      <c r="X35" s="1354"/>
      <c r="Y35" s="3687"/>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2" t="s">
        <v>1696</v>
      </c>
      <c r="Q36" s="1351">
        <f t="shared" si="8"/>
        <v>111</v>
      </c>
      <c r="R36" s="705" t="s">
        <v>14</v>
      </c>
      <c r="S36" s="706">
        <f t="shared" si="10"/>
        <v>100</v>
      </c>
      <c r="T36" s="705" t="s">
        <v>14</v>
      </c>
      <c r="U36" s="706">
        <f t="shared" si="11"/>
        <v>100</v>
      </c>
      <c r="V36" s="705" t="s">
        <v>14</v>
      </c>
      <c r="W36" s="706">
        <f t="shared" si="12"/>
        <v>100</v>
      </c>
      <c r="X36" s="1354"/>
      <c r="Y36" s="3691"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91"/>
      <c r="Q37" s="1351">
        <f t="shared" si="8"/>
        <v>111</v>
      </c>
      <c r="R37" s="708" t="s">
        <v>14</v>
      </c>
      <c r="S37" s="709">
        <f t="shared" si="10"/>
        <v>100</v>
      </c>
      <c r="T37" s="708" t="s">
        <v>14</v>
      </c>
      <c r="U37" s="709">
        <f t="shared" si="11"/>
        <v>100</v>
      </c>
      <c r="V37" s="708" t="s">
        <v>14</v>
      </c>
      <c r="W37" s="709">
        <f t="shared" si="12"/>
        <v>100</v>
      </c>
      <c r="X37" s="710"/>
      <c r="Y37" s="3691"/>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91"/>
      <c r="Q38" s="1351" t="str">
        <f>B38</f>
        <v>宗地面积</v>
      </c>
      <c r="R38" s="705" t="s">
        <v>14</v>
      </c>
      <c r="S38" s="706" t="e">
        <f t="shared" si="10"/>
        <v>#N/A</v>
      </c>
      <c r="T38" s="705" t="s">
        <v>14</v>
      </c>
      <c r="U38" s="706" t="e">
        <f t="shared" si="11"/>
        <v>#N/A</v>
      </c>
      <c r="V38" s="705" t="s">
        <v>14</v>
      </c>
      <c r="W38" s="706" t="e">
        <f t="shared" si="12"/>
        <v>#N/A</v>
      </c>
      <c r="X38" s="1354"/>
      <c r="Y38" s="3691"/>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91"/>
      <c r="Q39" s="1351" t="str">
        <f t="shared" ref="Q39:Q45" si="14">B39</f>
        <v>宗地形状</v>
      </c>
      <c r="R39" s="705" t="s">
        <v>14</v>
      </c>
      <c r="S39" s="706">
        <f t="shared" si="10"/>
        <v>100</v>
      </c>
      <c r="T39" s="705" t="s">
        <v>14</v>
      </c>
      <c r="U39" s="706">
        <f t="shared" si="11"/>
        <v>100</v>
      </c>
      <c r="V39" s="705" t="s">
        <v>14</v>
      </c>
      <c r="W39" s="706">
        <f t="shared" si="12"/>
        <v>100</v>
      </c>
      <c r="X39" s="1354"/>
      <c r="Y39" s="3691"/>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91"/>
      <c r="Q40" s="1351" t="str">
        <f t="shared" si="14"/>
        <v>临街宽度及深度</v>
      </c>
      <c r="R40" s="705" t="s">
        <v>14</v>
      </c>
      <c r="S40" s="706">
        <f t="shared" si="10"/>
        <v>100</v>
      </c>
      <c r="T40" s="705" t="s">
        <v>14</v>
      </c>
      <c r="U40" s="706">
        <f t="shared" si="11"/>
        <v>100</v>
      </c>
      <c r="V40" s="705" t="s">
        <v>14</v>
      </c>
      <c r="W40" s="706">
        <f t="shared" si="12"/>
        <v>100</v>
      </c>
      <c r="X40" s="1354"/>
      <c r="Y40" s="3691"/>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691"/>
      <c r="Q41" s="1351"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91" t="s">
        <v>1696</v>
      </c>
      <c r="Q42" s="1351" t="str">
        <f t="shared" si="14"/>
        <v>工程地质条件</v>
      </c>
      <c r="R42" s="705" t="s">
        <v>14</v>
      </c>
      <c r="S42" s="706">
        <f t="shared" si="10"/>
        <v>100</v>
      </c>
      <c r="T42" s="705" t="s">
        <v>14</v>
      </c>
      <c r="U42" s="706">
        <f t="shared" si="11"/>
        <v>100</v>
      </c>
      <c r="V42" s="705" t="s">
        <v>14</v>
      </c>
      <c r="W42" s="706">
        <f t="shared" si="12"/>
        <v>100</v>
      </c>
      <c r="X42" s="1354"/>
      <c r="Y42" s="3691"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91"/>
      <c r="Q43" s="1351">
        <f t="shared" si="14"/>
        <v>111</v>
      </c>
      <c r="R43" s="705" t="s">
        <v>14</v>
      </c>
      <c r="S43" s="706">
        <f t="shared" si="10"/>
        <v>100</v>
      </c>
      <c r="T43" s="705" t="s">
        <v>14</v>
      </c>
      <c r="U43" s="706">
        <f t="shared" si="11"/>
        <v>100</v>
      </c>
      <c r="V43" s="705" t="s">
        <v>14</v>
      </c>
      <c r="W43" s="706">
        <f t="shared" si="12"/>
        <v>100</v>
      </c>
      <c r="X43" s="1354"/>
      <c r="Y43" s="3691"/>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91"/>
      <c r="Q44" s="1351">
        <f t="shared" si="14"/>
        <v>111</v>
      </c>
      <c r="R44" s="705" t="s">
        <v>14</v>
      </c>
      <c r="S44" s="706">
        <f t="shared" si="10"/>
        <v>100</v>
      </c>
      <c r="T44" s="705" t="s">
        <v>14</v>
      </c>
      <c r="U44" s="706">
        <f t="shared" si="11"/>
        <v>100</v>
      </c>
      <c r="V44" s="705" t="s">
        <v>14</v>
      </c>
      <c r="W44" s="706">
        <f t="shared" si="12"/>
        <v>100</v>
      </c>
      <c r="X44" s="1354"/>
      <c r="Y44" s="3691"/>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91"/>
      <c r="Q45" s="1351">
        <f t="shared" si="14"/>
        <v>111</v>
      </c>
      <c r="R45" s="708" t="s">
        <v>14</v>
      </c>
      <c r="S45" s="709">
        <f t="shared" si="10"/>
        <v>100</v>
      </c>
      <c r="T45" s="708" t="s">
        <v>14</v>
      </c>
      <c r="U45" s="709">
        <f t="shared" si="11"/>
        <v>100</v>
      </c>
      <c r="V45" s="708" t="s">
        <v>14</v>
      </c>
      <c r="W45" s="709">
        <f t="shared" si="12"/>
        <v>100</v>
      </c>
      <c r="X45" s="710"/>
      <c r="Y45" s="3691"/>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1"/>
      <c r="M46" s="2722"/>
      <c r="N46" s="2713"/>
      <c r="O46" s="2722"/>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1"/>
      <c r="M47" s="2722"/>
      <c r="N47" s="2722"/>
      <c r="O47" s="2722"/>
      <c r="P47" s="3684" t="str">
        <f>A47</f>
        <v>比较价值（元/平方米）</v>
      </c>
      <c r="Q47" s="3684"/>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681" t="str">
        <f>A48</f>
        <v>估价对象XX用房的比较价值（楼面单价，元/平方米）</v>
      </c>
      <c r="Q48" s="3682"/>
      <c r="R48" s="3745" t="e">
        <f>ROUND(IF(D47="简单平均",AVERAGE(R47:W47),R47*F47+T47*H47+V47*J47),0)</f>
        <v>#DIV/0!</v>
      </c>
      <c r="S48" s="3745"/>
      <c r="T48" s="3745"/>
      <c r="U48" s="3745"/>
      <c r="V48" s="3745"/>
      <c r="W48" s="374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90" t="s">
        <v>1886</v>
      </c>
      <c r="G55" s="3699" t="s">
        <v>1887</v>
      </c>
      <c r="H55" s="3746"/>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52974.33</v>
      </c>
      <c r="F56" s="886" t="e">
        <f t="shared" ref="F56:F64" si="15">ROUND(B56*E56/10000,0)</f>
        <v>#DIV/0!</v>
      </c>
      <c r="G56" s="3695"/>
      <c r="H56" s="368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52974.33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2024-12-1</v>
      </c>
      <c r="D67" s="692">
        <f>EDATE(C67,-3)</f>
        <v>45536</v>
      </c>
      <c r="E67" s="692">
        <f>EDATE(D67,-3)</f>
        <v>45444</v>
      </c>
      <c r="F67" s="692">
        <f t="shared" ref="F67:O67" si="18">EDATE(E67,-3)</f>
        <v>45352</v>
      </c>
      <c r="G67" s="692">
        <f t="shared" si="18"/>
        <v>45261</v>
      </c>
      <c r="H67" s="692">
        <f t="shared" si="18"/>
        <v>45170</v>
      </c>
      <c r="I67" s="692">
        <f t="shared" si="18"/>
        <v>45078</v>
      </c>
      <c r="J67" s="692">
        <f t="shared" si="18"/>
        <v>44986</v>
      </c>
      <c r="K67" s="692">
        <f t="shared" si="18"/>
        <v>44896</v>
      </c>
      <c r="L67" s="692">
        <f t="shared" si="18"/>
        <v>44805</v>
      </c>
      <c r="M67" s="692">
        <f t="shared" si="18"/>
        <v>44713</v>
      </c>
      <c r="N67" s="692">
        <f t="shared" si="18"/>
        <v>44621</v>
      </c>
      <c r="O67" s="692">
        <f t="shared" si="18"/>
        <v>44531</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2"/>
      <c r="M4" s="2713"/>
      <c r="N4" s="2713"/>
      <c r="O4" s="2713"/>
      <c r="P4" s="3703" t="s">
        <v>1775</v>
      </c>
      <c r="Q4" s="3704"/>
      <c r="R4" s="3709" t="s">
        <v>1771</v>
      </c>
      <c r="S4" s="3710"/>
      <c r="T4" s="3709" t="s">
        <v>1772</v>
      </c>
      <c r="U4" s="3710"/>
      <c r="V4" s="3715" t="s">
        <v>1773</v>
      </c>
      <c r="W4" s="3715"/>
      <c r="X4" s="1354"/>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2"/>
      <c r="M5" s="2713"/>
      <c r="N5" s="2713"/>
      <c r="O5" s="2713"/>
      <c r="P5" s="3705"/>
      <c r="Q5" s="3706"/>
      <c r="R5" s="3711"/>
      <c r="S5" s="3712"/>
      <c r="T5" s="3711"/>
      <c r="U5" s="3712"/>
      <c r="V5" s="3715"/>
      <c r="W5" s="3715"/>
      <c r="X5" s="1354"/>
      <c r="Y5" s="3711"/>
      <c r="Z5" s="3712"/>
      <c r="AA5" s="3697"/>
      <c r="AB5" s="3697"/>
      <c r="AC5" s="3697"/>
    </row>
    <row r="6" spans="1:29" ht="15.75" thickBot="1">
      <c r="A6" s="360"/>
      <c r="B6" s="361"/>
      <c r="C6" s="3747" t="s">
        <v>1919</v>
      </c>
      <c r="D6" s="3748"/>
      <c r="E6" s="3749" t="s">
        <v>1919</v>
      </c>
      <c r="F6" s="3750"/>
      <c r="G6" s="3747" t="s">
        <v>1919</v>
      </c>
      <c r="H6" s="3748"/>
      <c r="I6" s="3747" t="s">
        <v>1919</v>
      </c>
      <c r="J6" s="3748"/>
      <c r="K6" s="559" t="s">
        <v>1678</v>
      </c>
      <c r="L6" s="2712"/>
      <c r="M6" s="2713"/>
      <c r="N6" s="2713"/>
      <c r="O6" s="2713"/>
      <c r="P6" s="3707"/>
      <c r="Q6" s="3708"/>
      <c r="R6" s="3711"/>
      <c r="S6" s="3712"/>
      <c r="T6" s="3713"/>
      <c r="U6" s="3714"/>
      <c r="V6" s="3715"/>
      <c r="W6" s="3715"/>
      <c r="X6" s="1354"/>
      <c r="Y6" s="3713"/>
      <c r="Z6" s="3714"/>
      <c r="AA6" s="3698"/>
      <c r="AB6" s="3698"/>
      <c r="AC6" s="3698"/>
    </row>
    <row r="7" spans="1:29" s="108" customFormat="1" ht="15.75" thickBot="1">
      <c r="A7" s="362" t="s">
        <v>1679</v>
      </c>
      <c r="B7" s="363"/>
      <c r="C7" s="364">
        <f>'数据-取费表'!B2</f>
        <v>45631</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84" t="s">
        <v>1686</v>
      </c>
      <c r="Q9" s="1342"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6"/>
      <c r="M10" s="2717"/>
      <c r="N10" s="2717"/>
      <c r="O10" s="2770"/>
      <c r="P10" s="3684"/>
      <c r="Q10" s="1342" t="str">
        <f t="shared" si="6"/>
        <v>土地使用年限（年）</v>
      </c>
      <c r="R10" s="701" t="s">
        <v>14</v>
      </c>
      <c r="S10" s="702">
        <f t="shared" si="0"/>
        <v>109</v>
      </c>
      <c r="T10" s="701" t="s">
        <v>14</v>
      </c>
      <c r="U10" s="702">
        <f t="shared" si="1"/>
        <v>109</v>
      </c>
      <c r="V10" s="701" t="s">
        <v>14</v>
      </c>
      <c r="W10" s="702">
        <f t="shared" si="2"/>
        <v>109</v>
      </c>
      <c r="X10" s="703"/>
      <c r="Y10" s="3559"/>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84"/>
      <c r="Q11" s="1342"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84"/>
      <c r="Q12" s="1342">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84"/>
      <c r="Q13" s="1342">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84"/>
      <c r="Q14" s="1342">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86" t="s">
        <v>1691</v>
      </c>
      <c r="Q15" s="1351" t="str">
        <f t="shared" si="6"/>
        <v>产业集聚程度</v>
      </c>
      <c r="R15" s="705" t="s">
        <v>14</v>
      </c>
      <c r="S15" s="706">
        <f t="shared" si="0"/>
        <v>100</v>
      </c>
      <c r="T15" s="705" t="s">
        <v>14</v>
      </c>
      <c r="U15" s="706">
        <f t="shared" si="1"/>
        <v>100</v>
      </c>
      <c r="V15" s="705" t="s">
        <v>14</v>
      </c>
      <c r="W15" s="706">
        <f t="shared" si="2"/>
        <v>100</v>
      </c>
      <c r="X15" s="1354"/>
      <c r="Y15" s="3686"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87"/>
      <c r="Q16" s="1351"/>
      <c r="R16" s="705"/>
      <c r="S16" s="706"/>
      <c r="T16" s="705"/>
      <c r="U16" s="706"/>
      <c r="V16" s="705"/>
      <c r="W16" s="706"/>
      <c r="X16" s="1354"/>
      <c r="Y16" s="3687"/>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87"/>
      <c r="Q17" s="1351" t="str">
        <f>B17</f>
        <v>交通便捷度</v>
      </c>
      <c r="R17" s="705" t="s">
        <v>14</v>
      </c>
      <c r="S17" s="706">
        <f>F17</f>
        <v>100</v>
      </c>
      <c r="T17" s="705" t="s">
        <v>14</v>
      </c>
      <c r="U17" s="706">
        <f>H17</f>
        <v>100</v>
      </c>
      <c r="V17" s="705" t="s">
        <v>14</v>
      </c>
      <c r="W17" s="706">
        <f>J17</f>
        <v>100</v>
      </c>
      <c r="X17" s="1354"/>
      <c r="Y17" s="3687"/>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87"/>
      <c r="Q18" s="1351"/>
      <c r="R18" s="705"/>
      <c r="S18" s="706"/>
      <c r="T18" s="705"/>
      <c r="U18" s="706"/>
      <c r="V18" s="705"/>
      <c r="W18" s="706"/>
      <c r="X18" s="1354"/>
      <c r="Y18" s="3687"/>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87"/>
      <c r="Q19" s="1351" t="str">
        <f t="shared" ref="Q19:Q33" si="8">B19</f>
        <v>区域土地利用方向</v>
      </c>
      <c r="R19" s="705" t="s">
        <v>14</v>
      </c>
      <c r="S19" s="706">
        <f>F19</f>
        <v>100</v>
      </c>
      <c r="T19" s="705" t="s">
        <v>14</v>
      </c>
      <c r="U19" s="706">
        <f>H19</f>
        <v>100</v>
      </c>
      <c r="V19" s="705" t="s">
        <v>14</v>
      </c>
      <c r="W19" s="706">
        <f>J19</f>
        <v>100</v>
      </c>
      <c r="X19" s="1354"/>
      <c r="Y19" s="3687"/>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87"/>
      <c r="Q20" s="1351"/>
      <c r="R20" s="705"/>
      <c r="S20" s="706"/>
      <c r="T20" s="705"/>
      <c r="U20" s="706"/>
      <c r="V20" s="705"/>
      <c r="W20" s="706"/>
      <c r="X20" s="1354"/>
      <c r="Y20" s="3687"/>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87"/>
      <c r="Q21" s="1351" t="str">
        <f t="shared" si="8"/>
        <v>环境状况</v>
      </c>
      <c r="R21" s="705" t="s">
        <v>14</v>
      </c>
      <c r="S21" s="706">
        <f>F21</f>
        <v>100</v>
      </c>
      <c r="T21" s="705" t="s">
        <v>14</v>
      </c>
      <c r="U21" s="706">
        <f>H21</f>
        <v>100</v>
      </c>
      <c r="V21" s="705" t="s">
        <v>14</v>
      </c>
      <c r="W21" s="706">
        <f>J21</f>
        <v>100</v>
      </c>
      <c r="X21" s="1354"/>
      <c r="Y21" s="3687"/>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87"/>
      <c r="Q22" s="1351"/>
      <c r="R22" s="705"/>
      <c r="S22" s="706"/>
      <c r="T22" s="705"/>
      <c r="U22" s="706"/>
      <c r="V22" s="705"/>
      <c r="W22" s="706"/>
      <c r="X22" s="1354"/>
      <c r="Y22" s="3687"/>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87"/>
      <c r="Q23" s="1342" t="str">
        <f t="shared" si="8"/>
        <v>公共配套设施</v>
      </c>
      <c r="R23" s="701" t="s">
        <v>14</v>
      </c>
      <c r="S23" s="702">
        <f>F23</f>
        <v>100</v>
      </c>
      <c r="T23" s="701" t="s">
        <v>14</v>
      </c>
      <c r="U23" s="702">
        <f>H23</f>
        <v>100</v>
      </c>
      <c r="V23" s="701" t="s">
        <v>14</v>
      </c>
      <c r="W23" s="702">
        <f>J23</f>
        <v>100</v>
      </c>
      <c r="X23" s="703"/>
      <c r="Y23" s="3687"/>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687"/>
      <c r="Q24" s="1342"/>
      <c r="R24" s="701"/>
      <c r="S24" s="702"/>
      <c r="T24" s="701"/>
      <c r="U24" s="702"/>
      <c r="V24" s="701"/>
      <c r="W24" s="702"/>
      <c r="X24" s="703"/>
      <c r="Y24" s="3687"/>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87"/>
      <c r="Q25" s="1342"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687"/>
      <c r="Q26" s="1342"/>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87"/>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87"/>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87"/>
      <c r="Q28" s="1351" t="str">
        <f t="shared" si="8"/>
        <v>毗邻道路的类型与等级</v>
      </c>
      <c r="R28" s="705" t="s">
        <v>14</v>
      </c>
      <c r="S28" s="706">
        <f t="shared" si="10"/>
        <v>100</v>
      </c>
      <c r="T28" s="705" t="s">
        <v>14</v>
      </c>
      <c r="U28" s="706">
        <f t="shared" si="11"/>
        <v>100</v>
      </c>
      <c r="V28" s="705" t="s">
        <v>14</v>
      </c>
      <c r="W28" s="706">
        <f t="shared" si="12"/>
        <v>100</v>
      </c>
      <c r="X28" s="1354"/>
      <c r="Y28" s="3687"/>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87"/>
      <c r="Q29" s="1351"/>
      <c r="R29" s="705"/>
      <c r="S29" s="706"/>
      <c r="T29" s="705"/>
      <c r="U29" s="706"/>
      <c r="V29" s="705"/>
      <c r="W29" s="706"/>
      <c r="X29" s="1354"/>
      <c r="Y29" s="3687"/>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87"/>
      <c r="Q30" s="1351" t="str">
        <f t="shared" si="8"/>
        <v>土地级别</v>
      </c>
      <c r="R30" s="705" t="s">
        <v>14</v>
      </c>
      <c r="S30" s="706">
        <f t="shared" si="10"/>
        <v>100</v>
      </c>
      <c r="T30" s="705" t="s">
        <v>14</v>
      </c>
      <c r="U30" s="706">
        <f t="shared" si="11"/>
        <v>100</v>
      </c>
      <c r="V30" s="705" t="s">
        <v>14</v>
      </c>
      <c r="W30" s="706">
        <f t="shared" si="12"/>
        <v>100</v>
      </c>
      <c r="X30" s="1354"/>
      <c r="Y30" s="3687"/>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87"/>
      <c r="Q31" s="1351">
        <f t="shared" si="8"/>
        <v>111</v>
      </c>
      <c r="R31" s="705" t="s">
        <v>14</v>
      </c>
      <c r="S31" s="706">
        <f t="shared" si="10"/>
        <v>100</v>
      </c>
      <c r="T31" s="705" t="s">
        <v>14</v>
      </c>
      <c r="U31" s="706">
        <f t="shared" si="11"/>
        <v>100</v>
      </c>
      <c r="V31" s="705" t="s">
        <v>14</v>
      </c>
      <c r="W31" s="706">
        <f t="shared" si="12"/>
        <v>100</v>
      </c>
      <c r="X31" s="1354"/>
      <c r="Y31" s="3687"/>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2" t="s">
        <v>1696</v>
      </c>
      <c r="Q32" s="1351">
        <f t="shared" si="8"/>
        <v>111</v>
      </c>
      <c r="R32" s="705" t="s">
        <v>14</v>
      </c>
      <c r="S32" s="706">
        <f t="shared" si="10"/>
        <v>100</v>
      </c>
      <c r="T32" s="705" t="s">
        <v>14</v>
      </c>
      <c r="U32" s="706">
        <f t="shared" si="11"/>
        <v>100</v>
      </c>
      <c r="V32" s="705" t="s">
        <v>14</v>
      </c>
      <c r="W32" s="706">
        <f t="shared" si="12"/>
        <v>100</v>
      </c>
      <c r="X32" s="1354"/>
      <c r="Y32" s="3691"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91"/>
      <c r="Q33" s="1351">
        <f t="shared" si="8"/>
        <v>111</v>
      </c>
      <c r="R33" s="708" t="s">
        <v>14</v>
      </c>
      <c r="S33" s="709">
        <f t="shared" si="10"/>
        <v>100</v>
      </c>
      <c r="T33" s="708" t="s">
        <v>14</v>
      </c>
      <c r="U33" s="709">
        <f t="shared" si="11"/>
        <v>100</v>
      </c>
      <c r="V33" s="708" t="s">
        <v>14</v>
      </c>
      <c r="W33" s="709">
        <f t="shared" si="12"/>
        <v>100</v>
      </c>
      <c r="X33" s="710"/>
      <c r="Y33" s="3691"/>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91"/>
      <c r="Q34" s="1351" t="str">
        <f>B34</f>
        <v>宗地面积</v>
      </c>
      <c r="R34" s="705" t="s">
        <v>14</v>
      </c>
      <c r="S34" s="706" t="e">
        <f t="shared" si="10"/>
        <v>#N/A</v>
      </c>
      <c r="T34" s="705" t="s">
        <v>14</v>
      </c>
      <c r="U34" s="706" t="e">
        <f t="shared" si="11"/>
        <v>#N/A</v>
      </c>
      <c r="V34" s="705" t="s">
        <v>14</v>
      </c>
      <c r="W34" s="706" t="e">
        <f t="shared" si="12"/>
        <v>#N/A</v>
      </c>
      <c r="X34" s="1354"/>
      <c r="Y34" s="3691"/>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91"/>
      <c r="Q35" s="1351" t="str">
        <f t="shared" ref="Q35:Q40" si="14">B35</f>
        <v>宗地形状</v>
      </c>
      <c r="R35" s="705" t="s">
        <v>14</v>
      </c>
      <c r="S35" s="706">
        <f t="shared" si="10"/>
        <v>100</v>
      </c>
      <c r="T35" s="705" t="s">
        <v>14</v>
      </c>
      <c r="U35" s="706">
        <f t="shared" si="11"/>
        <v>100</v>
      </c>
      <c r="V35" s="705" t="s">
        <v>14</v>
      </c>
      <c r="W35" s="706">
        <f t="shared" si="12"/>
        <v>100</v>
      </c>
      <c r="X35" s="1354"/>
      <c r="Y35" s="3691"/>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691"/>
      <c r="Q36" s="1351"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91" t="s">
        <v>1696</v>
      </c>
      <c r="Q37" s="1351" t="str">
        <f t="shared" si="14"/>
        <v>工程地质条件</v>
      </c>
      <c r="R37" s="705" t="s">
        <v>14</v>
      </c>
      <c r="S37" s="706">
        <f t="shared" si="10"/>
        <v>100</v>
      </c>
      <c r="T37" s="705" t="s">
        <v>14</v>
      </c>
      <c r="U37" s="706">
        <f t="shared" si="11"/>
        <v>100</v>
      </c>
      <c r="V37" s="705" t="s">
        <v>14</v>
      </c>
      <c r="W37" s="706">
        <f t="shared" si="12"/>
        <v>100</v>
      </c>
      <c r="X37" s="1354"/>
      <c r="Y37" s="3691"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91"/>
      <c r="Q38" s="1351">
        <f t="shared" si="14"/>
        <v>111</v>
      </c>
      <c r="R38" s="705" t="s">
        <v>14</v>
      </c>
      <c r="S38" s="706">
        <f t="shared" si="10"/>
        <v>100</v>
      </c>
      <c r="T38" s="705" t="s">
        <v>14</v>
      </c>
      <c r="U38" s="706">
        <f t="shared" si="11"/>
        <v>100</v>
      </c>
      <c r="V38" s="705" t="s">
        <v>14</v>
      </c>
      <c r="W38" s="706">
        <f t="shared" si="12"/>
        <v>100</v>
      </c>
      <c r="X38" s="1354"/>
      <c r="Y38" s="3691"/>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91"/>
      <c r="Q39" s="1351">
        <f t="shared" si="14"/>
        <v>111</v>
      </c>
      <c r="R39" s="705" t="s">
        <v>14</v>
      </c>
      <c r="S39" s="706">
        <f t="shared" si="10"/>
        <v>100</v>
      </c>
      <c r="T39" s="705" t="s">
        <v>14</v>
      </c>
      <c r="U39" s="706">
        <f t="shared" si="11"/>
        <v>100</v>
      </c>
      <c r="V39" s="705" t="s">
        <v>14</v>
      </c>
      <c r="W39" s="706">
        <f t="shared" si="12"/>
        <v>100</v>
      </c>
      <c r="X39" s="1354"/>
      <c r="Y39" s="3691"/>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91"/>
      <c r="Q40" s="1351">
        <f t="shared" si="14"/>
        <v>111</v>
      </c>
      <c r="R40" s="708" t="s">
        <v>14</v>
      </c>
      <c r="S40" s="709">
        <f t="shared" si="10"/>
        <v>100</v>
      </c>
      <c r="T40" s="708" t="s">
        <v>14</v>
      </c>
      <c r="U40" s="709">
        <f t="shared" si="11"/>
        <v>100</v>
      </c>
      <c r="V40" s="708" t="s">
        <v>14</v>
      </c>
      <c r="W40" s="709">
        <f t="shared" si="12"/>
        <v>100</v>
      </c>
      <c r="X40" s="710"/>
      <c r="Y40" s="3691"/>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1"/>
      <c r="M41" s="2713"/>
      <c r="N41" s="2713"/>
      <c r="O41" s="2722"/>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1"/>
      <c r="M42" s="2713"/>
      <c r="N42" s="2713"/>
      <c r="O42" s="2722"/>
      <c r="P42" s="3684" t="str">
        <f>A42</f>
        <v>比较价值（元/平方米）</v>
      </c>
      <c r="Q42" s="3684"/>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681" t="str">
        <f>A43</f>
        <v>估价对象XX用房的比较价值（楼面单价，元/平方米）</v>
      </c>
      <c r="Q43" s="3682"/>
      <c r="R43" s="3745" t="e">
        <f>ROUND(IF(D42="简单平均",AVERAGE(R42:W42),R42*F42+T42*H42+V42*J42),0)</f>
        <v>#DIV/0!</v>
      </c>
      <c r="S43" s="3745"/>
      <c r="T43" s="3745"/>
      <c r="U43" s="3745"/>
      <c r="V43" s="3745"/>
      <c r="W43" s="374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699" t="s">
        <v>1887</v>
      </c>
      <c r="H50" s="3746"/>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52974.33</v>
      </c>
      <c r="F51" s="639" t="e">
        <f t="shared" ref="F51:F60" si="15">ROUND(B51*E51/10000,0)</f>
        <v>#DIV/0!</v>
      </c>
      <c r="G51" s="3695"/>
      <c r="H51" s="368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20455.650000000001</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2024-12-1</v>
      </c>
      <c r="D63" s="692">
        <f>EDATE(C63,-3)</f>
        <v>45536</v>
      </c>
      <c r="E63" s="692">
        <f>EDATE(D63,-3)</f>
        <v>45444</v>
      </c>
      <c r="F63" s="692">
        <f t="shared" ref="F63:O63" si="18">EDATE(E63,-3)</f>
        <v>45352</v>
      </c>
      <c r="G63" s="692">
        <f t="shared" si="18"/>
        <v>45261</v>
      </c>
      <c r="H63" s="692">
        <f t="shared" si="18"/>
        <v>45170</v>
      </c>
      <c r="I63" s="692">
        <f t="shared" si="18"/>
        <v>45078</v>
      </c>
      <c r="J63" s="692">
        <f t="shared" si="18"/>
        <v>44986</v>
      </c>
      <c r="K63" s="692">
        <f t="shared" si="18"/>
        <v>44896</v>
      </c>
      <c r="L63" s="692">
        <f t="shared" si="18"/>
        <v>44805</v>
      </c>
      <c r="M63" s="692">
        <f t="shared" si="18"/>
        <v>44713</v>
      </c>
      <c r="N63" s="692">
        <f t="shared" si="18"/>
        <v>44621</v>
      </c>
      <c r="O63" s="692">
        <f t="shared" si="18"/>
        <v>44531</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f ca="1">SUMIF(B6:B13,"&lt;&gt;#ref!",B6:B13)</f>
        <v>20554</v>
      </c>
      <c r="C2" s="2144" t="s">
        <v>2074</v>
      </c>
      <c r="D2" s="2144" t="s">
        <v>2075</v>
      </c>
      <c r="E2" s="2610">
        <f ca="1">SUMIF(E6:E13,"&lt;&gt;#ref!",E6:E13)</f>
        <v>58476.87</v>
      </c>
      <c r="F2" s="2790"/>
      <c r="G2" s="2790"/>
      <c r="H2" s="2790"/>
      <c r="I2" s="2790"/>
      <c r="J2" s="2790"/>
      <c r="K2" s="2790"/>
      <c r="L2" s="2790"/>
      <c r="M2" s="2790"/>
      <c r="N2" s="2790"/>
      <c r="O2" s="2790"/>
      <c r="P2" s="2790"/>
    </row>
    <row r="3" spans="1:16" ht="15.75">
      <c r="A3" s="2144" t="s">
        <v>2076</v>
      </c>
      <c r="B3" s="2600">
        <f ca="1">ROUND(B2*10000/E2,0)</f>
        <v>3515</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20554</v>
      </c>
      <c r="C6" s="2144" t="s">
        <v>2074</v>
      </c>
      <c r="D6" s="2790"/>
      <c r="E6" s="2610">
        <f ca="1">SUMIF(INDIRECT("'"&amp;A6&amp;"'"&amp;"!C:C"),"建筑面积",INDIRECT("'"&amp;A6&amp;"'"&amp;"!D:D"))</f>
        <v>58476.87</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42" sqref="D4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58476.87</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20554</v>
      </c>
      <c r="C2" s="1998" t="s">
        <v>1935</v>
      </c>
      <c r="D2" s="1999" t="s">
        <v>1936</v>
      </c>
      <c r="E2" s="3419" t="s">
        <v>3423</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Ⅶ-通1</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58">
        <f>ROUND(SUMPRODUCT((B106:B110=R2)*(C105:N105=G2)*(C106:N110)),4)</f>
        <v>1.5019</v>
      </c>
      <c r="T2" s="3358">
        <f t="shared" ref="T2:T16" si="0">ROUND($C$5*$C$22*$C$23*$C$24*S2*$C$28,0)</f>
        <v>5784</v>
      </c>
      <c r="U2" s="1212"/>
      <c r="V2" s="3358">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3515</v>
      </c>
      <c r="C3" s="1998" t="s">
        <v>1941</v>
      </c>
      <c r="D3" s="1999" t="s">
        <v>1942</v>
      </c>
      <c r="E3" s="3417" t="s">
        <v>2460</v>
      </c>
      <c r="F3" s="2003" t="s">
        <v>3500</v>
      </c>
      <c r="G3" s="752">
        <f>IF(F3="宗地容积率",'数据-汇总表'!I4,IF(F3="估价对象容积率",'数据-汇总表'!I6,'数据-汇总表'!I7))</f>
        <v>2.17</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58">
        <f>ROUND(SUMPRODUCT((B106:B110=R3)*(C105:N105=G2)*(C106:N110)),4)</f>
        <v>1.1838</v>
      </c>
      <c r="T3" s="3358">
        <f t="shared" si="0"/>
        <v>4559</v>
      </c>
      <c r="U3" s="1212"/>
      <c r="V3" s="3358">
        <f t="shared" ref="V3:V16" si="1">ROUND(T3*U3/10000,0)</f>
        <v>0</v>
      </c>
      <c r="W3" s="1215"/>
      <c r="X3" s="1215"/>
      <c r="Y3" s="1215"/>
      <c r="Z3" s="1215"/>
      <c r="AA3" s="1215"/>
      <c r="AB3" s="1215"/>
      <c r="AC3" s="1216"/>
      <c r="AD3" s="1217"/>
      <c r="AE3" s="1217"/>
      <c r="AF3" s="1217"/>
      <c r="AG3" s="1217"/>
      <c r="AH3" s="1217"/>
      <c r="AI3" s="1217"/>
      <c r="AJ3" s="1218"/>
    </row>
    <row r="4" spans="1:36" ht="15.75">
      <c r="A4" s="3764"/>
      <c r="B4" s="3765"/>
      <c r="C4" s="3765"/>
      <c r="D4" s="3766"/>
      <c r="E4" s="3766"/>
      <c r="F4" s="3766"/>
      <c r="G4" s="3766"/>
      <c r="H4" s="3766"/>
      <c r="I4" s="3766"/>
      <c r="J4" s="3767"/>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58">
        <f>ROUND(SUMPRODUCT((B106:B110=R4)*(C105:N105=G2)*(C106:N110)),4)</f>
        <v>1.0004999999999999</v>
      </c>
      <c r="T4" s="3358">
        <f t="shared" si="0"/>
        <v>3853</v>
      </c>
      <c r="U4" s="1212"/>
      <c r="V4" s="3358">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5055</v>
      </c>
      <c r="D5" s="1338">
        <f>ROUND(C6*C17+C20,0)</f>
        <v>5055</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58">
        <f>ROUND(SUMPRODUCT((B106:B110=R5)*(C105:N105=G2)*(C106:N110)),4)</f>
        <v>0.88239999999999996</v>
      </c>
      <c r="T5" s="3358">
        <f t="shared" si="0"/>
        <v>3398</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5100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58">
        <f>ROUND(SUMPRODUCT((B106:B110=R6)*(C105:N105=G2)*(C106:N110)),4)</f>
        <v>0.84799999999999998</v>
      </c>
      <c r="T6" s="3358">
        <f t="shared" si="0"/>
        <v>3266</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3239</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5100</v>
      </c>
      <c r="N7" s="866">
        <f>SUMPRODUCT((因素修正幅度!B190:B233=I2)*(因素修正幅度!C3:G3=E2)*(因素修正幅度!C190:G233))</f>
        <v>0.13</v>
      </c>
      <c r="O7" s="1118"/>
      <c r="P7" s="1118"/>
      <c r="Q7" s="1118"/>
      <c r="R7" s="1211">
        <v>6</v>
      </c>
      <c r="S7" s="3416"/>
      <c r="T7" s="3358">
        <f t="shared" si="0"/>
        <v>0</v>
      </c>
      <c r="U7" s="1212"/>
      <c r="V7" s="3358">
        <f t="shared" si="1"/>
        <v>0</v>
      </c>
      <c r="W7" s="1357" t="s">
        <v>1955</v>
      </c>
      <c r="X7" s="1213" t="str">
        <f>G2</f>
        <v>七级</v>
      </c>
      <c r="Y7" s="1213" t="s">
        <v>1956</v>
      </c>
      <c r="Z7" s="1214">
        <f>G3</f>
        <v>2.17</v>
      </c>
      <c r="AA7" s="1215"/>
      <c r="AB7" s="1215"/>
      <c r="AC7" s="1216"/>
      <c r="AD7" s="1217"/>
      <c r="AE7" s="1217"/>
      <c r="AF7" s="1217"/>
      <c r="AG7" s="1217"/>
      <c r="AH7" s="1217"/>
      <c r="AI7" s="1217"/>
      <c r="AJ7" s="1218"/>
    </row>
    <row r="8" spans="1:36" ht="15">
      <c r="A8" s="3296"/>
      <c r="B8" s="170" t="s">
        <v>1957</v>
      </c>
      <c r="C8" s="2025"/>
      <c r="D8" s="756" t="s">
        <v>112</v>
      </c>
      <c r="E8" s="757" t="e">
        <f>ROUND(C11/E7,4)</f>
        <v>#DIV/0!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58">
        <f t="shared" si="0"/>
        <v>0</v>
      </c>
      <c r="U8" s="1212"/>
      <c r="V8" s="3358">
        <f t="shared" si="1"/>
        <v>0</v>
      </c>
      <c r="W8" s="3761" t="s">
        <v>1960</v>
      </c>
      <c r="X8" s="37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58">
        <f t="shared" si="0"/>
        <v>0</v>
      </c>
      <c r="U9" s="1212"/>
      <c r="V9" s="3358">
        <f t="shared" si="1"/>
        <v>0</v>
      </c>
      <c r="W9" s="3763"/>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8">
        <f t="shared" si="0"/>
        <v>0</v>
      </c>
      <c r="U10" s="1212"/>
      <c r="V10" s="3358">
        <f t="shared" si="1"/>
        <v>0</v>
      </c>
      <c r="W10" s="376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3240</v>
      </c>
      <c r="B12" s="3302" t="s">
        <v>3241</v>
      </c>
      <c r="C12" s="3303"/>
      <c r="D12" s="3304" t="s">
        <v>3242</v>
      </c>
      <c r="E12" s="3305" t="s">
        <v>3243</v>
      </c>
      <c r="F12" s="3306"/>
      <c r="G12" s="3307"/>
      <c r="H12" s="3307"/>
      <c r="I12" s="3307"/>
      <c r="J12" s="3308"/>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3244</v>
      </c>
      <c r="B13" s="2033" t="s">
        <v>1982</v>
      </c>
      <c r="C13" s="755">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3245</v>
      </c>
      <c r="G14" s="3309" t="s">
        <v>3245</v>
      </c>
      <c r="H14" s="3309" t="s">
        <v>3245</v>
      </c>
      <c r="I14" s="3309" t="s">
        <v>3245</v>
      </c>
      <c r="J14" s="3309" t="s">
        <v>3245</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3246</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3250</v>
      </c>
      <c r="E18" s="3326"/>
      <c r="F18" s="3321" t="s">
        <v>3253</v>
      </c>
      <c r="G18" s="3325">
        <f>ROUND(1-(1/(POWER(1+G24,E18))),4)</f>
        <v>0</v>
      </c>
      <c r="H18" s="3321" t="s">
        <v>3255</v>
      </c>
      <c r="I18" s="3325">
        <f>ROUND(1-(1/(POWER(1+G24,J24))),4)</f>
        <v>0.91279999999999994</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3251</v>
      </c>
      <c r="E19" s="3335"/>
      <c r="F19" s="3336" t="s">
        <v>3254</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768" t="s">
        <v>3256</v>
      </c>
      <c r="B20" s="167" t="s">
        <v>1994</v>
      </c>
      <c r="C20" s="3322">
        <f>ROUND(IF(F21="与级别开发程度一致",0,(G21-E21)/C21),0)</f>
        <v>-45</v>
      </c>
      <c r="D20" s="3338" t="s">
        <v>1998</v>
      </c>
      <c r="E20" s="3339"/>
      <c r="F20" s="3774" t="s">
        <v>1995</v>
      </c>
      <c r="G20" s="3775"/>
      <c r="H20" s="3323" t="s">
        <v>3501</v>
      </c>
      <c r="I20" s="3323" t="s">
        <v>3502</v>
      </c>
      <c r="J20" s="3324" t="s">
        <v>3503</v>
      </c>
      <c r="K20" s="2046" t="s">
        <v>3504</v>
      </c>
      <c r="L20" s="2046" t="s">
        <v>3505</v>
      </c>
      <c r="M20" s="2046"/>
      <c r="N20" s="2046"/>
      <c r="O20" s="2047" t="s">
        <v>3506</v>
      </c>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769"/>
      <c r="B21" s="2163" t="s">
        <v>1997</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3507</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0</v>
      </c>
      <c r="N21" s="2164">
        <f>SUMPRODUCT((七通一平=N20)*(修正!B1:M1=G2)*(修正!B8:M16))</f>
        <v>0</v>
      </c>
      <c r="O21" s="2166">
        <f>SUMPRODUCT((七通一平=O20)*(修正!B1:M1=G2)*(修正!B8:M16))</f>
        <v>15</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0.8</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2053" t="s">
        <v>2002</v>
      </c>
      <c r="E23" s="761">
        <v>44197</v>
      </c>
      <c r="F23" s="2053" t="s">
        <v>2003</v>
      </c>
      <c r="G23" s="762">
        <f>'数据-取费表'!B2</f>
        <v>45631</v>
      </c>
      <c r="H23" s="3340" t="s">
        <v>3257</v>
      </c>
      <c r="I23" s="3341" t="str">
        <f>IF(H23="季度增幅（自定义）",SUMIF(N25:N28,E2,O25:O28),"")</f>
        <v/>
      </c>
      <c r="J23" s="3443" t="s">
        <v>3508</v>
      </c>
      <c r="K23" s="1124"/>
      <c r="L23" s="2054" t="s">
        <v>2004</v>
      </c>
      <c r="M23" s="1327">
        <f>ROUND(SUMIF(地价!B2:G2,E2,地价!B16:G16),0)</f>
        <v>0</v>
      </c>
      <c r="N23" s="2055" t="s">
        <v>2005</v>
      </c>
      <c r="O23" s="763">
        <f>ROUNDDOWN(DATEDIF(E23,G23,"M")/3,0)</f>
        <v>15</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0.91600000000000004</v>
      </c>
      <c r="D24" s="2059" t="s">
        <v>2007</v>
      </c>
      <c r="E24" s="1334">
        <f>存贷款利率!E27/100</f>
        <v>4.3499999999999997E-2</v>
      </c>
      <c r="F24" s="2059" t="s">
        <v>1999</v>
      </c>
      <c r="G24" s="768">
        <f>SUMIF(M30:Q30,E2,M33:Q33)</f>
        <v>0.05</v>
      </c>
      <c r="H24" s="2059" t="s">
        <v>2008</v>
      </c>
      <c r="I24" s="769">
        <f>SUMIF('数据-取费表'!C6:C15,E2,'数据-取费表'!F6:F15)/COUNTIF('数据-取费表'!C6:C15,E2)</f>
        <v>37.07</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3336</v>
      </c>
      <c r="C25" s="771">
        <f>IF(B25="容积率修正",IF(G3&lt;10,D26,J26),C27)</f>
        <v>0.98170000000000002</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3258</v>
      </c>
      <c r="D26" s="1351">
        <f>IF(E26=G26,F26,IF(G3&lt;10,ROUND(F26+(H26-F26)*(G3-E26)/(G26-E26),4),"——"))</f>
        <v>0.98170000000000002</v>
      </c>
      <c r="E26" s="752">
        <f>ROUNDDOWN(G3,1)</f>
        <v>2.1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52">
        <f>ROUNDUP(G3,1)</f>
        <v>2.2000000000000002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42" t="s">
        <v>3259</v>
      </c>
      <c r="J26" s="772"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1.0147999999999999</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20554</v>
      </c>
      <c r="D30" s="2082"/>
      <c r="E30" s="2045"/>
      <c r="F30" s="2083"/>
      <c r="G30" s="2045"/>
      <c r="H30" s="2045"/>
      <c r="I30" s="2045"/>
      <c r="J30" s="2084"/>
      <c r="K30" s="1118"/>
      <c r="L30" s="3348" t="s">
        <v>1936</v>
      </c>
      <c r="M30" s="3349" t="s">
        <v>1990</v>
      </c>
      <c r="N30" s="3349" t="s">
        <v>1991</v>
      </c>
      <c r="O30" s="3349" t="s">
        <v>1992</v>
      </c>
      <c r="P30" s="3349" t="s">
        <v>1993</v>
      </c>
      <c r="Q30" s="3352"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133</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3780</v>
      </c>
      <c r="D33" s="2097">
        <f>'数据-汇总表'!F19</f>
        <v>52974.33</v>
      </c>
      <c r="E33" s="773">
        <f>ROUND(C33*D33/10000,0)</f>
        <v>20024</v>
      </c>
      <c r="F33" s="3343" t="s">
        <v>3261</v>
      </c>
      <c r="G33" s="2098"/>
      <c r="H33" s="2098"/>
      <c r="I33" s="2098"/>
      <c r="J33" s="2099"/>
      <c r="K33" s="1118"/>
      <c r="L33" s="3346" t="s">
        <v>3264</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945</v>
      </c>
      <c r="D34" s="2102"/>
      <c r="E34" s="773">
        <f>ROUND(IF(B25="楼层修正",SUM(V2:V16)*M40,C34*D34/10000),0)</f>
        <v>0</v>
      </c>
      <c r="F34" s="2103" t="s">
        <v>2032</v>
      </c>
      <c r="G34" s="2104"/>
      <c r="H34" s="2104"/>
      <c r="I34" s="2104"/>
      <c r="J34" s="2105"/>
      <c r="K34" s="1118"/>
      <c r="L34" s="3346" t="s">
        <v>3265</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3266</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2"/>
      <c r="B37" s="2112" t="s">
        <v>2036</v>
      </c>
      <c r="C37" s="175">
        <f>ROUND(D5*C22*C23*C24*C28*F37,0)</f>
        <v>2311</v>
      </c>
      <c r="D37" s="2097"/>
      <c r="E37" s="171">
        <f>ROUND(C37*D37/10000,0)</f>
        <v>0</v>
      </c>
      <c r="F37" s="171">
        <f>SUMIF(修正!A57:A68,G2,修正!B57:B68)</f>
        <v>0.6</v>
      </c>
      <c r="G37" s="171">
        <f>ROUND(IF(E2="工业",C37*$M$42,C37*$M$41),0)</f>
        <v>578</v>
      </c>
      <c r="H37" s="171">
        <f>D37</f>
        <v>0</v>
      </c>
      <c r="I37" s="171">
        <f>ROUND(G37*H37/10000,0)</f>
        <v>0</v>
      </c>
      <c r="J37" s="3009"/>
      <c r="K37" s="3356" t="s">
        <v>3267</v>
      </c>
      <c r="L37" s="3354">
        <f ca="1">L36+K38</f>
        <v>3.5999999999999997E-2</v>
      </c>
      <c r="M37" s="3355">
        <f ca="1">ROUND($L$37*(1+M31),3)</f>
        <v>4.4999999999999998E-2</v>
      </c>
      <c r="N37" s="3355">
        <f t="shared" ref="N37:Q37" ca="1" si="3">ROUND($L$37*(1+N31),3)</f>
        <v>4.2999999999999997E-2</v>
      </c>
      <c r="O37" s="3355">
        <f t="shared" ca="1" si="3"/>
        <v>4.1000000000000002E-2</v>
      </c>
      <c r="P37" s="3355">
        <f t="shared" ca="1" si="3"/>
        <v>0.04</v>
      </c>
      <c r="Q37" s="3355">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3"/>
      <c r="B38" s="2040" t="s">
        <v>2037</v>
      </c>
      <c r="C38" s="175">
        <f>ROUND(D5*C22*C23*C24*C28*F38,0)</f>
        <v>1155</v>
      </c>
      <c r="D38" s="2097"/>
      <c r="E38" s="171">
        <f t="shared" ref="E38:E42" si="4">ROUND(C38*D38/10000,0)</f>
        <v>0</v>
      </c>
      <c r="F38" s="171">
        <f>SUMIF(修正!A57:A68,G2,修正!C57:C68)</f>
        <v>0.3</v>
      </c>
      <c r="G38" s="171">
        <f>ROUND(IF(E2="工业",C38*$M$42,C38*$M$41),0)</f>
        <v>289</v>
      </c>
      <c r="H38" s="171">
        <f t="shared" ref="H38:H42" si="5">D38</f>
        <v>0</v>
      </c>
      <c r="I38" s="171">
        <f t="shared" ref="I38:I42" si="6">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73"/>
      <c r="B39" s="2040" t="s">
        <v>3260</v>
      </c>
      <c r="C39" s="175">
        <f>ROUND(D5*C22*C23*C24*C28*F39,0)</f>
        <v>963</v>
      </c>
      <c r="D39" s="2097"/>
      <c r="E39" s="171">
        <f t="shared" si="4"/>
        <v>0</v>
      </c>
      <c r="F39" s="171">
        <f>SUMIF(修正!A57:A68,G2,修正!D57:D68)</f>
        <v>0.25</v>
      </c>
      <c r="G39" s="171">
        <f>ROUND(IF(E2="工业",C39*$M$42,C39*$M$41),0)</f>
        <v>241</v>
      </c>
      <c r="H39" s="171">
        <f t="shared" si="5"/>
        <v>0</v>
      </c>
      <c r="I39" s="171">
        <f t="shared" si="6"/>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963</v>
      </c>
      <c r="D40" s="2097">
        <f>'数据-基础表'!K18+'数据-基础表'!K22+'数据-基础表'!K28</f>
        <v>5502.54</v>
      </c>
      <c r="E40" s="171">
        <f t="shared" si="4"/>
        <v>530</v>
      </c>
      <c r="F40" s="175">
        <f>SUMIF(修正!A57:A68,G2,修正!E57:E68)</f>
        <v>0.25</v>
      </c>
      <c r="G40" s="171">
        <f>ROUND(IF(E2="工业",C40*$M$42,C40*$M$41),0)</f>
        <v>241</v>
      </c>
      <c r="H40" s="171">
        <f t="shared" si="5"/>
        <v>5502.54</v>
      </c>
      <c r="I40" s="171">
        <f t="shared" si="6"/>
        <v>133</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963</v>
      </c>
      <c r="D41" s="2097"/>
      <c r="E41" s="171">
        <f t="shared" si="4"/>
        <v>0</v>
      </c>
      <c r="F41" s="175">
        <f>SUMIF(修正!A57:A68,G2,修正!F57:F68)</f>
        <v>0.25</v>
      </c>
      <c r="G41" s="171">
        <f>ROUND(IF(E2="工业",C41*$M$42,C41*$M$41),0)</f>
        <v>241</v>
      </c>
      <c r="H41" s="171">
        <f t="shared" si="5"/>
        <v>0</v>
      </c>
      <c r="I41" s="171">
        <f t="shared" si="6"/>
        <v>0</v>
      </c>
      <c r="J41" s="2113"/>
      <c r="L41" s="3357"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578</v>
      </c>
      <c r="D42" s="2102"/>
      <c r="E42" s="187">
        <f t="shared" si="4"/>
        <v>0</v>
      </c>
      <c r="F42" s="767">
        <f>SUMIF(修正!A57:A68,G2,修正!G57:G68)</f>
        <v>0.15</v>
      </c>
      <c r="G42" s="187">
        <f>ROUND(IF(E2="工业",C42*$M$42,C42*$M$41),0)</f>
        <v>145</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0.91600000000000004</v>
      </c>
      <c r="D44" s="171" t="s">
        <v>1999</v>
      </c>
      <c r="E44" s="2152">
        <f>G24</f>
        <v>0.05</v>
      </c>
      <c r="F44" s="171" t="s">
        <v>2008</v>
      </c>
      <c r="G44" s="183">
        <f>项目基本情况!F15</f>
        <v>37.07</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hidden="1">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hidden="1">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19"/>
      <c r="AB50" s="1119"/>
      <c r="AC50" s="1119"/>
      <c r="AD50" s="1119"/>
      <c r="AE50" s="1119"/>
      <c r="AF50" s="1119"/>
      <c r="AG50" s="1119"/>
      <c r="AH50" s="1119"/>
      <c r="AI50" s="1119"/>
      <c r="AJ50" s="1119"/>
      <c r="AK50" s="1119"/>
    </row>
    <row r="51" spans="1:37" s="1118" customFormat="1" ht="38.25" hidden="1">
      <c r="A51" s="2129" t="s">
        <v>2053</v>
      </c>
      <c r="B51" s="2133" t="str">
        <f>估价对象房地状况!C18</f>
        <v>估价对象周边道路状况、公共交通通达情况、停车便捷程度，综合评价交通便捷度较好</v>
      </c>
      <c r="C51" s="2043"/>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19"/>
      <c r="AB51" s="1119"/>
      <c r="AC51" s="1119"/>
      <c r="AD51" s="1119"/>
      <c r="AE51" s="1119"/>
      <c r="AF51" s="1119"/>
      <c r="AG51" s="1119"/>
      <c r="AH51" s="1119"/>
      <c r="AI51" s="1119"/>
      <c r="AJ51" s="1119"/>
      <c r="AK51" s="1119"/>
    </row>
    <row r="52" spans="1:37" s="1118" customFormat="1" ht="36" hidden="1">
      <c r="A52" s="3366" t="s">
        <v>3270</v>
      </c>
      <c r="B52" s="2133">
        <f>估价对象房地状况!C19</f>
        <v>0</v>
      </c>
      <c r="C52" s="2043"/>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19"/>
      <c r="AB52" s="1119"/>
      <c r="AC52" s="1119"/>
      <c r="AD52" s="1119"/>
      <c r="AE52" s="1119"/>
      <c r="AF52" s="1119"/>
      <c r="AG52" s="1119"/>
      <c r="AH52" s="1119"/>
      <c r="AI52" s="1119"/>
      <c r="AJ52" s="1119"/>
      <c r="AK52" s="1119"/>
    </row>
    <row r="53" spans="1:37" s="1118" customFormat="1" ht="36.75" hidden="1">
      <c r="A53" s="2129" t="s">
        <v>2054</v>
      </c>
      <c r="B53" s="2134" t="s">
        <v>2055</v>
      </c>
      <c r="C53" s="2043"/>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19"/>
      <c r="AB53" s="1119"/>
      <c r="AC53" s="1119"/>
      <c r="AD53" s="1119"/>
      <c r="AE53" s="1119"/>
      <c r="AF53" s="1119"/>
      <c r="AG53" s="1119"/>
      <c r="AH53" s="1119"/>
      <c r="AI53" s="1119"/>
      <c r="AJ53" s="1119"/>
      <c r="AK53" s="1119"/>
    </row>
    <row r="54" spans="1:37" s="1118" customFormat="1" ht="24" hidden="1">
      <c r="A54" s="2129" t="s">
        <v>2056</v>
      </c>
      <c r="B54" s="2133">
        <f>估价对象房地状况!C24</f>
        <v>0</v>
      </c>
      <c r="C54" s="2043"/>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19"/>
      <c r="AB54" s="1119"/>
      <c r="AC54" s="1119"/>
      <c r="AD54" s="1119"/>
      <c r="AE54" s="1119"/>
      <c r="AF54" s="1119"/>
      <c r="AG54" s="1119"/>
      <c r="AH54" s="1119"/>
      <c r="AI54" s="1119"/>
      <c r="AJ54" s="1119"/>
      <c r="AK54" s="1119"/>
    </row>
    <row r="55" spans="1:37" s="1118" customFormat="1" ht="24" hidden="1">
      <c r="A55" s="2129" t="s">
        <v>2057</v>
      </c>
      <c r="B55" s="2135" t="s">
        <v>2058</v>
      </c>
      <c r="C55" s="2043"/>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19"/>
      <c r="AB55" s="1119"/>
      <c r="AC55" s="1119"/>
      <c r="AD55" s="1119"/>
      <c r="AE55" s="1119"/>
      <c r="AF55" s="1119"/>
      <c r="AG55" s="1119"/>
      <c r="AH55" s="1119"/>
      <c r="AI55" s="1119"/>
      <c r="AJ55" s="1119"/>
      <c r="AK55" s="1119"/>
    </row>
    <row r="56" spans="1:37" s="1118" customFormat="1" ht="25.5" hidden="1">
      <c r="A56" s="2136" t="s">
        <v>2059</v>
      </c>
      <c r="B56" s="1325" t="str">
        <f>估价对象房地状况!C21</f>
        <v>估价对象所在区域公共配套设施齐备情况</v>
      </c>
      <c r="C56" s="2043"/>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19"/>
      <c r="AB56" s="1119"/>
      <c r="AC56" s="1119"/>
      <c r="AD56" s="1119"/>
      <c r="AE56" s="1119"/>
      <c r="AF56" s="1119"/>
      <c r="AG56" s="1119"/>
      <c r="AH56" s="1119"/>
      <c r="AI56" s="1119"/>
      <c r="AJ56" s="1119"/>
      <c r="AK56" s="1119"/>
    </row>
    <row r="57" spans="1:37" s="1118" customFormat="1" ht="25.5" hidden="1">
      <c r="A57" s="2136" t="s">
        <v>2060</v>
      </c>
      <c r="B57" s="2133" t="str">
        <f>估价对象房地状况!C22</f>
        <v>估价对象所在区域基础设施水平</v>
      </c>
      <c r="C57" s="2043"/>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19"/>
      <c r="AB57" s="1119"/>
      <c r="AC57" s="1119"/>
      <c r="AD57" s="1119"/>
      <c r="AE57" s="1119"/>
      <c r="AF57" s="1119"/>
      <c r="AG57" s="1119"/>
      <c r="AH57" s="1119"/>
      <c r="AI57" s="1119"/>
      <c r="AJ57" s="1119"/>
      <c r="AK57" s="1119"/>
    </row>
    <row r="58" spans="1:37" s="1118" customFormat="1" ht="26.25" hidden="1" thickBot="1">
      <c r="A58" s="2137" t="s">
        <v>2061</v>
      </c>
      <c r="B58" s="2138" t="str">
        <f>估价对象房地状况!C20</f>
        <v>区域自然环境：；人文环境；综合评价环境状况一般</v>
      </c>
      <c r="C58" s="2043"/>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19"/>
      <c r="AB58" s="1119"/>
      <c r="AC58" s="1119"/>
      <c r="AD58" s="1119"/>
      <c r="AE58" s="1119"/>
      <c r="AF58" s="1119"/>
      <c r="AG58" s="1119"/>
      <c r="AH58" s="1119"/>
      <c r="AI58" s="1119"/>
      <c r="AJ58" s="1119"/>
      <c r="AK58" s="1119"/>
    </row>
    <row r="59" spans="1:37" s="1118" customFormat="1" ht="15" hidden="1">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hidden="1">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hidden="1">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19"/>
      <c r="AB61" s="1119"/>
      <c r="AC61" s="1119"/>
      <c r="AD61" s="1119"/>
      <c r="AE61" s="1119"/>
      <c r="AF61" s="1119"/>
      <c r="AG61" s="1119"/>
      <c r="AH61" s="1119"/>
      <c r="AI61" s="1119"/>
      <c r="AJ61" s="1119"/>
      <c r="AK61" s="1119"/>
    </row>
    <row r="62" spans="1:37" s="1118" customFormat="1" ht="38.25" hidden="1">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19"/>
      <c r="AB62" s="1119"/>
      <c r="AC62" s="1119"/>
      <c r="AD62" s="1119"/>
      <c r="AE62" s="1119"/>
      <c r="AF62" s="1119"/>
      <c r="AG62" s="1119"/>
      <c r="AH62" s="1119"/>
      <c r="AI62" s="1119"/>
      <c r="AJ62" s="1119"/>
      <c r="AK62" s="1119"/>
    </row>
    <row r="63" spans="1:37" s="1118" customFormat="1" ht="36" hidden="1">
      <c r="A63" s="3366" t="s">
        <v>3270</v>
      </c>
      <c r="B63" s="2133">
        <f>估价对象房地状况!C19</f>
        <v>0</v>
      </c>
      <c r="C63" s="2043"/>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19"/>
      <c r="AB63" s="1119"/>
      <c r="AC63" s="1119"/>
      <c r="AD63" s="1119"/>
      <c r="AE63" s="1119"/>
      <c r="AF63" s="1119"/>
      <c r="AG63" s="1119"/>
      <c r="AH63" s="1119"/>
      <c r="AI63" s="1119"/>
      <c r="AJ63" s="1119"/>
      <c r="AK63" s="1119"/>
    </row>
    <row r="64" spans="1:37" s="1118" customFormat="1" ht="36.75" hidden="1">
      <c r="A64" s="2129" t="s">
        <v>2054</v>
      </c>
      <c r="B64" s="2134" t="s">
        <v>2055</v>
      </c>
      <c r="C64" s="2043"/>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19"/>
      <c r="AB64" s="1119"/>
      <c r="AC64" s="1119"/>
      <c r="AD64" s="1119"/>
      <c r="AE64" s="1119"/>
      <c r="AF64" s="1119"/>
      <c r="AG64" s="1119"/>
      <c r="AH64" s="1119"/>
      <c r="AI64" s="1119"/>
      <c r="AJ64" s="1119"/>
      <c r="AK64" s="1119"/>
    </row>
    <row r="65" spans="1:37" s="1118" customFormat="1" ht="24" hidden="1">
      <c r="A65" s="2129" t="s">
        <v>2056</v>
      </c>
      <c r="B65" s="2133">
        <f>估价对象房地状况!C24</f>
        <v>0</v>
      </c>
      <c r="C65" s="2043"/>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19"/>
      <c r="AB65" s="1119"/>
      <c r="AC65" s="1119"/>
      <c r="AD65" s="1119"/>
      <c r="AE65" s="1119"/>
      <c r="AF65" s="1119"/>
      <c r="AG65" s="1119"/>
      <c r="AH65" s="1119"/>
      <c r="AI65" s="1119"/>
      <c r="AJ65" s="1119"/>
      <c r="AK65" s="1119"/>
    </row>
    <row r="66" spans="1:37" s="1118" customFormat="1" ht="24" hidden="1">
      <c r="A66" s="2129" t="s">
        <v>2057</v>
      </c>
      <c r="B66" s="2135" t="s">
        <v>2058</v>
      </c>
      <c r="C66" s="2043"/>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19"/>
      <c r="AB66" s="1119"/>
      <c r="AC66" s="1119"/>
      <c r="AD66" s="1119"/>
      <c r="AE66" s="1119"/>
      <c r="AF66" s="1119"/>
      <c r="AG66" s="1119"/>
      <c r="AH66" s="1119"/>
      <c r="AI66" s="1119"/>
      <c r="AJ66" s="1119"/>
      <c r="AK66" s="1119"/>
    </row>
    <row r="67" spans="1:37" s="1118" customFormat="1" ht="25.5" hidden="1">
      <c r="A67" s="2129" t="s">
        <v>2059</v>
      </c>
      <c r="B67" s="1325" t="str">
        <f>估价对象房地状况!C21</f>
        <v>估价对象所在区域公共配套设施齐备情况</v>
      </c>
      <c r="C67" s="2043"/>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19"/>
      <c r="AB67" s="1119"/>
      <c r="AC67" s="1119"/>
      <c r="AD67" s="1119"/>
      <c r="AE67" s="1119"/>
      <c r="AF67" s="1119"/>
      <c r="AG67" s="1119"/>
      <c r="AH67" s="1119"/>
      <c r="AI67" s="1119"/>
      <c r="AJ67" s="1119"/>
      <c r="AK67" s="1119"/>
    </row>
    <row r="68" spans="1:37" s="1118" customFormat="1" ht="25.5" hidden="1">
      <c r="A68" s="2129" t="s">
        <v>2060</v>
      </c>
      <c r="B68" s="1325" t="str">
        <f>估价对象房地状况!C22</f>
        <v>估价对象所在区域基础设施水平</v>
      </c>
      <c r="C68" s="2043"/>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19"/>
      <c r="AB68" s="1119"/>
      <c r="AC68" s="1119"/>
      <c r="AD68" s="1119"/>
      <c r="AE68" s="1119"/>
      <c r="AF68" s="1119"/>
      <c r="AG68" s="1119"/>
      <c r="AH68" s="1119"/>
      <c r="AI68" s="1119"/>
      <c r="AJ68" s="1119"/>
      <c r="AK68" s="1119"/>
    </row>
    <row r="69" spans="1:37" s="1118" customFormat="1" ht="26.25" hidden="1"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19"/>
      <c r="AB69" s="1119"/>
      <c r="AC69" s="1119"/>
      <c r="AD69" s="1119"/>
      <c r="AE69" s="1119"/>
      <c r="AF69" s="1119"/>
      <c r="AG69" s="1119"/>
      <c r="AH69" s="1119"/>
      <c r="AI69" s="1119"/>
      <c r="AJ69" s="1119"/>
      <c r="AK69" s="1119"/>
    </row>
    <row r="70" spans="1:37" s="1118" customFormat="1" ht="15" hidden="1">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hidden="1">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hidden="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19"/>
      <c r="AB72" s="1119"/>
      <c r="AC72" s="1119"/>
      <c r="AD72" s="1119"/>
      <c r="AE72" s="1119"/>
      <c r="AF72" s="1119"/>
      <c r="AG72" s="1119"/>
      <c r="AH72" s="1119"/>
      <c r="AI72" s="1119"/>
      <c r="AJ72" s="1119"/>
      <c r="AK72" s="1119"/>
    </row>
    <row r="73" spans="1:37" s="1118" customFormat="1" ht="38.25" hidden="1">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4">
        <v>0.26</v>
      </c>
      <c r="J73" s="1064">
        <f t="shared" si="19"/>
        <v>0</v>
      </c>
      <c r="K73" s="1064">
        <f t="shared" si="20"/>
        <v>0</v>
      </c>
      <c r="L73" s="1064">
        <v>0</v>
      </c>
      <c r="M73" s="1064">
        <f t="shared" si="21"/>
        <v>0</v>
      </c>
      <c r="N73" s="1064">
        <f t="shared" si="21"/>
        <v>0</v>
      </c>
      <c r="AA73" s="1119"/>
      <c r="AB73" s="1119"/>
      <c r="AC73" s="1119"/>
      <c r="AD73" s="1119"/>
      <c r="AE73" s="1119"/>
      <c r="AF73" s="1119"/>
      <c r="AG73" s="1119"/>
      <c r="AH73" s="1119"/>
      <c r="AI73" s="1119"/>
      <c r="AJ73" s="1119"/>
      <c r="AK73" s="1119"/>
    </row>
    <row r="74" spans="1:37" s="1996" customFormat="1" ht="36" hidden="1">
      <c r="A74" s="3366" t="s">
        <v>3270</v>
      </c>
      <c r="B74" s="2133">
        <f>估价对象房地状况!C19</f>
        <v>0</v>
      </c>
      <c r="C74" s="2043"/>
      <c r="D74" s="1065">
        <f t="shared" si="17"/>
        <v>0</v>
      </c>
      <c r="E74" s="747"/>
      <c r="F74" s="1813"/>
      <c r="G74" s="1063"/>
      <c r="H74" s="1066" t="str">
        <f t="shared" si="18"/>
        <v>——</v>
      </c>
      <c r="I74" s="3364">
        <v>0.1</v>
      </c>
      <c r="J74" s="1064">
        <f t="shared" si="19"/>
        <v>0</v>
      </c>
      <c r="K74" s="1064">
        <f t="shared" si="20"/>
        <v>0</v>
      </c>
      <c r="L74" s="1064">
        <v>0</v>
      </c>
      <c r="M74" s="1064">
        <f t="shared" si="21"/>
        <v>0</v>
      </c>
      <c r="N74" s="1064">
        <f t="shared" si="21"/>
        <v>0</v>
      </c>
      <c r="O74" s="1118"/>
      <c r="P74" s="1118"/>
      <c r="Q74" s="1118"/>
      <c r="AA74" s="2140"/>
      <c r="AB74" s="1119"/>
      <c r="AC74" s="1119"/>
      <c r="AD74" s="1119"/>
      <c r="AE74" s="1119"/>
      <c r="AF74" s="1119"/>
      <c r="AG74" s="1119"/>
      <c r="AH74" s="2140"/>
      <c r="AI74" s="2140"/>
      <c r="AJ74" s="2140"/>
      <c r="AK74" s="2140"/>
    </row>
    <row r="75" spans="1:37" ht="14.25" hidden="1">
      <c r="A75" s="2129" t="s">
        <v>2067</v>
      </c>
      <c r="B75" s="2133">
        <f>估价对象房地状况!C24</f>
        <v>0</v>
      </c>
      <c r="C75" s="2043"/>
      <c r="D75" s="1065">
        <f t="shared" si="17"/>
        <v>0</v>
      </c>
      <c r="E75" s="747"/>
      <c r="F75" s="1813"/>
      <c r="G75" s="1063"/>
      <c r="H75" s="1066" t="str">
        <f t="shared" si="18"/>
        <v>——</v>
      </c>
      <c r="I75" s="3364">
        <v>0.05</v>
      </c>
      <c r="J75" s="1064">
        <f t="shared" si="19"/>
        <v>0</v>
      </c>
      <c r="K75" s="1064">
        <f t="shared" si="20"/>
        <v>0</v>
      </c>
      <c r="L75" s="1064">
        <v>0</v>
      </c>
      <c r="M75" s="1064">
        <f t="shared" si="21"/>
        <v>0</v>
      </c>
      <c r="N75" s="1064">
        <f t="shared" si="21"/>
        <v>0</v>
      </c>
      <c r="O75" s="1118"/>
      <c r="P75" s="1118"/>
      <c r="Q75" s="1996"/>
      <c r="Z75" s="1997"/>
      <c r="AA75" s="2052"/>
      <c r="AG75" s="1120"/>
      <c r="AK75" s="2052"/>
    </row>
    <row r="76" spans="1:37" ht="25.5" hidden="1">
      <c r="A76" s="2129" t="s">
        <v>2059</v>
      </c>
      <c r="B76" s="1325" t="str">
        <f>估价对象房地状况!C21</f>
        <v>估价对象所在区域公共配套设施齐备情况</v>
      </c>
      <c r="C76" s="2043"/>
      <c r="D76" s="1065">
        <f t="shared" si="17"/>
        <v>0</v>
      </c>
      <c r="E76" s="747"/>
      <c r="F76" s="1813"/>
      <c r="G76" s="1063"/>
      <c r="H76" s="1066" t="str">
        <f t="shared" si="18"/>
        <v>——</v>
      </c>
      <c r="I76" s="3364">
        <v>0.08</v>
      </c>
      <c r="J76" s="1064">
        <f t="shared" si="19"/>
        <v>0</v>
      </c>
      <c r="K76" s="1064">
        <f t="shared" si="20"/>
        <v>0</v>
      </c>
      <c r="L76" s="1064">
        <v>0</v>
      </c>
      <c r="M76" s="1064">
        <f t="shared" si="21"/>
        <v>0</v>
      </c>
      <c r="N76" s="1064">
        <f t="shared" si="21"/>
        <v>0</v>
      </c>
      <c r="O76" s="1118"/>
      <c r="P76" s="1118"/>
      <c r="Z76" s="1997"/>
      <c r="AA76" s="2052"/>
      <c r="AG76" s="1120"/>
      <c r="AK76" s="2052"/>
    </row>
    <row r="77" spans="1:37" ht="25.5" hidden="1">
      <c r="A77" s="2129" t="s">
        <v>2060</v>
      </c>
      <c r="B77" s="1325" t="str">
        <f>估价对象房地状况!C22</f>
        <v>估价对象所在区域基础设施水平</v>
      </c>
      <c r="C77" s="2043"/>
      <c r="D77" s="1065">
        <f t="shared" si="17"/>
        <v>0</v>
      </c>
      <c r="E77" s="747"/>
      <c r="F77" s="1813"/>
      <c r="G77" s="1063"/>
      <c r="H77" s="1066" t="str">
        <f t="shared" si="18"/>
        <v>——</v>
      </c>
      <c r="I77" s="3364">
        <v>0.09</v>
      </c>
      <c r="J77" s="1064">
        <f t="shared" si="19"/>
        <v>0</v>
      </c>
      <c r="K77" s="1064">
        <f t="shared" si="20"/>
        <v>0</v>
      </c>
      <c r="L77" s="1064">
        <v>0</v>
      </c>
      <c r="M77" s="1064">
        <f t="shared" si="21"/>
        <v>0</v>
      </c>
      <c r="N77" s="1064">
        <f t="shared" si="21"/>
        <v>0</v>
      </c>
      <c r="O77" s="1118"/>
      <c r="P77" s="1118"/>
      <c r="Z77" s="1997"/>
      <c r="AA77" s="2052"/>
      <c r="AG77" s="1120"/>
      <c r="AK77" s="2052"/>
    </row>
    <row r="78" spans="1:37" ht="24" hidden="1">
      <c r="A78" s="2129" t="s">
        <v>2057</v>
      </c>
      <c r="B78" s="2135" t="s">
        <v>2058</v>
      </c>
      <c r="C78" s="2043"/>
      <c r="D78" s="1065">
        <f t="shared" si="17"/>
        <v>0</v>
      </c>
      <c r="E78" s="747"/>
      <c r="F78" s="1813"/>
      <c r="G78" s="1063"/>
      <c r="H78" s="1066" t="str">
        <f t="shared" si="18"/>
        <v>——</v>
      </c>
      <c r="I78" s="3364">
        <v>0.05</v>
      </c>
      <c r="J78" s="1064">
        <f t="shared" si="19"/>
        <v>0</v>
      </c>
      <c r="K78" s="1064">
        <f t="shared" si="20"/>
        <v>0</v>
      </c>
      <c r="L78" s="1064">
        <v>0</v>
      </c>
      <c r="M78" s="1064">
        <f t="shared" si="21"/>
        <v>0</v>
      </c>
      <c r="N78" s="1064">
        <f t="shared" si="21"/>
        <v>0</v>
      </c>
      <c r="O78" s="1996"/>
      <c r="P78" s="1996"/>
      <c r="Z78" s="1997"/>
      <c r="AA78" s="2052"/>
      <c r="AG78" s="1120"/>
      <c r="AK78" s="2052"/>
    </row>
    <row r="79" spans="1:37" ht="25.5" hidden="1">
      <c r="A79" s="2129" t="s">
        <v>2061</v>
      </c>
      <c r="B79" s="2132" t="str">
        <f>估价对象房地状况!C20</f>
        <v>区域自然环境：；人文环境；综合评价环境状况一般</v>
      </c>
      <c r="C79" s="2043"/>
      <c r="D79" s="1065">
        <f t="shared" si="17"/>
        <v>0</v>
      </c>
      <c r="E79" s="747"/>
      <c r="F79" s="1813"/>
      <c r="G79" s="1063"/>
      <c r="H79" s="1066" t="str">
        <f t="shared" si="18"/>
        <v>——</v>
      </c>
      <c r="I79" s="3364">
        <v>0.12</v>
      </c>
      <c r="J79" s="1064">
        <f t="shared" si="19"/>
        <v>0</v>
      </c>
      <c r="K79" s="1064">
        <f t="shared" si="20"/>
        <v>0</v>
      </c>
      <c r="L79" s="1064">
        <v>0</v>
      </c>
      <c r="M79" s="1064">
        <f t="shared" si="21"/>
        <v>0</v>
      </c>
      <c r="N79" s="1064">
        <f t="shared" si="21"/>
        <v>0</v>
      </c>
      <c r="Z79" s="1997"/>
      <c r="AA79" s="2052"/>
      <c r="AG79" s="1120"/>
      <c r="AK79" s="2052"/>
    </row>
    <row r="80" spans="1:37" ht="24.75" hidden="1" thickBot="1">
      <c r="A80" s="2137" t="s">
        <v>2068</v>
      </c>
      <c r="B80" s="2141"/>
      <c r="C80" s="2043"/>
      <c r="D80" s="1065">
        <f t="shared" si="17"/>
        <v>0</v>
      </c>
      <c r="E80" s="748"/>
      <c r="F80" s="1813"/>
      <c r="G80" s="1063"/>
      <c r="H80" s="1066" t="str">
        <f t="shared" si="18"/>
        <v>——</v>
      </c>
      <c r="I80" s="3365">
        <v>0.05</v>
      </c>
      <c r="J80" s="1064">
        <f t="shared" si="19"/>
        <v>0</v>
      </c>
      <c r="K80" s="1064">
        <f t="shared" si="20"/>
        <v>0</v>
      </c>
      <c r="L80" s="1064">
        <v>0</v>
      </c>
      <c r="M80" s="1064">
        <f t="shared" si="21"/>
        <v>0</v>
      </c>
      <c r="N80" s="1064">
        <f t="shared" si="21"/>
        <v>0</v>
      </c>
      <c r="Z80" s="1997"/>
      <c r="AA80" s="2052"/>
      <c r="AG80" s="1120"/>
      <c r="AK80" s="2052"/>
    </row>
    <row r="81" spans="1:37" ht="15" hidden="1">
      <c r="A81" s="2125" t="s">
        <v>2069</v>
      </c>
      <c r="B81" s="2126">
        <f>1+E83</f>
        <v>1</v>
      </c>
      <c r="C81" s="741"/>
      <c r="D81" s="741"/>
      <c r="E81" s="742"/>
      <c r="F81" s="2128"/>
      <c r="G81" s="3"/>
      <c r="H81" s="3"/>
      <c r="I81" s="3"/>
      <c r="J81" s="4"/>
      <c r="K81" s="4"/>
      <c r="L81" s="4"/>
      <c r="M81" s="4"/>
      <c r="N81" s="4"/>
      <c r="Z81" s="1997"/>
      <c r="AA81" s="2052"/>
      <c r="AG81" s="1120"/>
      <c r="AK81" s="2052"/>
    </row>
    <row r="82" spans="1:37" ht="24.75" hidden="1">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hidden="1">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7"/>
      <c r="AA83" s="2052"/>
      <c r="AG83" s="1120"/>
      <c r="AK83" s="2052"/>
    </row>
    <row r="84" spans="1:37" ht="38.25" hidden="1">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7"/>
      <c r="AA84" s="2052"/>
      <c r="AG84" s="1120"/>
      <c r="AK84" s="2052"/>
    </row>
    <row r="85" spans="1:37" ht="36" hidden="1">
      <c r="A85" s="3366" t="s">
        <v>3271</v>
      </c>
      <c r="B85" s="2133">
        <f>估价对象房地状况!G17</f>
        <v>0</v>
      </c>
      <c r="C85" s="2043"/>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7"/>
      <c r="AA85" s="2052"/>
      <c r="AG85" s="1120"/>
      <c r="AK85" s="2052"/>
    </row>
    <row r="86" spans="1:37" ht="14.25" hidden="1">
      <c r="A86" s="2129" t="s">
        <v>2067</v>
      </c>
      <c r="B86" s="2133">
        <f>估价对象房地状况!G22</f>
        <v>0</v>
      </c>
      <c r="C86" s="2043"/>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7"/>
      <c r="AA86" s="2052"/>
      <c r="AG86" s="1120"/>
      <c r="AK86" s="2052"/>
    </row>
    <row r="87" spans="1:37" ht="25.5" hidden="1">
      <c r="A87" s="2129" t="s">
        <v>2059</v>
      </c>
      <c r="B87" s="1325" t="str">
        <f>估价对象房地状况!G19</f>
        <v>估价对象所在区域公共配套设施齐备情况</v>
      </c>
      <c r="C87" s="2043"/>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5.5" hidden="1">
      <c r="A88" s="2129" t="s">
        <v>2060</v>
      </c>
      <c r="B88" s="1325" t="str">
        <f>估价对象房地状况!G20</f>
        <v>估价对象所在区域基础设施水平</v>
      </c>
      <c r="C88" s="2043"/>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24" hidden="1">
      <c r="A89" s="2129" t="s">
        <v>2057</v>
      </c>
      <c r="B89" s="2135" t="s">
        <v>2071</v>
      </c>
      <c r="C89" s="2043"/>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39" hidden="1"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5">
      <c r="A91" s="3374" t="s">
        <v>2614</v>
      </c>
      <c r="B91" s="3375">
        <f>1+E93</f>
        <v>1.0147999999999999</v>
      </c>
      <c r="C91" s="3368"/>
      <c r="D91" s="3369"/>
      <c r="E91" s="1813"/>
      <c r="F91" s="1813"/>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5"/>
      <c r="C93" s="2043" t="s">
        <v>3509</v>
      </c>
      <c r="D93" s="3363">
        <f>SUMIF($J$92:$N$92,C93,J93:N93)</f>
        <v>0</v>
      </c>
      <c r="E93" s="3379">
        <f>ROUND(SUM(D93:D101),4)</f>
        <v>1.4800000000000001E-2</v>
      </c>
      <c r="F93" s="1813">
        <f>IF(E2="公共服务",SUMIF(L1:L12,G2,N1:N12),"——")</f>
        <v>0.13</v>
      </c>
      <c r="G93" s="3370">
        <f>H93</f>
        <v>1.6199999999999999E-2</v>
      </c>
      <c r="H93" s="3418">
        <f>IFERROR(ROUNDDOWN($F$93*I93/2,4),"——")</f>
        <v>1.6199999999999999E-2</v>
      </c>
      <c r="I93" s="3364">
        <v>0.25</v>
      </c>
      <c r="J93" s="3342">
        <f t="shared" ref="J93:J101" si="27">K93+$G93</f>
        <v>3.2399999999999998E-2</v>
      </c>
      <c r="K93" s="3342">
        <f t="shared" ref="K93:K101" si="28">$L93+$G93</f>
        <v>1.6199999999999999E-2</v>
      </c>
      <c r="L93" s="3342">
        <v>0</v>
      </c>
      <c r="M93" s="3342">
        <f t="shared" ref="M93:N101" si="29">L93-$G93</f>
        <v>-1.6199999999999999E-2</v>
      </c>
      <c r="N93" s="3342">
        <f t="shared" si="29"/>
        <v>-3.2399999999999998E-2</v>
      </c>
    </row>
    <row r="94" spans="1:37" ht="38.25">
      <c r="A94" s="3376" t="s">
        <v>3274</v>
      </c>
      <c r="B94" s="3367" t="str">
        <f>估价对象房地状况!C18</f>
        <v>估价对象周边道路状况、公共交通通达情况、停车便捷程度，综合评价交通便捷度较好</v>
      </c>
      <c r="C94" s="2043" t="s">
        <v>3509</v>
      </c>
      <c r="D94" s="3363">
        <f t="shared" ref="D94:D101" si="30">SUMIF($J$60:$N$60,C94,J94:N94)</f>
        <v>0</v>
      </c>
      <c r="E94" s="3380"/>
      <c r="F94" s="1813"/>
      <c r="G94" s="3370">
        <f t="shared" ref="G94:G101" si="31">H94</f>
        <v>1.6899999999999998E-2</v>
      </c>
      <c r="H94" s="3418">
        <f>IFERROR(ROUNDDOWN($F$93*I94/2,4),"——")</f>
        <v>1.6899999999999998E-2</v>
      </c>
      <c r="I94" s="3364">
        <v>0.26</v>
      </c>
      <c r="J94" s="3342">
        <f t="shared" si="27"/>
        <v>3.3799999999999997E-2</v>
      </c>
      <c r="K94" s="3342">
        <f t="shared" si="28"/>
        <v>1.6899999999999998E-2</v>
      </c>
      <c r="L94" s="3342">
        <v>0</v>
      </c>
      <c r="M94" s="3342">
        <f t="shared" si="29"/>
        <v>-1.6899999999999998E-2</v>
      </c>
      <c r="N94" s="3342">
        <f t="shared" si="29"/>
        <v>-3.3799999999999997E-2</v>
      </c>
    </row>
    <row r="95" spans="1:37" ht="36">
      <c r="A95" s="3366" t="s">
        <v>3270</v>
      </c>
      <c r="B95" s="3367">
        <f>估价对象房地状况!C19</f>
        <v>0</v>
      </c>
      <c r="C95" s="2043" t="s">
        <v>3510</v>
      </c>
      <c r="D95" s="3363">
        <f t="shared" si="30"/>
        <v>7.1000000000000004E-3</v>
      </c>
      <c r="E95" s="3380"/>
      <c r="F95" s="1813"/>
      <c r="G95" s="3370">
        <f t="shared" si="31"/>
        <v>7.1000000000000004E-3</v>
      </c>
      <c r="H95" s="3418">
        <f t="shared" ref="H95:H101" si="32">IFERROR(ROUNDDOWN($F$93*I95/2,4),"——")</f>
        <v>7.1000000000000004E-3</v>
      </c>
      <c r="I95" s="3364">
        <v>0.11</v>
      </c>
      <c r="J95" s="3342">
        <f t="shared" si="27"/>
        <v>1.4200000000000001E-2</v>
      </c>
      <c r="K95" s="3342">
        <f t="shared" si="28"/>
        <v>7.1000000000000004E-3</v>
      </c>
      <c r="L95" s="3342">
        <v>0</v>
      </c>
      <c r="M95" s="3342">
        <f t="shared" si="29"/>
        <v>-7.1000000000000004E-3</v>
      </c>
      <c r="N95" s="3342">
        <f t="shared" si="29"/>
        <v>-1.4200000000000001E-2</v>
      </c>
    </row>
    <row r="96" spans="1:37" ht="36.75">
      <c r="A96" s="3376" t="s">
        <v>3275</v>
      </c>
      <c r="B96" s="3382" t="s">
        <v>3286</v>
      </c>
      <c r="C96" s="2043" t="s">
        <v>3510</v>
      </c>
      <c r="D96" s="3363">
        <f t="shared" si="30"/>
        <v>3.2000000000000002E-3</v>
      </c>
      <c r="E96" s="3380"/>
      <c r="F96" s="1813"/>
      <c r="G96" s="3370">
        <f t="shared" si="31"/>
        <v>3.2000000000000002E-3</v>
      </c>
      <c r="H96" s="3418">
        <f t="shared" si="32"/>
        <v>3.2000000000000002E-3</v>
      </c>
      <c r="I96" s="3364">
        <v>0.05</v>
      </c>
      <c r="J96" s="3342">
        <f t="shared" si="27"/>
        <v>6.4000000000000003E-3</v>
      </c>
      <c r="K96" s="3342">
        <f t="shared" si="28"/>
        <v>3.2000000000000002E-3</v>
      </c>
      <c r="L96" s="3342">
        <v>0</v>
      </c>
      <c r="M96" s="3342">
        <f t="shared" si="29"/>
        <v>-3.2000000000000002E-3</v>
      </c>
      <c r="N96" s="3342">
        <f t="shared" si="29"/>
        <v>-6.4000000000000003E-3</v>
      </c>
    </row>
    <row r="97" spans="1:14" ht="24">
      <c r="A97" s="3376" t="s">
        <v>3276</v>
      </c>
      <c r="B97" s="3367">
        <f>估价对象房地状况!C24</f>
        <v>0</v>
      </c>
      <c r="C97" s="2043" t="s">
        <v>3509</v>
      </c>
      <c r="D97" s="3363">
        <f t="shared" si="30"/>
        <v>0</v>
      </c>
      <c r="E97" s="3380"/>
      <c r="F97" s="1813"/>
      <c r="G97" s="3370">
        <f t="shared" si="31"/>
        <v>3.2000000000000002E-3</v>
      </c>
      <c r="H97" s="3418">
        <f t="shared" si="32"/>
        <v>3.2000000000000002E-3</v>
      </c>
      <c r="I97" s="3364">
        <v>0.05</v>
      </c>
      <c r="J97" s="3342">
        <f t="shared" si="27"/>
        <v>6.4000000000000003E-3</v>
      </c>
      <c r="K97" s="3342">
        <f t="shared" si="28"/>
        <v>3.2000000000000002E-3</v>
      </c>
      <c r="L97" s="3342">
        <v>0</v>
      </c>
      <c r="M97" s="3342">
        <f t="shared" si="29"/>
        <v>-3.2000000000000002E-3</v>
      </c>
      <c r="N97" s="3342">
        <f t="shared" si="29"/>
        <v>-6.4000000000000003E-3</v>
      </c>
    </row>
    <row r="98" spans="1:14" ht="24">
      <c r="A98" s="3376" t="s">
        <v>3277</v>
      </c>
      <c r="B98" s="3383" t="s">
        <v>3287</v>
      </c>
      <c r="C98" s="2043" t="s">
        <v>3510</v>
      </c>
      <c r="D98" s="3363">
        <f t="shared" si="30"/>
        <v>3.8999999999999998E-3</v>
      </c>
      <c r="E98" s="3380"/>
      <c r="F98" s="1813"/>
      <c r="G98" s="3370">
        <f t="shared" si="31"/>
        <v>3.8999999999999998E-3</v>
      </c>
      <c r="H98" s="3418">
        <f t="shared" si="32"/>
        <v>3.8999999999999998E-3</v>
      </c>
      <c r="I98" s="3364">
        <v>0.06</v>
      </c>
      <c r="J98" s="3342">
        <f t="shared" si="27"/>
        <v>7.7999999999999996E-3</v>
      </c>
      <c r="K98" s="3342">
        <f t="shared" si="28"/>
        <v>3.8999999999999998E-3</v>
      </c>
      <c r="L98" s="3342">
        <v>0</v>
      </c>
      <c r="M98" s="3342">
        <f t="shared" si="29"/>
        <v>-3.8999999999999998E-3</v>
      </c>
      <c r="N98" s="3342">
        <f t="shared" si="29"/>
        <v>-7.7999999999999996E-3</v>
      </c>
    </row>
    <row r="99" spans="1:14" ht="25.5">
      <c r="A99" s="3376" t="s">
        <v>3278</v>
      </c>
      <c r="B99" s="3367" t="str">
        <f>估价对象房地状况!C21</f>
        <v>估价对象所在区域公共配套设施齐备情况</v>
      </c>
      <c r="C99" s="2043" t="s">
        <v>3511</v>
      </c>
      <c r="D99" s="3363">
        <f t="shared" si="30"/>
        <v>-3.8999999999999998E-3</v>
      </c>
      <c r="E99" s="3380"/>
      <c r="F99" s="1813"/>
      <c r="G99" s="3370">
        <f t="shared" si="31"/>
        <v>3.8999999999999998E-3</v>
      </c>
      <c r="H99" s="3418">
        <f t="shared" si="32"/>
        <v>3.8999999999999998E-3</v>
      </c>
      <c r="I99" s="3364">
        <v>0.06</v>
      </c>
      <c r="J99" s="3342">
        <f t="shared" si="27"/>
        <v>7.7999999999999996E-3</v>
      </c>
      <c r="K99" s="3342">
        <f t="shared" si="28"/>
        <v>3.8999999999999998E-3</v>
      </c>
      <c r="L99" s="3342">
        <v>0</v>
      </c>
      <c r="M99" s="3342">
        <f t="shared" si="29"/>
        <v>-3.8999999999999998E-3</v>
      </c>
      <c r="N99" s="3342">
        <f t="shared" si="29"/>
        <v>-7.7999999999999996E-3</v>
      </c>
    </row>
    <row r="100" spans="1:14" ht="25.5">
      <c r="A100" s="3376" t="s">
        <v>3279</v>
      </c>
      <c r="B100" s="3367" t="str">
        <f>估价对象房地状况!C22</f>
        <v>估价对象所在区域基础设施水平</v>
      </c>
      <c r="C100" s="2043" t="s">
        <v>3509</v>
      </c>
      <c r="D100" s="3363">
        <f t="shared" si="30"/>
        <v>0</v>
      </c>
      <c r="E100" s="3380"/>
      <c r="F100" s="1813"/>
      <c r="G100" s="3370">
        <f t="shared" si="31"/>
        <v>5.7999999999999996E-3</v>
      </c>
      <c r="H100" s="3418">
        <f t="shared" si="32"/>
        <v>5.7999999999999996E-3</v>
      </c>
      <c r="I100" s="3364">
        <v>0.09</v>
      </c>
      <c r="J100" s="3342">
        <f t="shared" si="27"/>
        <v>1.1599999999999999E-2</v>
      </c>
      <c r="K100" s="3342">
        <f t="shared" si="28"/>
        <v>5.7999999999999996E-3</v>
      </c>
      <c r="L100" s="3342">
        <v>0</v>
      </c>
      <c r="M100" s="3342">
        <f t="shared" si="29"/>
        <v>-5.7999999999999996E-3</v>
      </c>
      <c r="N100" s="3342">
        <f t="shared" si="29"/>
        <v>-1.1599999999999999E-2</v>
      </c>
    </row>
    <row r="101" spans="1:14" ht="26.25" thickBot="1">
      <c r="A101" s="3377" t="s">
        <v>3280</v>
      </c>
      <c r="B101" s="3384" t="str">
        <f>估价对象房地状况!C20</f>
        <v>区域自然环境：；人文环境；综合评价环境状况一般</v>
      </c>
      <c r="C101" s="2043" t="s">
        <v>3510</v>
      </c>
      <c r="D101" s="3363">
        <f t="shared" si="30"/>
        <v>4.4999999999999997E-3</v>
      </c>
      <c r="E101" s="3381"/>
      <c r="F101" s="1813"/>
      <c r="G101" s="3370">
        <f t="shared" si="31"/>
        <v>4.4999999999999997E-3</v>
      </c>
      <c r="H101" s="3418">
        <f t="shared" si="32"/>
        <v>4.4999999999999997E-3</v>
      </c>
      <c r="I101" s="3365">
        <v>7.0000000000000007E-2</v>
      </c>
      <c r="J101" s="3342">
        <f t="shared" si="27"/>
        <v>8.9999999999999993E-3</v>
      </c>
      <c r="K101" s="3342">
        <f t="shared" si="28"/>
        <v>4.4999999999999997E-3</v>
      </c>
      <c r="L101" s="3342">
        <v>0</v>
      </c>
      <c r="M101" s="3342">
        <f t="shared" si="29"/>
        <v>-4.4999999999999997E-3</v>
      </c>
      <c r="N101" s="3342">
        <f t="shared" si="29"/>
        <v>-8.9999999999999993E-3</v>
      </c>
    </row>
    <row r="103" spans="1:14">
      <c r="A103" s="3770" t="s">
        <v>3295</v>
      </c>
      <c r="B103" s="3770"/>
      <c r="C103" s="3770"/>
      <c r="D103" s="3770"/>
      <c r="E103" s="3770"/>
      <c r="F103" s="3770"/>
      <c r="G103" s="3770"/>
      <c r="H103" s="3770"/>
      <c r="I103" s="3770"/>
      <c r="J103" s="3770"/>
      <c r="K103" s="3387"/>
      <c r="L103" s="3387"/>
      <c r="M103" s="3387"/>
      <c r="N103" s="3387"/>
    </row>
    <row r="104" spans="1:14">
      <c r="A104" s="3771" t="s">
        <v>3296</v>
      </c>
      <c r="B104" s="3771" t="s">
        <v>3297</v>
      </c>
      <c r="C104" s="3388" t="s">
        <v>3298</v>
      </c>
      <c r="D104" s="3389"/>
      <c r="E104" s="3389"/>
      <c r="F104" s="3389"/>
      <c r="G104" s="3389"/>
      <c r="H104" s="3389"/>
      <c r="I104" s="3389"/>
      <c r="J104" s="3390"/>
      <c r="K104" s="3391"/>
      <c r="L104" s="3391"/>
      <c r="M104" s="3391"/>
      <c r="N104" s="3391"/>
    </row>
    <row r="105" spans="1:14">
      <c r="A105" s="3771"/>
      <c r="B105" s="3771"/>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57"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8"/>
      <c r="B111" s="3392" t="s">
        <v>3269</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759"/>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760" t="s">
        <v>3312</v>
      </c>
      <c r="B113" s="3760"/>
      <c r="C113" s="3760"/>
      <c r="D113" s="3760"/>
      <c r="E113" s="3760"/>
      <c r="F113" s="3760"/>
      <c r="G113" s="3760"/>
      <c r="H113" s="3760"/>
      <c r="I113" s="3760"/>
      <c r="J113" s="376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2.17</v>
      </c>
      <c r="C116" s="3397" t="s">
        <v>3314</v>
      </c>
      <c r="D116" s="3398">
        <f>SUMPRODUCT((A118:A122=F116)*(B117:M117=H116)*B118:M122)</f>
        <v>0.86619999999999997</v>
      </c>
      <c r="E116" s="1999" t="s">
        <v>3315</v>
      </c>
      <c r="F116" s="3399" t="str">
        <f>E2</f>
        <v>公共服务</v>
      </c>
      <c r="G116" s="1999" t="s">
        <v>3316</v>
      </c>
      <c r="H116" s="3399" t="str">
        <f>G2</f>
        <v>七级</v>
      </c>
      <c r="I116" s="1999"/>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0.97289999999999999</v>
      </c>
      <c r="C118" s="3385">
        <f>B118</f>
        <v>0.97289999999999999</v>
      </c>
      <c r="D118" s="3385">
        <f>ROUND(0.949-0.014*B116,4)</f>
        <v>0.91859999999999997</v>
      </c>
      <c r="E118" s="3385">
        <f>D118</f>
        <v>0.91859999999999997</v>
      </c>
      <c r="F118" s="3385">
        <f>E118</f>
        <v>0.91859999999999997</v>
      </c>
      <c r="G118" s="3385">
        <f>F118</f>
        <v>0.91859999999999997</v>
      </c>
      <c r="H118" s="3385">
        <f>G118</f>
        <v>0.91859999999999997</v>
      </c>
      <c r="I118" s="3385">
        <f>ROUND(0.8486-0.018*B116,4)</f>
        <v>0.8095</v>
      </c>
      <c r="J118" s="3385">
        <f t="shared" ref="J118:M122" si="36">I118</f>
        <v>0.8095</v>
      </c>
      <c r="K118" s="3385">
        <f t="shared" si="36"/>
        <v>0.8095</v>
      </c>
      <c r="L118" s="3385">
        <f t="shared" si="36"/>
        <v>0.8095</v>
      </c>
      <c r="M118" s="3408">
        <f t="shared" si="36"/>
        <v>0.8095</v>
      </c>
      <c r="N118" s="3395"/>
    </row>
    <row r="119" spans="1:14">
      <c r="A119" s="3407" t="s">
        <v>3330</v>
      </c>
      <c r="B119" s="3385">
        <f>ROUND(0.993-0.0112*B116,4)</f>
        <v>0.96870000000000001</v>
      </c>
      <c r="C119" s="3385">
        <f>B119</f>
        <v>0.96870000000000001</v>
      </c>
      <c r="D119" s="3385">
        <f>ROUND(0.9415-0.0142*B116,4)</f>
        <v>0.91069999999999995</v>
      </c>
      <c r="E119" s="3385">
        <f t="shared" ref="E119:H120" si="37">D119</f>
        <v>0.91069999999999995</v>
      </c>
      <c r="F119" s="3385">
        <f t="shared" si="37"/>
        <v>0.91069999999999995</v>
      </c>
      <c r="G119" s="3385">
        <f t="shared" si="37"/>
        <v>0.91069999999999995</v>
      </c>
      <c r="H119" s="3385">
        <f t="shared" si="37"/>
        <v>0.91069999999999995</v>
      </c>
      <c r="I119" s="3385">
        <f>ROUND(0.838-0.0182*B116,4)</f>
        <v>0.79849999999999999</v>
      </c>
      <c r="J119" s="3385">
        <f t="shared" si="36"/>
        <v>0.79849999999999999</v>
      </c>
      <c r="K119" s="3385">
        <f t="shared" si="36"/>
        <v>0.79849999999999999</v>
      </c>
      <c r="L119" s="3385">
        <f t="shared" si="36"/>
        <v>0.79849999999999999</v>
      </c>
      <c r="M119" s="3408">
        <f t="shared" si="36"/>
        <v>0.79849999999999999</v>
      </c>
      <c r="N119" s="3395"/>
    </row>
    <row r="120" spans="1:14">
      <c r="A120" s="3407" t="s">
        <v>3331</v>
      </c>
      <c r="B120" s="3385">
        <f>ROUND(0.9448-0.0115*B116,4)</f>
        <v>0.91979999999999995</v>
      </c>
      <c r="C120" s="3385">
        <f>B120</f>
        <v>0.91979999999999995</v>
      </c>
      <c r="D120" s="3385">
        <f>ROUND(0.937-0.0145*B116,4)</f>
        <v>0.90549999999999997</v>
      </c>
      <c r="E120" s="3385">
        <f t="shared" si="37"/>
        <v>0.90549999999999997</v>
      </c>
      <c r="F120" s="3385">
        <f t="shared" si="37"/>
        <v>0.90549999999999997</v>
      </c>
      <c r="G120" s="3385">
        <f t="shared" si="37"/>
        <v>0.90549999999999997</v>
      </c>
      <c r="H120" s="3385">
        <f t="shared" si="37"/>
        <v>0.90549999999999997</v>
      </c>
      <c r="I120" s="3385">
        <f>ROUND(0.7965-0.0185*B116,4)</f>
        <v>0.75639999999999996</v>
      </c>
      <c r="J120" s="3385">
        <f t="shared" si="36"/>
        <v>0.75639999999999996</v>
      </c>
      <c r="K120" s="3385">
        <f t="shared" si="36"/>
        <v>0.75639999999999996</v>
      </c>
      <c r="L120" s="3385">
        <f t="shared" si="36"/>
        <v>0.75639999999999996</v>
      </c>
      <c r="M120" s="3408">
        <f t="shared" si="36"/>
        <v>0.75639999999999996</v>
      </c>
      <c r="N120" s="3395"/>
    </row>
    <row r="121" spans="1:14" ht="13.5" thickBot="1">
      <c r="A121" s="3409" t="s">
        <v>3332</v>
      </c>
      <c r="B121" s="3410">
        <f>ROUND(0.7836-0.012*B116,4)</f>
        <v>0.75760000000000005</v>
      </c>
      <c r="C121" s="3410">
        <f>B121</f>
        <v>0.75760000000000005</v>
      </c>
      <c r="D121" s="3410">
        <f>ROUND(0.753-0.015*B116,4)</f>
        <v>0.72050000000000003</v>
      </c>
      <c r="E121" s="3410">
        <f>D121</f>
        <v>0.72050000000000003</v>
      </c>
      <c r="F121" s="3410">
        <f>E121</f>
        <v>0.72050000000000003</v>
      </c>
      <c r="G121" s="3410">
        <f>ROUND(0.6612-0.018*B116,4)</f>
        <v>0.62209999999999999</v>
      </c>
      <c r="H121" s="3410">
        <f>G121</f>
        <v>0.62209999999999999</v>
      </c>
      <c r="I121" s="3410">
        <f>ROUND(0.5905-0.019*B116,4)</f>
        <v>0.54930000000000001</v>
      </c>
      <c r="J121" s="3410">
        <f t="shared" si="36"/>
        <v>0.54930000000000001</v>
      </c>
      <c r="K121" s="3410">
        <f t="shared" si="36"/>
        <v>0.54930000000000001</v>
      </c>
      <c r="L121" s="3410">
        <f t="shared" si="36"/>
        <v>0.54930000000000001</v>
      </c>
      <c r="M121" s="3411">
        <f t="shared" si="36"/>
        <v>0.54930000000000001</v>
      </c>
      <c r="N121" s="3395"/>
    </row>
    <row r="122" spans="1:14">
      <c r="A122" s="3412" t="s">
        <v>2614</v>
      </c>
      <c r="B122" s="3385">
        <f>ROUND(0.9404-0.0106*B116,4)</f>
        <v>0.91739999999999999</v>
      </c>
      <c r="C122" s="3385">
        <f>B122</f>
        <v>0.91739999999999999</v>
      </c>
      <c r="D122" s="3385">
        <f>ROUND(0.8955-0.0135*B116,4)</f>
        <v>0.86619999999999997</v>
      </c>
      <c r="E122" s="3385">
        <f t="shared" ref="E122:H122" si="38">D122</f>
        <v>0.86619999999999997</v>
      </c>
      <c r="F122" s="3385">
        <f t="shared" si="38"/>
        <v>0.86619999999999997</v>
      </c>
      <c r="G122" s="3385">
        <f t="shared" si="38"/>
        <v>0.86619999999999997</v>
      </c>
      <c r="H122" s="3385">
        <f t="shared" si="38"/>
        <v>0.86619999999999997</v>
      </c>
      <c r="I122" s="3385">
        <f>ROUND(0.7632-0.0166*B116,4)</f>
        <v>0.72719999999999996</v>
      </c>
      <c r="J122" s="3385">
        <f t="shared" si="36"/>
        <v>0.72719999999999996</v>
      </c>
      <c r="K122" s="3385">
        <f t="shared" si="36"/>
        <v>0.72719999999999996</v>
      </c>
      <c r="L122" s="3385">
        <f t="shared" si="36"/>
        <v>0.72719999999999996</v>
      </c>
      <c r="M122" s="3408">
        <f t="shared" si="36"/>
        <v>0.72719999999999996</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85" t="s">
        <v>2609</v>
      </c>
      <c r="B20" s="3780" t="s">
        <v>2630</v>
      </c>
      <c r="C20" s="3100" t="s">
        <v>2441</v>
      </c>
      <c r="D20" s="3101"/>
      <c r="E20" s="3102">
        <v>1</v>
      </c>
      <c r="F20" s="3103" t="s">
        <v>2442</v>
      </c>
      <c r="G20" s="3103"/>
    </row>
    <row r="21" spans="1:13" ht="19.5" customHeight="1">
      <c r="A21" s="3786"/>
      <c r="B21" s="3779"/>
      <c r="C21" s="3104" t="s">
        <v>2443</v>
      </c>
      <c r="D21" s="3105"/>
      <c r="E21" s="3106">
        <v>1</v>
      </c>
      <c r="F21" s="3103" t="s">
        <v>2444</v>
      </c>
      <c r="G21" s="3103"/>
    </row>
    <row r="22" spans="1:13" ht="19.5" customHeight="1">
      <c r="A22" s="3786"/>
      <c r="B22" s="3779"/>
      <c r="C22" s="3104" t="s">
        <v>2445</v>
      </c>
      <c r="D22" s="3105"/>
      <c r="E22" s="3106">
        <v>0.9</v>
      </c>
      <c r="F22" s="3103" t="s">
        <v>2446</v>
      </c>
      <c r="G22" s="3103"/>
    </row>
    <row r="23" spans="1:13" ht="19.5" customHeight="1">
      <c r="A23" s="3786"/>
      <c r="B23" s="3779"/>
      <c r="C23" s="3104" t="s">
        <v>2447</v>
      </c>
      <c r="D23" s="3105"/>
      <c r="E23" s="3106">
        <v>0.9</v>
      </c>
      <c r="F23" s="3103" t="s">
        <v>2448</v>
      </c>
      <c r="G23" s="3103"/>
    </row>
    <row r="24" spans="1:13" ht="19.5" customHeight="1">
      <c r="A24" s="3786"/>
      <c r="B24" s="3779"/>
      <c r="C24" s="3104" t="s">
        <v>2449</v>
      </c>
      <c r="D24" s="3105"/>
      <c r="E24" s="3106">
        <v>0.8</v>
      </c>
      <c r="F24" s="3103" t="s">
        <v>2450</v>
      </c>
      <c r="G24" s="3103"/>
    </row>
    <row r="25" spans="1:13" ht="19.5" customHeight="1" thickBot="1">
      <c r="A25" s="3787"/>
      <c r="B25" s="3781"/>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82" t="s">
        <v>2633</v>
      </c>
      <c r="B27" s="3780" t="s">
        <v>2614</v>
      </c>
      <c r="C27" s="3100" t="s">
        <v>2454</v>
      </c>
      <c r="D27" s="3101"/>
      <c r="E27" s="3102">
        <v>1</v>
      </c>
      <c r="F27" s="3103" t="s">
        <v>2455</v>
      </c>
      <c r="G27" s="3103"/>
    </row>
    <row r="28" spans="1:13" ht="19.5" customHeight="1">
      <c r="A28" s="3783"/>
      <c r="B28" s="3779"/>
      <c r="C28" s="3104" t="s">
        <v>2456</v>
      </c>
      <c r="D28" s="3105"/>
      <c r="E28" s="3106">
        <v>1</v>
      </c>
      <c r="F28" s="3103" t="s">
        <v>2457</v>
      </c>
      <c r="G28" s="3103"/>
    </row>
    <row r="29" spans="1:13" ht="19.5" customHeight="1">
      <c r="A29" s="3783"/>
      <c r="B29" s="3779"/>
      <c r="C29" s="3104" t="s">
        <v>2458</v>
      </c>
      <c r="D29" s="3105"/>
      <c r="E29" s="3106">
        <v>0.8</v>
      </c>
      <c r="F29" s="3103" t="s">
        <v>2459</v>
      </c>
      <c r="G29" s="3103"/>
    </row>
    <row r="30" spans="1:13" ht="19.5" customHeight="1">
      <c r="A30" s="3783"/>
      <c r="B30" s="3779"/>
      <c r="C30" s="3104" t="s">
        <v>2460</v>
      </c>
      <c r="D30" s="3105"/>
      <c r="E30" s="3106">
        <v>0.8</v>
      </c>
      <c r="F30" s="3103" t="s">
        <v>2461</v>
      </c>
      <c r="G30" s="3103"/>
    </row>
    <row r="31" spans="1:13" ht="19.5" customHeight="1">
      <c r="A31" s="3783"/>
      <c r="B31" s="3779"/>
      <c r="C31" s="3104" t="s">
        <v>2462</v>
      </c>
      <c r="D31" s="3105"/>
      <c r="E31" s="3106">
        <v>0.8</v>
      </c>
      <c r="F31" s="3103" t="s">
        <v>2463</v>
      </c>
      <c r="G31" s="3103"/>
    </row>
    <row r="32" spans="1:13" ht="19.5" customHeight="1">
      <c r="A32" s="3783"/>
      <c r="B32" s="3779"/>
      <c r="C32" s="3104" t="s">
        <v>2464</v>
      </c>
      <c r="D32" s="3105"/>
      <c r="E32" s="3106">
        <v>0.7</v>
      </c>
      <c r="F32" s="3103" t="s">
        <v>2465</v>
      </c>
      <c r="G32" s="3103"/>
    </row>
    <row r="33" spans="1:7" ht="19.5" customHeight="1">
      <c r="A33" s="3783"/>
      <c r="B33" s="3779"/>
      <c r="C33" s="3104" t="s">
        <v>2466</v>
      </c>
      <c r="D33" s="3105"/>
      <c r="E33" s="3106">
        <v>0.8</v>
      </c>
      <c r="F33" s="3103" t="s">
        <v>2467</v>
      </c>
      <c r="G33" s="3103"/>
    </row>
    <row r="34" spans="1:7" ht="19.5" customHeight="1">
      <c r="A34" s="3783"/>
      <c r="B34" s="3779"/>
      <c r="C34" s="3104" t="s">
        <v>2468</v>
      </c>
      <c r="D34" s="3105"/>
      <c r="E34" s="3106">
        <v>0.6</v>
      </c>
      <c r="F34" s="3103" t="s">
        <v>2469</v>
      </c>
      <c r="G34" s="3103"/>
    </row>
    <row r="35" spans="1:7" ht="19.5" customHeight="1">
      <c r="A35" s="3783"/>
      <c r="B35" s="3779"/>
      <c r="C35" s="3104" t="s">
        <v>2470</v>
      </c>
      <c r="D35" s="3105"/>
      <c r="E35" s="3106">
        <v>0.2</v>
      </c>
      <c r="F35" s="3103" t="s">
        <v>2471</v>
      </c>
      <c r="G35" s="3103"/>
    </row>
    <row r="36" spans="1:7" ht="19.5" customHeight="1">
      <c r="A36" s="3783"/>
      <c r="B36" s="3779"/>
      <c r="C36" s="3104" t="s">
        <v>2472</v>
      </c>
      <c r="D36" s="3105"/>
      <c r="E36" s="3106">
        <v>0.2</v>
      </c>
      <c r="F36" s="3103" t="s">
        <v>2473</v>
      </c>
      <c r="G36" s="3103"/>
    </row>
    <row r="37" spans="1:7" ht="19.5" customHeight="1">
      <c r="A37" s="3783"/>
      <c r="B37" s="3777" t="s">
        <v>2634</v>
      </c>
      <c r="C37" s="3104" t="s">
        <v>2474</v>
      </c>
      <c r="D37" s="3105"/>
      <c r="E37" s="3106">
        <v>0.6</v>
      </c>
      <c r="F37" s="3103" t="s">
        <v>2475</v>
      </c>
      <c r="G37" s="3103"/>
    </row>
    <row r="38" spans="1:7" ht="19.5" customHeight="1">
      <c r="A38" s="3783"/>
      <c r="B38" s="3779"/>
      <c r="C38" s="3104" t="s">
        <v>2476</v>
      </c>
      <c r="D38" s="3105"/>
      <c r="E38" s="3106">
        <v>0.6</v>
      </c>
      <c r="F38" s="3103" t="s">
        <v>2477</v>
      </c>
      <c r="G38" s="3103"/>
    </row>
    <row r="39" spans="1:7" ht="19.5" customHeight="1" thickBot="1">
      <c r="A39" s="3784"/>
      <c r="B39" s="3781"/>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85" t="s">
        <v>2612</v>
      </c>
      <c r="B41" s="3780" t="s">
        <v>2636</v>
      </c>
      <c r="C41" s="3100" t="s">
        <v>2481</v>
      </c>
      <c r="D41" s="3101"/>
      <c r="E41" s="3102">
        <v>1</v>
      </c>
      <c r="F41" s="3103" t="s">
        <v>2482</v>
      </c>
      <c r="G41" s="3103"/>
    </row>
    <row r="42" spans="1:7" ht="19.5" customHeight="1">
      <c r="A42" s="3786"/>
      <c r="B42" s="3779"/>
      <c r="C42" s="3104" t="s">
        <v>2483</v>
      </c>
      <c r="D42" s="3105"/>
      <c r="E42" s="3106">
        <v>1</v>
      </c>
      <c r="F42" s="3103" t="s">
        <v>2484</v>
      </c>
      <c r="G42" s="3103"/>
    </row>
    <row r="43" spans="1:7" ht="19.5" customHeight="1">
      <c r="A43" s="3786"/>
      <c r="B43" s="3778"/>
      <c r="C43" s="3104" t="s">
        <v>2485</v>
      </c>
      <c r="D43" s="3105"/>
      <c r="E43" s="3106">
        <v>1.5</v>
      </c>
      <c r="F43" s="3103" t="s">
        <v>2486</v>
      </c>
      <c r="G43" s="3103"/>
    </row>
    <row r="44" spans="1:7" ht="19.5" customHeight="1">
      <c r="A44" s="3786"/>
      <c r="B44" s="3115" t="s">
        <v>2637</v>
      </c>
      <c r="C44" s="3104" t="s">
        <v>2638</v>
      </c>
      <c r="D44" s="3105"/>
      <c r="E44" s="3106">
        <v>2</v>
      </c>
      <c r="F44" s="3103" t="s">
        <v>2487</v>
      </c>
      <c r="G44" s="3103"/>
    </row>
    <row r="45" spans="1:7" ht="19.5" customHeight="1">
      <c r="A45" s="3786"/>
      <c r="B45" s="3777" t="s">
        <v>2639</v>
      </c>
      <c r="C45" s="3104" t="s">
        <v>2488</v>
      </c>
      <c r="D45" s="3105"/>
      <c r="E45" s="3106">
        <v>1</v>
      </c>
      <c r="F45" s="3103" t="s">
        <v>2489</v>
      </c>
      <c r="G45" s="3103"/>
    </row>
    <row r="46" spans="1:7" ht="19.5" customHeight="1">
      <c r="A46" s="3786"/>
      <c r="B46" s="3779"/>
      <c r="C46" s="3104" t="s">
        <v>2490</v>
      </c>
      <c r="D46" s="3105"/>
      <c r="E46" s="3106">
        <v>1</v>
      </c>
      <c r="F46" s="3103" t="s">
        <v>2491</v>
      </c>
      <c r="G46" s="3103"/>
    </row>
    <row r="47" spans="1:7" ht="19.5" customHeight="1">
      <c r="A47" s="3786"/>
      <c r="B47" s="3779"/>
      <c r="C47" s="3104" t="s">
        <v>2492</v>
      </c>
      <c r="D47" s="3105"/>
      <c r="E47" s="3106">
        <v>1</v>
      </c>
      <c r="F47" s="3103" t="s">
        <v>2493</v>
      </c>
      <c r="G47" s="3103"/>
    </row>
    <row r="48" spans="1:7" ht="19.5" customHeight="1">
      <c r="A48" s="3786"/>
      <c r="B48" s="3779"/>
      <c r="C48" s="3104" t="s">
        <v>2494</v>
      </c>
      <c r="D48" s="3105"/>
      <c r="E48" s="3106">
        <v>1</v>
      </c>
      <c r="F48" s="3103" t="s">
        <v>2495</v>
      </c>
      <c r="G48" s="3103"/>
    </row>
    <row r="49" spans="1:7" ht="19.5" customHeight="1">
      <c r="A49" s="3786"/>
      <c r="B49" s="3779"/>
      <c r="C49" s="3104" t="s">
        <v>2496</v>
      </c>
      <c r="D49" s="3105"/>
      <c r="E49" s="3106">
        <v>1</v>
      </c>
      <c r="F49" s="3103" t="s">
        <v>2497</v>
      </c>
      <c r="G49" s="3103"/>
    </row>
    <row r="50" spans="1:7" ht="19.5" customHeight="1">
      <c r="A50" s="3786"/>
      <c r="B50" s="3779"/>
      <c r="C50" s="3104" t="s">
        <v>2498</v>
      </c>
      <c r="D50" s="3105"/>
      <c r="E50" s="3106">
        <v>1</v>
      </c>
      <c r="F50" s="3103" t="s">
        <v>2499</v>
      </c>
      <c r="G50" s="3103"/>
    </row>
    <row r="51" spans="1:7" ht="19.5" customHeight="1" thickBot="1">
      <c r="A51" s="3787"/>
      <c r="B51" s="3781"/>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77" t="s">
        <v>2653</v>
      </c>
      <c r="C73" s="3089" t="s">
        <v>2654</v>
      </c>
      <c r="D73" s="3089" t="s">
        <v>2655</v>
      </c>
      <c r="E73" s="3115">
        <v>0.2</v>
      </c>
      <c r="F73" s="3115">
        <v>25</v>
      </c>
    </row>
    <row r="74" spans="1:7" ht="24">
      <c r="A74" s="3115">
        <v>2</v>
      </c>
      <c r="B74" s="3779"/>
      <c r="C74" s="3089" t="s">
        <v>2656</v>
      </c>
      <c r="D74" s="3089" t="s">
        <v>2657</v>
      </c>
      <c r="E74" s="3115">
        <v>0.2</v>
      </c>
      <c r="F74" s="3115">
        <v>25</v>
      </c>
    </row>
    <row r="75" spans="1:7" ht="24">
      <c r="A75" s="3115">
        <v>3</v>
      </c>
      <c r="B75" s="3779"/>
      <c r="C75" s="3089" t="s">
        <v>2658</v>
      </c>
      <c r="D75" s="3089" t="s">
        <v>2659</v>
      </c>
      <c r="E75" s="3115">
        <v>0.2</v>
      </c>
      <c r="F75" s="3115">
        <v>25</v>
      </c>
    </row>
    <row r="76" spans="1:7" ht="13.5">
      <c r="A76" s="3115">
        <v>4</v>
      </c>
      <c r="B76" s="3779"/>
      <c r="C76" s="3089" t="s">
        <v>2660</v>
      </c>
      <c r="D76" s="3089" t="s">
        <v>2661</v>
      </c>
      <c r="E76" s="3115">
        <v>0.15</v>
      </c>
      <c r="F76" s="3115">
        <v>20</v>
      </c>
    </row>
    <row r="77" spans="1:7" ht="24">
      <c r="A77" s="3115">
        <v>5</v>
      </c>
      <c r="B77" s="3779"/>
      <c r="C77" s="3089" t="s">
        <v>2662</v>
      </c>
      <c r="D77" s="3089" t="s">
        <v>2663</v>
      </c>
      <c r="E77" s="3115">
        <v>0.15</v>
      </c>
      <c r="F77" s="3115">
        <v>20</v>
      </c>
    </row>
    <row r="78" spans="1:7" ht="24">
      <c r="A78" s="3115">
        <v>6</v>
      </c>
      <c r="B78" s="3779"/>
      <c r="C78" s="3089" t="s">
        <v>2664</v>
      </c>
      <c r="D78" s="3089" t="s">
        <v>2665</v>
      </c>
      <c r="E78" s="3115">
        <v>0.15</v>
      </c>
      <c r="F78" s="3115">
        <v>20</v>
      </c>
    </row>
    <row r="79" spans="1:7" ht="24">
      <c r="A79" s="3115">
        <v>7</v>
      </c>
      <c r="B79" s="3779"/>
      <c r="C79" s="3089" t="s">
        <v>2666</v>
      </c>
      <c r="D79" s="3089" t="s">
        <v>2667</v>
      </c>
      <c r="E79" s="3115">
        <v>0.15</v>
      </c>
      <c r="F79" s="3115">
        <v>20</v>
      </c>
    </row>
    <row r="80" spans="1:7" ht="24">
      <c r="A80" s="3115">
        <v>8</v>
      </c>
      <c r="B80" s="3779"/>
      <c r="C80" s="3089" t="s">
        <v>2668</v>
      </c>
      <c r="D80" s="3089" t="s">
        <v>2669</v>
      </c>
      <c r="E80" s="3115">
        <v>0.1</v>
      </c>
      <c r="F80" s="3115">
        <v>15</v>
      </c>
    </row>
    <row r="81" spans="1:6" ht="24">
      <c r="A81" s="3115">
        <v>9</v>
      </c>
      <c r="B81" s="3779"/>
      <c r="C81" s="3089" t="s">
        <v>2670</v>
      </c>
      <c r="D81" s="3089" t="s">
        <v>2671</v>
      </c>
      <c r="E81" s="3115">
        <v>0.1</v>
      </c>
      <c r="F81" s="3115">
        <v>15</v>
      </c>
    </row>
    <row r="82" spans="1:6" ht="24">
      <c r="A82" s="3115">
        <v>10</v>
      </c>
      <c r="B82" s="3779"/>
      <c r="C82" s="3089" t="s">
        <v>2672</v>
      </c>
      <c r="D82" s="3089" t="s">
        <v>2673</v>
      </c>
      <c r="E82" s="3115">
        <v>0.1</v>
      </c>
      <c r="F82" s="3115">
        <v>15</v>
      </c>
    </row>
    <row r="83" spans="1:6" ht="24">
      <c r="A83" s="3115">
        <v>11</v>
      </c>
      <c r="B83" s="3779"/>
      <c r="C83" s="3089" t="s">
        <v>2674</v>
      </c>
      <c r="D83" s="3089" t="s">
        <v>2675</v>
      </c>
      <c r="E83" s="3115">
        <v>0.1</v>
      </c>
      <c r="F83" s="3115">
        <v>15</v>
      </c>
    </row>
    <row r="84" spans="1:6" ht="24">
      <c r="A84" s="3115">
        <v>12</v>
      </c>
      <c r="B84" s="3779"/>
      <c r="C84" s="3089" t="s">
        <v>2676</v>
      </c>
      <c r="D84" s="3089" t="s">
        <v>2677</v>
      </c>
      <c r="E84" s="3115">
        <v>0.1</v>
      </c>
      <c r="F84" s="3115">
        <v>15</v>
      </c>
    </row>
    <row r="85" spans="1:6" ht="13.5">
      <c r="A85" s="3115">
        <v>13</v>
      </c>
      <c r="B85" s="3779"/>
      <c r="C85" s="3089" t="s">
        <v>2678</v>
      </c>
      <c r="D85" s="3089" t="s">
        <v>2679</v>
      </c>
      <c r="E85" s="3115">
        <v>0.1</v>
      </c>
      <c r="F85" s="3115">
        <v>15</v>
      </c>
    </row>
    <row r="86" spans="1:6" ht="13.5">
      <c r="A86" s="3115">
        <v>14</v>
      </c>
      <c r="B86" s="3779"/>
      <c r="C86" s="3089" t="s">
        <v>2680</v>
      </c>
      <c r="D86" s="3089" t="s">
        <v>2681</v>
      </c>
      <c r="E86" s="3115">
        <v>0.1</v>
      </c>
      <c r="F86" s="3115">
        <v>15</v>
      </c>
    </row>
    <row r="87" spans="1:6" ht="13.5">
      <c r="A87" s="3115">
        <v>15</v>
      </c>
      <c r="B87" s="3779"/>
      <c r="C87" s="3089" t="s">
        <v>2682</v>
      </c>
      <c r="D87" s="3089" t="s">
        <v>2683</v>
      </c>
      <c r="E87" s="3115">
        <v>0.1</v>
      </c>
      <c r="F87" s="3115">
        <v>15</v>
      </c>
    </row>
    <row r="88" spans="1:6" ht="24">
      <c r="A88" s="3115">
        <v>16</v>
      </c>
      <c r="B88" s="3779"/>
      <c r="C88" s="3089" t="s">
        <v>2684</v>
      </c>
      <c r="D88" s="3089" t="s">
        <v>2685</v>
      </c>
      <c r="E88" s="3115">
        <v>0.1</v>
      </c>
      <c r="F88" s="3115">
        <v>15</v>
      </c>
    </row>
    <row r="89" spans="1:6" ht="24">
      <c r="A89" s="3115">
        <v>17</v>
      </c>
      <c r="B89" s="3778"/>
      <c r="C89" s="3089" t="s">
        <v>2686</v>
      </c>
      <c r="D89" s="3089" t="s">
        <v>2687</v>
      </c>
      <c r="E89" s="3115">
        <v>0.1</v>
      </c>
      <c r="F89" s="3115">
        <v>15</v>
      </c>
    </row>
    <row r="90" spans="1:6" ht="13.5">
      <c r="A90" s="3115">
        <v>18</v>
      </c>
      <c r="B90" s="3777" t="s">
        <v>2688</v>
      </c>
      <c r="C90" s="3089" t="s">
        <v>2689</v>
      </c>
      <c r="D90" s="3089" t="s">
        <v>2690</v>
      </c>
      <c r="E90" s="3115">
        <v>0.2</v>
      </c>
      <c r="F90" s="3115">
        <v>25</v>
      </c>
    </row>
    <row r="91" spans="1:6" ht="24">
      <c r="A91" s="3115">
        <v>19</v>
      </c>
      <c r="B91" s="3779"/>
      <c r="C91" s="3089" t="s">
        <v>2691</v>
      </c>
      <c r="D91" s="3089" t="s">
        <v>2692</v>
      </c>
      <c r="E91" s="3115">
        <v>0.2</v>
      </c>
      <c r="F91" s="3115">
        <v>25</v>
      </c>
    </row>
    <row r="92" spans="1:6" ht="13.5">
      <c r="A92" s="3115">
        <v>20</v>
      </c>
      <c r="B92" s="3779"/>
      <c r="C92" s="3089" t="s">
        <v>2693</v>
      </c>
      <c r="D92" s="3089" t="s">
        <v>2694</v>
      </c>
      <c r="E92" s="3115">
        <v>0.15</v>
      </c>
      <c r="F92" s="3115">
        <v>20</v>
      </c>
    </row>
    <row r="93" spans="1:6" ht="13.5">
      <c r="A93" s="3115">
        <v>21</v>
      </c>
      <c r="B93" s="3779"/>
      <c r="C93" s="3089" t="s">
        <v>2695</v>
      </c>
      <c r="D93" s="3089" t="s">
        <v>2696</v>
      </c>
      <c r="E93" s="3115">
        <v>0.15</v>
      </c>
      <c r="F93" s="3115">
        <v>20</v>
      </c>
    </row>
    <row r="94" spans="1:6" ht="13.5">
      <c r="A94" s="3115">
        <v>22</v>
      </c>
      <c r="B94" s="3779"/>
      <c r="C94" s="3089" t="s">
        <v>2697</v>
      </c>
      <c r="D94" s="3089" t="s">
        <v>2698</v>
      </c>
      <c r="E94" s="3115">
        <v>0.15</v>
      </c>
      <c r="F94" s="3115">
        <v>20</v>
      </c>
    </row>
    <row r="95" spans="1:6" ht="36">
      <c r="A95" s="3115">
        <v>23</v>
      </c>
      <c r="B95" s="3779"/>
      <c r="C95" s="3089" t="s">
        <v>2699</v>
      </c>
      <c r="D95" s="3089" t="s">
        <v>2700</v>
      </c>
      <c r="E95" s="3115">
        <v>0.15</v>
      </c>
      <c r="F95" s="3115">
        <v>20</v>
      </c>
    </row>
    <row r="96" spans="1:6" ht="13.5">
      <c r="A96" s="3115">
        <v>24</v>
      </c>
      <c r="B96" s="3779"/>
      <c r="C96" s="3089" t="s">
        <v>2701</v>
      </c>
      <c r="D96" s="3089" t="s">
        <v>2702</v>
      </c>
      <c r="E96" s="3115">
        <v>0.1</v>
      </c>
      <c r="F96" s="3115">
        <v>15</v>
      </c>
    </row>
    <row r="97" spans="1:6" ht="13.5">
      <c r="A97" s="3115">
        <v>25</v>
      </c>
      <c r="B97" s="3779"/>
      <c r="C97" s="3089" t="s">
        <v>2703</v>
      </c>
      <c r="D97" s="3089" t="s">
        <v>2704</v>
      </c>
      <c r="E97" s="3115">
        <v>0.1</v>
      </c>
      <c r="F97" s="3115">
        <v>15</v>
      </c>
    </row>
    <row r="98" spans="1:6" ht="24">
      <c r="A98" s="3115">
        <v>26</v>
      </c>
      <c r="B98" s="3779"/>
      <c r="C98" s="3089" t="s">
        <v>2705</v>
      </c>
      <c r="D98" s="3089" t="s">
        <v>2706</v>
      </c>
      <c r="E98" s="3115">
        <v>0.1</v>
      </c>
      <c r="F98" s="3115">
        <v>15</v>
      </c>
    </row>
    <row r="99" spans="1:6" ht="24">
      <c r="A99" s="3115">
        <v>27</v>
      </c>
      <c r="B99" s="3779"/>
      <c r="C99" s="3089" t="s">
        <v>2707</v>
      </c>
      <c r="D99" s="3089" t="s">
        <v>2708</v>
      </c>
      <c r="E99" s="3115">
        <v>0.1</v>
      </c>
      <c r="F99" s="3115">
        <v>15</v>
      </c>
    </row>
    <row r="100" spans="1:6" ht="13.5">
      <c r="A100" s="3115">
        <v>28</v>
      </c>
      <c r="B100" s="3779"/>
      <c r="C100" s="3089" t="s">
        <v>2709</v>
      </c>
      <c r="D100" s="3089" t="s">
        <v>2710</v>
      </c>
      <c r="E100" s="3115">
        <v>0.1</v>
      </c>
      <c r="F100" s="3115">
        <v>15</v>
      </c>
    </row>
    <row r="101" spans="1:6" ht="13.5">
      <c r="A101" s="3115">
        <v>29</v>
      </c>
      <c r="B101" s="3779"/>
      <c r="C101" s="3089" t="s">
        <v>2711</v>
      </c>
      <c r="D101" s="3089" t="s">
        <v>2712</v>
      </c>
      <c r="E101" s="3115">
        <v>0.1</v>
      </c>
      <c r="F101" s="3115">
        <v>15</v>
      </c>
    </row>
    <row r="102" spans="1:6" ht="13.5">
      <c r="A102" s="3115">
        <v>30</v>
      </c>
      <c r="B102" s="3779"/>
      <c r="C102" s="3089" t="s">
        <v>2713</v>
      </c>
      <c r="D102" s="3089" t="s">
        <v>2714</v>
      </c>
      <c r="E102" s="3115">
        <v>0.1</v>
      </c>
      <c r="F102" s="3115">
        <v>15</v>
      </c>
    </row>
    <row r="103" spans="1:6" ht="24">
      <c r="A103" s="3115">
        <v>31</v>
      </c>
      <c r="B103" s="3779"/>
      <c r="C103" s="3089" t="s">
        <v>2715</v>
      </c>
      <c r="D103" s="3089" t="s">
        <v>2716</v>
      </c>
      <c r="E103" s="3115">
        <v>0.1</v>
      </c>
      <c r="F103" s="3115">
        <v>15</v>
      </c>
    </row>
    <row r="104" spans="1:6" ht="24">
      <c r="A104" s="3115">
        <v>32</v>
      </c>
      <c r="B104" s="3779"/>
      <c r="C104" s="3089" t="s">
        <v>2717</v>
      </c>
      <c r="D104" s="3089" t="s">
        <v>2718</v>
      </c>
      <c r="E104" s="3115">
        <v>0.1</v>
      </c>
      <c r="F104" s="3115">
        <v>15</v>
      </c>
    </row>
    <row r="105" spans="1:6" ht="24">
      <c r="A105" s="3115">
        <v>33</v>
      </c>
      <c r="B105" s="3779"/>
      <c r="C105" s="3089" t="s">
        <v>2719</v>
      </c>
      <c r="D105" s="3089" t="s">
        <v>2720</v>
      </c>
      <c r="E105" s="3115">
        <v>0.1</v>
      </c>
      <c r="F105" s="3115">
        <v>15</v>
      </c>
    </row>
    <row r="106" spans="1:6" ht="24">
      <c r="A106" s="3115">
        <v>34</v>
      </c>
      <c r="B106" s="3778"/>
      <c r="C106" s="3089" t="s">
        <v>2721</v>
      </c>
      <c r="D106" s="3089" t="s">
        <v>2722</v>
      </c>
      <c r="E106" s="3115">
        <v>0.1</v>
      </c>
      <c r="F106" s="3115">
        <v>15</v>
      </c>
    </row>
    <row r="107" spans="1:6" ht="24">
      <c r="A107" s="3115">
        <v>35</v>
      </c>
      <c r="B107" s="3777" t="s">
        <v>2723</v>
      </c>
      <c r="C107" s="3115" t="s">
        <v>2724</v>
      </c>
      <c r="D107" s="3089" t="s">
        <v>2725</v>
      </c>
      <c r="E107" s="3115">
        <v>0.15</v>
      </c>
      <c r="F107" s="3115">
        <v>20</v>
      </c>
    </row>
    <row r="108" spans="1:6" ht="13.5">
      <c r="A108" s="3115">
        <v>36</v>
      </c>
      <c r="B108" s="3779"/>
      <c r="C108" s="3115" t="s">
        <v>2726</v>
      </c>
      <c r="D108" s="3089" t="s">
        <v>2727</v>
      </c>
      <c r="E108" s="3115">
        <v>0.15</v>
      </c>
      <c r="F108" s="3115">
        <v>20</v>
      </c>
    </row>
    <row r="109" spans="1:6" ht="13.5">
      <c r="A109" s="3115">
        <v>37</v>
      </c>
      <c r="B109" s="3779"/>
      <c r="C109" s="3115" t="s">
        <v>2728</v>
      </c>
      <c r="D109" s="3089" t="s">
        <v>2729</v>
      </c>
      <c r="E109" s="3115">
        <v>0.15</v>
      </c>
      <c r="F109" s="3115">
        <v>20</v>
      </c>
    </row>
    <row r="110" spans="1:6" ht="13.5">
      <c r="A110" s="3115">
        <v>38</v>
      </c>
      <c r="B110" s="3779"/>
      <c r="C110" s="3115" t="s">
        <v>2730</v>
      </c>
      <c r="D110" s="3089" t="s">
        <v>2731</v>
      </c>
      <c r="E110" s="3115">
        <v>0.1</v>
      </c>
      <c r="F110" s="3115">
        <v>15</v>
      </c>
    </row>
    <row r="111" spans="1:6" ht="24">
      <c r="A111" s="3115">
        <v>39</v>
      </c>
      <c r="B111" s="3779"/>
      <c r="C111" s="3115" t="s">
        <v>2732</v>
      </c>
      <c r="D111" s="3089" t="s">
        <v>2733</v>
      </c>
      <c r="E111" s="3115">
        <v>0.1</v>
      </c>
      <c r="F111" s="3115">
        <v>15</v>
      </c>
    </row>
    <row r="112" spans="1:6" ht="24">
      <c r="A112" s="3115">
        <v>40</v>
      </c>
      <c r="B112" s="3778"/>
      <c r="C112" s="3115" t="s">
        <v>2734</v>
      </c>
      <c r="D112" s="3089" t="s">
        <v>2735</v>
      </c>
      <c r="E112" s="3115">
        <v>0.1</v>
      </c>
      <c r="F112" s="3115">
        <v>15</v>
      </c>
    </row>
    <row r="113" spans="1:6" ht="13.5">
      <c r="A113" s="3115">
        <v>41</v>
      </c>
      <c r="B113" s="3776" t="s">
        <v>2736</v>
      </c>
      <c r="C113" s="3115" t="s">
        <v>2737</v>
      </c>
      <c r="D113" s="3089" t="s">
        <v>2738</v>
      </c>
      <c r="E113" s="3115">
        <v>0.1</v>
      </c>
      <c r="F113" s="3115">
        <v>15</v>
      </c>
    </row>
    <row r="114" spans="1:6" ht="13.5">
      <c r="A114" s="3115">
        <v>42</v>
      </c>
      <c r="B114" s="3776"/>
      <c r="C114" s="3115" t="s">
        <v>2739</v>
      </c>
      <c r="D114" s="3089" t="s">
        <v>2740</v>
      </c>
      <c r="E114" s="3115">
        <v>0.1</v>
      </c>
      <c r="F114" s="3115">
        <v>15</v>
      </c>
    </row>
    <row r="115" spans="1:6" ht="24">
      <c r="A115" s="3115">
        <v>43</v>
      </c>
      <c r="B115" s="3776"/>
      <c r="C115" s="3115" t="s">
        <v>2741</v>
      </c>
      <c r="D115" s="3089" t="s">
        <v>2742</v>
      </c>
      <c r="E115" s="3115">
        <v>0.1</v>
      </c>
      <c r="F115" s="3115">
        <v>15</v>
      </c>
    </row>
    <row r="116" spans="1:6" ht="13.5">
      <c r="A116" s="3115">
        <v>44</v>
      </c>
      <c r="B116" s="3777" t="s">
        <v>2743</v>
      </c>
      <c r="C116" s="3115" t="s">
        <v>2744</v>
      </c>
      <c r="D116" s="3089" t="s">
        <v>2745</v>
      </c>
      <c r="E116" s="3115">
        <v>0.1</v>
      </c>
      <c r="F116" s="3115">
        <v>15</v>
      </c>
    </row>
    <row r="117" spans="1:6" ht="24">
      <c r="A117" s="3115">
        <v>45</v>
      </c>
      <c r="B117" s="3778"/>
      <c r="C117" s="3089" t="s">
        <v>2746</v>
      </c>
      <c r="D117" s="3089" t="s">
        <v>2747</v>
      </c>
      <c r="E117" s="3115">
        <v>0.1</v>
      </c>
      <c r="F117" s="3115">
        <v>15</v>
      </c>
    </row>
    <row r="118" spans="1:6" ht="24">
      <c r="A118" s="3115">
        <v>46</v>
      </c>
      <c r="B118" s="3777" t="s">
        <v>2748</v>
      </c>
      <c r="C118" s="3115" t="s">
        <v>2749</v>
      </c>
      <c r="D118" s="3089" t="s">
        <v>2750</v>
      </c>
      <c r="E118" s="3115">
        <v>0.1</v>
      </c>
      <c r="F118" s="3115">
        <v>15</v>
      </c>
    </row>
    <row r="119" spans="1:6" ht="24">
      <c r="A119" s="3115">
        <v>47</v>
      </c>
      <c r="B119" s="3778"/>
      <c r="C119" s="3115" t="s">
        <v>2751</v>
      </c>
      <c r="D119" s="3089" t="s">
        <v>2752</v>
      </c>
      <c r="E119" s="3115">
        <v>0.1</v>
      </c>
      <c r="F119" s="3115">
        <v>15</v>
      </c>
    </row>
    <row r="120" spans="1:6" ht="13.5">
      <c r="A120" s="3115">
        <v>48</v>
      </c>
      <c r="B120" s="3777" t="s">
        <v>2753</v>
      </c>
      <c r="C120" s="3115" t="s">
        <v>2754</v>
      </c>
      <c r="D120" s="3089" t="s">
        <v>2755</v>
      </c>
      <c r="E120" s="3115">
        <v>0.1</v>
      </c>
      <c r="F120" s="3115">
        <v>15</v>
      </c>
    </row>
    <row r="121" spans="1:6" ht="13.5">
      <c r="A121" s="3115">
        <v>49</v>
      </c>
      <c r="B121" s="3778"/>
      <c r="C121" s="3115" t="s">
        <v>2756</v>
      </c>
      <c r="D121" s="3089" t="s">
        <v>2757</v>
      </c>
      <c r="E121" s="3115">
        <v>0.1</v>
      </c>
      <c r="F121" s="3115">
        <v>15</v>
      </c>
    </row>
    <row r="122" spans="1:6" ht="24">
      <c r="A122" s="3115">
        <v>50</v>
      </c>
      <c r="B122" s="3776" t="s">
        <v>2758</v>
      </c>
      <c r="C122" s="3115" t="s">
        <v>2759</v>
      </c>
      <c r="D122" s="3089" t="s">
        <v>2760</v>
      </c>
      <c r="E122" s="3115">
        <v>0.1</v>
      </c>
      <c r="F122" s="3115">
        <v>15</v>
      </c>
    </row>
    <row r="123" spans="1:6" ht="24">
      <c r="A123" s="3115">
        <v>51</v>
      </c>
      <c r="B123" s="3776"/>
      <c r="C123" s="3115" t="s">
        <v>2761</v>
      </c>
      <c r="D123" s="3089" t="s">
        <v>2762</v>
      </c>
      <c r="E123" s="3115">
        <v>0.1</v>
      </c>
      <c r="F123" s="3115">
        <v>15</v>
      </c>
    </row>
    <row r="124" spans="1:6" ht="24">
      <c r="A124" s="3115">
        <v>52</v>
      </c>
      <c r="B124" s="3776" t="s">
        <v>2763</v>
      </c>
      <c r="C124" s="3115" t="s">
        <v>2764</v>
      </c>
      <c r="D124" s="3089" t="s">
        <v>2765</v>
      </c>
      <c r="E124" s="3115">
        <v>0.1</v>
      </c>
      <c r="F124" s="3115">
        <v>15</v>
      </c>
    </row>
    <row r="125" spans="1:6" ht="24">
      <c r="A125" s="3115">
        <v>53</v>
      </c>
      <c r="B125" s="3776"/>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76" t="s">
        <v>2771</v>
      </c>
      <c r="C127" s="3115" t="s">
        <v>2772</v>
      </c>
      <c r="D127" s="3089" t="s">
        <v>2773</v>
      </c>
      <c r="E127" s="3115">
        <v>0.1</v>
      </c>
      <c r="F127" s="3115">
        <v>15</v>
      </c>
    </row>
    <row r="128" spans="1:6" ht="13.5">
      <c r="A128" s="3115">
        <v>56</v>
      </c>
      <c r="B128" s="3776"/>
      <c r="C128" s="3115" t="s">
        <v>2774</v>
      </c>
      <c r="D128" s="3089" t="s">
        <v>2775</v>
      </c>
      <c r="E128" s="3115">
        <v>0.1</v>
      </c>
      <c r="F128" s="3115">
        <v>15</v>
      </c>
    </row>
    <row r="129" spans="1:6" ht="24">
      <c r="A129" s="3115">
        <v>57</v>
      </c>
      <c r="B129" s="3776"/>
      <c r="C129" s="3115" t="s">
        <v>2776</v>
      </c>
      <c r="D129" s="3089" t="s">
        <v>2777</v>
      </c>
      <c r="E129" s="3115">
        <v>0.1</v>
      </c>
      <c r="F129" s="3115">
        <v>15</v>
      </c>
    </row>
    <row r="130" spans="1:6" ht="24">
      <c r="A130" s="3115">
        <v>58</v>
      </c>
      <c r="B130" s="3776" t="s">
        <v>2778</v>
      </c>
      <c r="C130" s="3115" t="s">
        <v>2779</v>
      </c>
      <c r="D130" s="3089" t="s">
        <v>2780</v>
      </c>
      <c r="E130" s="3115">
        <v>0.1</v>
      </c>
      <c r="F130" s="3115">
        <v>15</v>
      </c>
    </row>
    <row r="131" spans="1:6" ht="13.5">
      <c r="A131" s="3115">
        <v>59</v>
      </c>
      <c r="B131" s="3776"/>
      <c r="C131" s="3115" t="s">
        <v>2781</v>
      </c>
      <c r="D131" s="3089" t="s">
        <v>2782</v>
      </c>
      <c r="E131" s="3115">
        <v>0.1</v>
      </c>
      <c r="F131" s="3115">
        <v>15</v>
      </c>
    </row>
    <row r="132" spans="1:6" ht="13.5">
      <c r="A132" s="3115">
        <v>60</v>
      </c>
      <c r="B132" s="3777" t="s">
        <v>2783</v>
      </c>
      <c r="C132" s="3115" t="s">
        <v>2784</v>
      </c>
      <c r="D132" s="3089" t="s">
        <v>2785</v>
      </c>
      <c r="E132" s="3115">
        <v>0.1</v>
      </c>
      <c r="F132" s="3115">
        <v>15</v>
      </c>
    </row>
    <row r="133" spans="1:6" ht="13.5">
      <c r="A133" s="3115">
        <v>61</v>
      </c>
      <c r="B133" s="3778"/>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76" t="s">
        <v>2791</v>
      </c>
      <c r="C135" s="3115" t="s">
        <v>2792</v>
      </c>
      <c r="D135" s="3089" t="s">
        <v>2793</v>
      </c>
      <c r="E135" s="3115">
        <v>0.1</v>
      </c>
      <c r="F135" s="3115">
        <v>15</v>
      </c>
    </row>
    <row r="136" spans="1:6" ht="13.5">
      <c r="A136" s="3115">
        <v>64</v>
      </c>
      <c r="B136" s="3776"/>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2800</v>
      </c>
      <c r="B1" s="3124"/>
      <c r="C1" s="3124"/>
      <c r="D1" s="3124"/>
      <c r="E1" s="3124"/>
      <c r="F1" s="3124"/>
      <c r="G1" s="3124"/>
      <c r="H1" s="3124"/>
      <c r="I1" s="3124"/>
      <c r="J1" s="3124"/>
      <c r="K1" s="3124"/>
      <c r="L1" s="3124"/>
      <c r="M1" s="3124"/>
      <c r="N1" s="749"/>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50">
        <f>SUMPRODUCT((A95:A184=ROUNDDOWN(基准地价修正!G3,1))*(B94:M94=基准地价修正!G2)*(B95:M184))</f>
        <v>1.0397000000000001</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50">
        <f>SUMPRODUCT((A371:A460=ROUNDDOWN(基准地价修正!G3,1))*(B370:M370=基准地价修正!G2)*(B371:M460))</f>
        <v>0.98899999999999999</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2"/>
      <c r="B4" s="3473" t="s">
        <v>917</v>
      </c>
      <c r="C4" s="3473"/>
      <c r="D4" s="3473"/>
      <c r="E4" s="1492"/>
    </row>
    <row r="5" spans="1:5" ht="16.5" thickTop="1">
      <c r="A5" s="1490"/>
      <c r="B5" s="3471" t="s">
        <v>909</v>
      </c>
      <c r="C5" s="1493" t="s">
        <v>910</v>
      </c>
      <c r="D5" s="850">
        <f ca="1">结果表!H101</f>
        <v>111981</v>
      </c>
      <c r="E5" s="1490"/>
    </row>
    <row r="6" spans="1:5" ht="15.75">
      <c r="A6" s="1490"/>
      <c r="B6" s="3471"/>
      <c r="C6" s="1493" t="s">
        <v>911</v>
      </c>
      <c r="D6" s="850" t="str">
        <f ca="1">NUMBERSTRING(INT(D5*10000),2)&amp;"元整"</f>
        <v>壹拾壹亿壹仟玖佰捌拾壹万元整</v>
      </c>
      <c r="E6" s="1490"/>
    </row>
    <row r="7" spans="1:5" ht="15.75">
      <c r="A7" s="1490"/>
      <c r="B7" s="3476"/>
      <c r="C7" s="1494" t="s">
        <v>912</v>
      </c>
      <c r="D7" s="851">
        <f ca="1">结果表!H102</f>
        <v>18843</v>
      </c>
      <c r="E7" s="1490"/>
    </row>
    <row r="8" spans="1:5" ht="15.75">
      <c r="A8" s="1490"/>
      <c r="B8" s="3477" t="str">
        <f>结果表!E103</f>
        <v>2.估价师知悉的法定优先受偿款</v>
      </c>
      <c r="C8" s="1495" t="s">
        <v>913</v>
      </c>
      <c r="D8" s="851">
        <f>结果表!H103</f>
        <v>0</v>
      </c>
      <c r="E8" s="1490"/>
    </row>
    <row r="9" spans="1:5" ht="15.75">
      <c r="A9" s="1490"/>
      <c r="B9" s="3479"/>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0" t="str">
        <f>结果表!E107</f>
        <v>3.房地产抵押价值</v>
      </c>
      <c r="C13" s="1498" t="s">
        <v>910</v>
      </c>
      <c r="D13" s="853">
        <f ca="1">结果表!H107</f>
        <v>111981</v>
      </c>
      <c r="E13" s="1490"/>
    </row>
    <row r="14" spans="1:5" ht="15.75">
      <c r="A14" s="1490"/>
      <c r="B14" s="3471"/>
      <c r="C14" s="1493" t="s">
        <v>911</v>
      </c>
      <c r="D14" s="850" t="str">
        <f ca="1">NUMBERSTRING(INT(D13*10000),2)&amp;"元整"</f>
        <v>壹拾壹亿壹仟玖佰捌拾壹万元整</v>
      </c>
      <c r="E14" s="1490"/>
    </row>
    <row r="15" spans="1:5" ht="15">
      <c r="A15" s="1490"/>
      <c r="B15" s="3476"/>
      <c r="C15" s="1494" t="s">
        <v>921</v>
      </c>
      <c r="D15" s="859">
        <f ca="1">结果表!H108</f>
        <v>18843</v>
      </c>
      <c r="E15" s="1490"/>
    </row>
    <row r="16" spans="1:5" ht="15">
      <c r="A16" s="1490"/>
      <c r="B16" s="3477" t="str">
        <f>结果表!E109</f>
        <v>——</v>
      </c>
      <c r="C16" s="1498" t="s">
        <v>922</v>
      </c>
      <c r="D16" s="1499" t="str">
        <f>结果表!H109</f>
        <v>——</v>
      </c>
      <c r="E16" s="1490"/>
    </row>
    <row r="17" spans="1:5" ht="15.75">
      <c r="A17" s="1490"/>
      <c r="B17" s="3478"/>
      <c r="C17" s="1493" t="s">
        <v>923</v>
      </c>
      <c r="D17" s="850" t="e">
        <f>NUMBERSTRING(INT(D16*10000),2)&amp;"元整"</f>
        <v>#VALUE!</v>
      </c>
      <c r="E17" s="1490"/>
    </row>
    <row r="18" spans="1:5" ht="15">
      <c r="A18" s="1490"/>
      <c r="B18" s="3479"/>
      <c r="C18" s="1494" t="s">
        <v>912</v>
      </c>
      <c r="D18" s="859" t="str">
        <f>结果表!H110</f>
        <v>——</v>
      </c>
      <c r="E18" s="1490"/>
    </row>
    <row r="19" spans="1:5" ht="15.75">
      <c r="A19" s="1490"/>
      <c r="B19" s="3470" t="str">
        <f>结果表!E111</f>
        <v>——</v>
      </c>
      <c r="C19" s="1498" t="s">
        <v>910</v>
      </c>
      <c r="D19" s="851" t="str">
        <f>结果表!H111</f>
        <v>——</v>
      </c>
      <c r="E19" s="1490"/>
    </row>
    <row r="20" spans="1:5" ht="15.75">
      <c r="A20" s="1490"/>
      <c r="B20" s="3471"/>
      <c r="C20" s="1493" t="s">
        <v>923</v>
      </c>
      <c r="D20" s="850" t="e">
        <f>NUMBERSTRING(INT(D19*10000),2)&amp;"元整"</f>
        <v>#VALUE!</v>
      </c>
      <c r="E20" s="1490"/>
    </row>
    <row r="21" spans="1:5" ht="15.75" thickBot="1">
      <c r="A21" s="1490"/>
      <c r="B21" s="3472"/>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111226</v>
      </c>
      <c r="C2" s="2" t="s">
        <v>106</v>
      </c>
      <c r="D2" s="199"/>
      <c r="E2" s="199"/>
      <c r="F2" s="199"/>
      <c r="G2" s="199"/>
    </row>
    <row r="3" spans="1:7" s="200" customFormat="1" ht="18" customHeight="1" thickBot="1">
      <c r="A3" s="203" t="s">
        <v>58</v>
      </c>
      <c r="B3" s="204">
        <f ca="1">ROUND(B2*10000/'数据-汇总表'!E3,0)</f>
        <v>18716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1010</v>
      </c>
      <c r="D10" s="845">
        <f>'数据-汇总表'!E6</f>
        <v>59427.91</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1189</v>
      </c>
      <c r="D19" s="849">
        <f>'数据-汇总表'!E3</f>
        <v>59427.91</v>
      </c>
      <c r="E19" s="211">
        <f>'数据-取费表'!B31</f>
        <v>200</v>
      </c>
      <c r="F19" s="231"/>
      <c r="G19" s="1" t="s">
        <v>436</v>
      </c>
    </row>
    <row r="20" spans="1:7" s="214" customFormat="1" ht="13.5" customHeight="1">
      <c r="A20" s="777" t="s">
        <v>419</v>
      </c>
      <c r="B20" s="210" t="s">
        <v>77</v>
      </c>
      <c r="C20" s="232">
        <f>ROUND((C5+C19)*F20,0)</f>
        <v>654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2099</v>
      </c>
      <c r="D22" s="235">
        <f ca="1">C26</f>
        <v>1.4E-3</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1956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113</v>
      </c>
      <c r="D24" s="238"/>
      <c r="E24" s="238"/>
      <c r="F24" s="239"/>
      <c r="G24" s="240" t="s">
        <v>82</v>
      </c>
    </row>
    <row r="25" spans="1:7" s="214" customFormat="1" ht="24">
      <c r="A25" s="780" t="s">
        <v>348</v>
      </c>
      <c r="B25" s="215" t="s">
        <v>420</v>
      </c>
      <c r="C25" s="1105">
        <f ca="1">ROUND(IF('数据-取费表'!B22&lt;=1,C20*F22*'数据-取费表'!B23/2,C20*(POWER((1+F22),'数据-取费表'!B23/2)-1)),0)</f>
        <v>30</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4446</v>
      </c>
      <c r="D27" s="235">
        <f>C29</f>
        <v>5.8999999999999999E-3</v>
      </c>
      <c r="E27" s="236" t="s">
        <v>99</v>
      </c>
      <c r="F27" s="246">
        <f>'数据-取费表'!Q16</f>
        <v>0.2</v>
      </c>
      <c r="G27" s="247" t="s">
        <v>431</v>
      </c>
    </row>
    <row r="28" spans="1:7" s="214" customFormat="1" ht="13.5" customHeight="1">
      <c r="A28" s="780" t="s">
        <v>349</v>
      </c>
      <c r="B28" s="248" t="s">
        <v>424</v>
      </c>
      <c r="C28" s="249">
        <f>ROUND((C5+C19+C20)*F27*'数据-取费表'!B21/'数据-取费表'!B20,0)</f>
        <v>4446</v>
      </c>
      <c r="D28" s="235"/>
      <c r="E28" s="236"/>
      <c r="F28" s="246"/>
      <c r="G28" s="247"/>
    </row>
    <row r="29" spans="1:7" s="214" customFormat="1" ht="13.5" customHeight="1">
      <c r="A29" s="780" t="s">
        <v>347</v>
      </c>
      <c r="B29" s="248" t="s">
        <v>425</v>
      </c>
      <c r="C29" s="238">
        <f>ROUND(C21*F27*'数据-取费表'!B21/'数据-取费表'!B20,4)</f>
        <v>5.8999999999999999E-3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31855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56276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48760</v>
      </c>
      <c r="D34" s="217"/>
      <c r="E34" s="220"/>
      <c r="F34" s="257">
        <f>IF('数据-取费表'!B24=0,1,'数据-取费表'!N16)</f>
        <v>0.99</v>
      </c>
      <c r="G34" s="219" t="s">
        <v>89</v>
      </c>
    </row>
    <row r="35" spans="1:7" ht="13.5" customHeight="1">
      <c r="A35" s="780" t="s">
        <v>351</v>
      </c>
      <c r="B35" s="215" t="s">
        <v>33</v>
      </c>
      <c r="C35" s="220">
        <f>ROUND(C34*F35,0)</f>
        <v>4876</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1177</v>
      </c>
      <c r="D37" s="217">
        <f>'数据-汇总表'!E3</f>
        <v>59427.91</v>
      </c>
      <c r="E37" s="249">
        <f>'数据-取费表'!B35</f>
        <v>200</v>
      </c>
      <c r="F37" s="259"/>
      <c r="G37" s="261" t="s">
        <v>92</v>
      </c>
    </row>
    <row r="38" spans="1:7" ht="13.5" customHeight="1">
      <c r="A38" s="780" t="s">
        <v>354</v>
      </c>
      <c r="B38" s="215" t="s">
        <v>36</v>
      </c>
      <c r="C38" s="220">
        <f>ROUND(C34*F38,0)</f>
        <v>1463</v>
      </c>
      <c r="D38" s="220"/>
      <c r="E38" s="220"/>
      <c r="F38" s="259">
        <f>'数据-取费表'!B36</f>
        <v>0.03</v>
      </c>
      <c r="G38" s="219" t="s">
        <v>90</v>
      </c>
    </row>
    <row r="39" spans="1:7" s="214" customFormat="1" ht="13.5" customHeight="1">
      <c r="A39" s="777" t="s">
        <v>338</v>
      </c>
      <c r="B39" s="210" t="s">
        <v>77</v>
      </c>
      <c r="C39" s="232">
        <f>ROUND(C33*F20,0)</f>
        <v>1688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2688</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2610</v>
      </c>
      <c r="D42" s="238"/>
      <c r="E42" s="238"/>
      <c r="F42" s="239"/>
      <c r="G42" s="3652" t="s">
        <v>94</v>
      </c>
    </row>
    <row r="43" spans="1:7" ht="13.5" customHeight="1">
      <c r="A43" s="780" t="s">
        <v>347</v>
      </c>
      <c r="B43" s="215" t="s">
        <v>426</v>
      </c>
      <c r="C43" s="238">
        <f ca="1">ROUND(IF('数据-取费表'!B22&lt;=1,C39*F22*'数据-取费表'!B21/2,C39*(POWER((1+F22),'数据-取费表'!B21/2)-1)),0)</f>
        <v>78</v>
      </c>
      <c r="D43" s="238"/>
      <c r="E43" s="238"/>
      <c r="F43" s="239"/>
      <c r="G43" s="3653"/>
    </row>
    <row r="44" spans="1:7" ht="13.5" customHeight="1">
      <c r="A44" s="780" t="s">
        <v>348</v>
      </c>
      <c r="B44" s="215" t="s">
        <v>428</v>
      </c>
      <c r="C44" s="238">
        <f ca="1">ROUND(IF('数据-取费表'!B22&lt;=1,C40*F22*'数据-取费表'!B21/2,C40*(POWER((1+F22),'数据-取费表'!B21/2)-1)),4)</f>
        <v>1.4E-3</v>
      </c>
      <c r="D44" s="238"/>
      <c r="E44" s="238"/>
      <c r="F44" s="239"/>
      <c r="G44" s="3654"/>
    </row>
    <row r="45" spans="1:7" s="214" customFormat="1" ht="13.5" customHeight="1">
      <c r="A45" s="777" t="s">
        <v>341</v>
      </c>
      <c r="B45" s="244" t="s">
        <v>85</v>
      </c>
      <c r="C45" s="245">
        <f>C46</f>
        <v>11593</v>
      </c>
      <c r="D45" s="235">
        <f>C47</f>
        <v>6.0000000000000001E-3</v>
      </c>
      <c r="E45" s="236" t="s">
        <v>102</v>
      </c>
      <c r="F45" s="246"/>
      <c r="G45" s="247" t="s">
        <v>434</v>
      </c>
    </row>
    <row r="46" spans="1:7" s="214" customFormat="1" ht="13.5" customHeight="1">
      <c r="A46" s="780" t="s">
        <v>349</v>
      </c>
      <c r="B46" s="248" t="s">
        <v>427</v>
      </c>
      <c r="C46" s="249">
        <f>ROUND((C33+C39)*F27,0)</f>
        <v>11593</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79371</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79371</v>
      </c>
      <c r="D51" s="232"/>
      <c r="E51" s="232"/>
      <c r="F51" s="264"/>
      <c r="G51" s="234" t="s">
        <v>37</v>
      </c>
    </row>
    <row r="52" spans="1:7" s="208" customFormat="1" ht="16.5" thickBot="1">
      <c r="A52" s="265" t="s">
        <v>38</v>
      </c>
      <c r="B52" s="266"/>
      <c r="C52" s="267">
        <f ca="1">C31+C51</f>
        <v>111226</v>
      </c>
      <c r="D52" s="266"/>
      <c r="E52" s="266"/>
      <c r="F52" s="266"/>
      <c r="G52" s="268"/>
    </row>
    <row r="55" spans="1:7" ht="15">
      <c r="B55" s="270" t="s">
        <v>39</v>
      </c>
      <c r="C55" s="271"/>
    </row>
    <row r="56" spans="1:7">
      <c r="B56" s="273" t="s">
        <v>40</v>
      </c>
      <c r="C56" s="274">
        <f ca="1">ROUND(C51/C52,3)</f>
        <v>0.71399999999999997</v>
      </c>
    </row>
    <row r="57" spans="1:7">
      <c r="B57" s="273" t="s">
        <v>41</v>
      </c>
      <c r="C57" s="275">
        <f ca="1">1-C56</f>
        <v>0.28600000000000003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0" t="s">
        <v>2841</v>
      </c>
      <c r="B1" s="3790"/>
      <c r="C1" s="3790"/>
      <c r="D1" s="3790"/>
      <c r="E1" s="3790"/>
      <c r="F1" s="3790"/>
      <c r="G1" s="3791"/>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88" t="s">
        <v>2868</v>
      </c>
      <c r="B3" s="3227"/>
      <c r="C3" s="3228" t="s">
        <v>2813</v>
      </c>
      <c r="D3" s="3228" t="s">
        <v>2869</v>
      </c>
      <c r="E3" s="3228" t="s">
        <v>2815</v>
      </c>
      <c r="F3" s="3228" t="s">
        <v>2870</v>
      </c>
      <c r="G3" s="3228" t="s">
        <v>2633</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89"/>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2" t="s">
        <v>3183</v>
      </c>
      <c r="B1" s="3792"/>
    </row>
    <row r="2" spans="1:7" ht="14.25" thickBot="1">
      <c r="A2" s="3252"/>
      <c r="B2" s="3252"/>
    </row>
    <row r="3" spans="1:7" ht="14.25" thickBot="1">
      <c r="A3" s="3252"/>
      <c r="B3" s="3252"/>
      <c r="C3" s="3253" t="s">
        <v>2813</v>
      </c>
      <c r="D3" s="3253" t="s">
        <v>2869</v>
      </c>
      <c r="E3" s="3253" t="s">
        <v>2815</v>
      </c>
      <c r="F3" s="3253" t="s">
        <v>2870</v>
      </c>
      <c r="G3" s="3253" t="s">
        <v>2633</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3" t="s">
        <v>3234</v>
      </c>
      <c r="B1" s="3793"/>
      <c r="C1" s="3793"/>
      <c r="D1" s="3793"/>
      <c r="E1" s="3793"/>
      <c r="F1" s="3794"/>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8">
        <f>基准地价修正!G23</f>
        <v>45631</v>
      </c>
      <c r="B1" s="3207" t="s">
        <v>3383</v>
      </c>
      <c r="C1" s="3208"/>
      <c r="D1" s="3208"/>
      <c r="E1" s="3208"/>
      <c r="F1" s="3208"/>
      <c r="G1" s="3208"/>
      <c r="H1" s="3208"/>
      <c r="I1" s="3208"/>
      <c r="J1" s="3162"/>
      <c r="K1" s="3208" t="s">
        <v>454</v>
      </c>
      <c r="L1" s="3208"/>
      <c r="M1" s="3208"/>
      <c r="N1" s="3208"/>
      <c r="O1" s="3208"/>
      <c r="P1" s="3208"/>
      <c r="Q1" s="3162"/>
      <c r="R1" s="3795" t="s">
        <v>456</v>
      </c>
      <c r="S1" s="3796"/>
      <c r="T1" s="3796"/>
      <c r="U1" s="3796"/>
      <c r="V1" s="3796"/>
      <c r="W1" s="3796"/>
      <c r="X1" s="3162"/>
      <c r="Y1" s="3795" t="s">
        <v>457</v>
      </c>
      <c r="Z1" s="3796"/>
      <c r="AA1" s="3796"/>
      <c r="AB1" s="3796"/>
      <c r="AC1" s="3796"/>
      <c r="AD1" s="3796"/>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ROUND(AVERAGEIF(D4:D21,"&lt;&gt;0"),2)</f>
        <v>0.47</v>
      </c>
      <c r="E3" s="3148">
        <f t="shared" ref="E3:H3" si="0">ROUND(AVERAGEIF(E4:E21,"&lt;&gt;0"),2)</f>
        <v>0.3</v>
      </c>
      <c r="F3" s="3148">
        <f t="shared" si="0"/>
        <v>0.04</v>
      </c>
      <c r="G3" s="3148">
        <f t="shared" si="0"/>
        <v>0.51</v>
      </c>
      <c r="H3" s="3148">
        <f t="shared" si="0"/>
        <v>0.55000000000000004</v>
      </c>
      <c r="I3" s="3148">
        <f>F3</f>
        <v>0.04</v>
      </c>
      <c r="J3" s="3149"/>
      <c r="K3" s="3150">
        <f>ROUND(AVERAGEIF(K4:K21,"&lt;&gt;0"),4)</f>
        <v>4.7000000000000002E-3</v>
      </c>
      <c r="L3" s="3151">
        <f t="shared" ref="L3:O3" si="1">ROUND(AVERAGEIF(L4:L21,"&lt;&gt;0"),4)</f>
        <v>3.0000000000000001E-3</v>
      </c>
      <c r="M3" s="3151">
        <f t="shared" si="1"/>
        <v>4.0000000000000002E-4</v>
      </c>
      <c r="N3" s="3151">
        <f t="shared" si="1"/>
        <v>5.1000000000000004E-3</v>
      </c>
      <c r="O3" s="3151">
        <f t="shared" si="1"/>
        <v>5.4999999999999997E-3</v>
      </c>
      <c r="P3" s="3151">
        <f>M3</f>
        <v>4.0000000000000002E-4</v>
      </c>
      <c r="Q3" s="3149"/>
      <c r="R3" s="3152">
        <f>ROUND(SUMPRODUCT(PRODUCT(1+K4:K21)),4)</f>
        <v>1.0723</v>
      </c>
      <c r="S3" s="3153">
        <f t="shared" ref="S3:V3" si="2">ROUND(SUMPRODUCT(PRODUCT(1+L4:L21)),4)</f>
        <v>1.0465</v>
      </c>
      <c r="T3" s="3153">
        <f t="shared" si="2"/>
        <v>1.0054000000000001</v>
      </c>
      <c r="U3" s="3153">
        <f t="shared" si="2"/>
        <v>1.0790999999999999</v>
      </c>
      <c r="V3" s="3153">
        <f t="shared" si="2"/>
        <v>1.0857000000000001</v>
      </c>
      <c r="W3" s="3152">
        <f>T3</f>
        <v>1.0054000000000001</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3379</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1.0620000000000001</v>
      </c>
      <c r="S5" s="3180">
        <f>ROUND(IF(项目基本情况!$B$8="出让",SUMPRODUCT(PRODUCT(1+L5:$L$21)),SUMPRODUCT(PRODUCT(1+L5:$L$20))),4)</f>
        <v>1.0448</v>
      </c>
      <c r="T5" s="3180">
        <f>ROUND(IF(项目基本情况!$B$8="出让",SUMPRODUCT(PRODUCT(1+M5:$M$21)),SUMPRODUCT(PRODUCT(1+M5:$M$20))),4)</f>
        <v>1.0079</v>
      </c>
      <c r="U5" s="3180">
        <f>ROUND(IF(项目基本情况!$B$8="出让",SUMPRODUCT(PRODUCT(1+N5:$N$21)),SUMPRODUCT(PRODUCT(1+N5:$N$20))),4)</f>
        <v>1.0672999999999999</v>
      </c>
      <c r="V5" s="3180">
        <f>ROUND(IF(项目基本情况!$B$8="出让",SUMPRODUCT(PRODUCT(1+O5:$O$21)),SUMPRODUCT(PRODUCT(1+O5:$O$20))),4)</f>
        <v>1.0818000000000001</v>
      </c>
      <c r="W5" s="3180">
        <f>T5</f>
        <v>1.0079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3388</v>
      </c>
      <c r="B6" s="3184">
        <v>2024</v>
      </c>
      <c r="C6" s="3185">
        <v>4</v>
      </c>
      <c r="D6" s="3186">
        <v>0</v>
      </c>
      <c r="E6" s="3186">
        <v>0</v>
      </c>
      <c r="F6" s="3186">
        <v>0</v>
      </c>
      <c r="G6" s="3186">
        <v>0</v>
      </c>
      <c r="H6" s="3187">
        <v>0</v>
      </c>
      <c r="I6" s="3188">
        <f t="shared" ref="I6" si="15">F6</f>
        <v>0</v>
      </c>
      <c r="J6" s="3189"/>
      <c r="K6" s="3190">
        <f t="shared" ref="K6" si="16">D6/100</f>
        <v>0</v>
      </c>
      <c r="L6" s="3191">
        <f t="shared" ref="L6" si="17">E6/100</f>
        <v>0</v>
      </c>
      <c r="M6" s="3191">
        <f t="shared" ref="M6" si="18">F6/100</f>
        <v>0</v>
      </c>
      <c r="N6" s="3191">
        <f t="shared" ref="N6" si="19">G6/100</f>
        <v>0</v>
      </c>
      <c r="O6" s="3191">
        <f t="shared" ref="O6" si="20">H6/100</f>
        <v>0</v>
      </c>
      <c r="P6" s="3191">
        <f>M6</f>
        <v>0</v>
      </c>
      <c r="Q6" s="3189"/>
      <c r="R6" s="3189">
        <f>ROUND(IF(项目基本情况!$B$8="出让",SUMPRODUCT(PRODUCT(1+K6:$K$21)),SUMPRODUCT(PRODUCT(1+K6:$K$20))),4)</f>
        <v>1.0620000000000001</v>
      </c>
      <c r="S6" s="3189">
        <f>ROUND(IF(项目基本情况!$B$8="出让",SUMPRODUCT(PRODUCT(1+L6:$L$21)),SUMPRODUCT(PRODUCT(1+L6:$L$20))),4)</f>
        <v>1.0448</v>
      </c>
      <c r="T6" s="3189">
        <f>ROUND(IF(项目基本情况!$B$8="出让",SUMPRODUCT(PRODUCT(1+M6:$M$21)),SUMPRODUCT(PRODUCT(1+M6:$M$20))),4)</f>
        <v>1.0079</v>
      </c>
      <c r="U6" s="3189">
        <f>ROUND(IF(项目基本情况!$B$8="出让",SUMPRODUCT(PRODUCT(1+N6:$N$21)),SUMPRODUCT(PRODUCT(1+N6:$N$20))),4)</f>
        <v>1.0672999999999999</v>
      </c>
      <c r="V6" s="3189">
        <f>ROUND(IF(项目基本情况!$B$8="出让",SUMPRODUCT(PRODUCT(1+O6:$O$21)),SUMPRODUCT(PRODUCT(1+O6:$O$20))),4)</f>
        <v>1.0818000000000001</v>
      </c>
      <c r="W6" s="3189">
        <f>T6</f>
        <v>1.0079</v>
      </c>
      <c r="X6" s="3189"/>
      <c r="Y6" s="3191">
        <f>IF(D6=0,0,ROUND(AVERAGE(D6:D19)/100,4))</f>
        <v>0</v>
      </c>
      <c r="Z6" s="3191">
        <f t="shared" ref="Z6" si="21">IF(E6=0,0,ROUND(AVERAGE(E6:E19)/100,4))</f>
        <v>0</v>
      </c>
      <c r="AA6" s="3191">
        <f t="shared" ref="AA6" si="22">IF(F6=0,0,ROUND(AVERAGE(F6:F19)/100,4))</f>
        <v>0</v>
      </c>
      <c r="AB6" s="3191">
        <f t="shared" ref="AB6" si="23">IF(G6=0,0,ROUND(AVERAGE(G6:G19)/100,4))</f>
        <v>0</v>
      </c>
      <c r="AC6" s="3191">
        <f t="shared" ref="AC6" si="24">IF(H6=0,0,ROUND(AVERAGE(H6:H19)/100,4))</f>
        <v>0</v>
      </c>
      <c r="AD6" s="3191">
        <f t="shared" ref="AD6" si="25">AA6</f>
        <v>0</v>
      </c>
    </row>
    <row r="7" spans="1:30" s="3182" customFormat="1" ht="12.75">
      <c r="A7" s="2204" t="s">
        <v>3387</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3380</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3376</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3372</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3371</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3369</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3368</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3367</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3365</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3356</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2822</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2823</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2824</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2825</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2826</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3386</v>
      </c>
    </row>
    <row r="24" spans="1:30" s="3006" customFormat="1">
      <c r="I24" s="3205" t="s">
        <v>2827</v>
      </c>
    </row>
    <row r="25" spans="1:30" s="3006" customFormat="1"/>
    <row r="26" spans="1:30" s="3206" customFormat="1" ht="12.75">
      <c r="B26" s="3207" t="s">
        <v>3384</v>
      </c>
      <c r="C26" s="3208"/>
      <c r="D26" s="3208"/>
      <c r="E26" s="3208"/>
      <c r="F26" s="3208"/>
      <c r="G26" s="3208"/>
      <c r="H26" s="3208"/>
      <c r="I26" s="3208"/>
      <c r="J26" s="3162"/>
      <c r="K26" s="3208" t="s">
        <v>2828</v>
      </c>
      <c r="L26" s="3208"/>
      <c r="M26" s="3208"/>
      <c r="N26" s="3208"/>
      <c r="O26" s="3208"/>
      <c r="P26" s="3208"/>
      <c r="Q26" s="3162"/>
      <c r="R26" s="3795" t="s">
        <v>2829</v>
      </c>
      <c r="S26" s="3796"/>
      <c r="T26" s="3796"/>
      <c r="U26" s="3796"/>
      <c r="V26" s="3796"/>
      <c r="W26" s="3796"/>
      <c r="X26" s="3162"/>
      <c r="Y26" s="3795" t="s">
        <v>2830</v>
      </c>
      <c r="Z26" s="3796"/>
      <c r="AA26" s="3796"/>
      <c r="AB26" s="3796"/>
      <c r="AC26" s="3796"/>
      <c r="AD26" s="3796"/>
    </row>
    <row r="27" spans="1:30" s="3140" customFormat="1" ht="14.25" thickBot="1">
      <c r="B27" s="3141"/>
      <c r="C27" s="3142"/>
      <c r="D27" s="3143" t="s">
        <v>2831</v>
      </c>
      <c r="E27" s="3144" t="s">
        <v>2832</v>
      </c>
      <c r="F27" s="3144" t="s">
        <v>2833</v>
      </c>
      <c r="G27" s="3144" t="s">
        <v>2834</v>
      </c>
      <c r="H27" s="3144"/>
      <c r="I27" s="3144" t="s">
        <v>2835</v>
      </c>
      <c r="J27" s="3145"/>
      <c r="K27" s="3143" t="s">
        <v>2831</v>
      </c>
      <c r="L27" s="3144" t="s">
        <v>2832</v>
      </c>
      <c r="M27" s="3144" t="s">
        <v>2833</v>
      </c>
      <c r="N27" s="3144" t="s">
        <v>2834</v>
      </c>
      <c r="O27" s="3144"/>
      <c r="P27" s="3144" t="s">
        <v>2835</v>
      </c>
      <c r="Q27" s="3145"/>
      <c r="R27" s="3143" t="s">
        <v>2831</v>
      </c>
      <c r="S27" s="3144" t="s">
        <v>2832</v>
      </c>
      <c r="T27" s="3144" t="s">
        <v>2833</v>
      </c>
      <c r="U27" s="3144" t="s">
        <v>2834</v>
      </c>
      <c r="V27" s="3144"/>
      <c r="W27" s="3144" t="s">
        <v>2835</v>
      </c>
      <c r="X27" s="3145"/>
      <c r="Y27" s="3143" t="s">
        <v>2831</v>
      </c>
      <c r="Z27" s="3144" t="s">
        <v>2832</v>
      </c>
      <c r="AA27" s="3144" t="s">
        <v>2833</v>
      </c>
      <c r="AB27" s="3144" t="s">
        <v>2834</v>
      </c>
      <c r="AC27" s="3144"/>
      <c r="AD27" s="3144" t="s">
        <v>2835</v>
      </c>
    </row>
    <row r="28" spans="1:30" s="3158" customFormat="1" ht="12.75">
      <c r="A28" s="3146" t="s">
        <v>2836</v>
      </c>
      <c r="B28" s="3147"/>
      <c r="C28" s="3148"/>
      <c r="D28" s="3148"/>
      <c r="E28" s="3148">
        <f t="shared" ref="E28:G28" si="65">ROUND(AVERAGEIF(E29:E46,"&lt;&gt;0"),2)</f>
        <v>0.26</v>
      </c>
      <c r="F28" s="3148">
        <f t="shared" si="65"/>
        <v>0.19</v>
      </c>
      <c r="G28" s="3148">
        <f t="shared" si="65"/>
        <v>0.38</v>
      </c>
      <c r="H28" s="3148"/>
      <c r="I28" s="3148">
        <f>F28</f>
        <v>0.19</v>
      </c>
      <c r="J28" s="3149"/>
      <c r="K28" s="3150"/>
      <c r="L28" s="3151">
        <f t="shared" ref="L28:N28" si="66">ROUND(AVERAGEIF(L29:L46,"&lt;&gt;0"),4)</f>
        <v>2.5999999999999999E-3</v>
      </c>
      <c r="M28" s="3151">
        <f t="shared" si="66"/>
        <v>1.9E-3</v>
      </c>
      <c r="N28" s="3151">
        <f t="shared" si="66"/>
        <v>3.8E-3</v>
      </c>
      <c r="O28" s="3151"/>
      <c r="P28" s="3151">
        <f>M28</f>
        <v>1.9E-3</v>
      </c>
      <c r="Q28" s="3149"/>
      <c r="R28" s="3152"/>
      <c r="S28" s="3153">
        <f>ROUND(SUMPRODUCT(PRODUCT(1+L29:L46)),4)</f>
        <v>1.04</v>
      </c>
      <c r="T28" s="3153">
        <f t="shared" ref="T28:U28" si="67">ROUND(SUMPRODUCT(PRODUCT(1+M29:M46)),4)</f>
        <v>1.0293000000000001</v>
      </c>
      <c r="U28" s="3153">
        <f t="shared" si="67"/>
        <v>1.0583</v>
      </c>
      <c r="V28" s="3153"/>
      <c r="W28" s="3152">
        <f>T28</f>
        <v>1.0293000000000001</v>
      </c>
      <c r="X28" s="3149"/>
      <c r="Y28" s="3154"/>
      <c r="Z28" s="3155">
        <f t="shared" ref="Z28:AB28" si="68">ROUND(AVERAGEIF(Z29:Z46,"&lt;&gt;0"),4)</f>
        <v>4.1000000000000003E-3</v>
      </c>
      <c r="AA28" s="3156">
        <f t="shared" si="68"/>
        <v>3.3E-3</v>
      </c>
      <c r="AB28" s="3154">
        <f t="shared" si="68"/>
        <v>8.0999999999999996E-3</v>
      </c>
      <c r="AC28" s="3157"/>
      <c r="AD28" s="3154">
        <f>AA28</f>
        <v>3.3E-3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3379</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1.0364</v>
      </c>
      <c r="T30" s="3180">
        <f>ROUND(IF(项目基本情况!$B$8="出让",SUMPRODUCT(PRODUCT(1+M30:M$46)),SUMPRODUCT(PRODUCT(1+M30:M$45))),4)</f>
        <v>1.0244</v>
      </c>
      <c r="U30" s="3180">
        <f>ROUND(IF(项目基本情况!$B$8="出让",SUMPRODUCT(PRODUCT(1+N30:N$46)),SUMPRODUCT(PRODUCT(1+N30:N$45))),4)</f>
        <v>1.048</v>
      </c>
      <c r="V30" s="3180"/>
      <c r="W30" s="3180">
        <f>T30</f>
        <v>1.0244</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3381</v>
      </c>
      <c r="B31" s="3184">
        <v>2024</v>
      </c>
      <c r="C31" s="3185">
        <v>4</v>
      </c>
      <c r="D31" s="3186"/>
      <c r="E31" s="3186">
        <v>0</v>
      </c>
      <c r="F31" s="3186">
        <v>0</v>
      </c>
      <c r="G31" s="3186">
        <v>0</v>
      </c>
      <c r="H31" s="3187"/>
      <c r="I31" s="3188">
        <f t="shared" ref="I31" si="76">F31</f>
        <v>0</v>
      </c>
      <c r="J31" s="3189"/>
      <c r="K31" s="3190"/>
      <c r="L31" s="3191">
        <f t="shared" ref="L31" si="77">E31/100</f>
        <v>0</v>
      </c>
      <c r="M31" s="3191">
        <f t="shared" ref="M31" si="78">F31/100</f>
        <v>0</v>
      </c>
      <c r="N31" s="3191">
        <f t="shared" ref="N31" si="79">G31/100</f>
        <v>0</v>
      </c>
      <c r="O31" s="3191"/>
      <c r="P31" s="3191">
        <f>M31</f>
        <v>0</v>
      </c>
      <c r="Q31" s="3189"/>
      <c r="R31" s="3189"/>
      <c r="S31" s="3189">
        <f>ROUND(IF(项目基本情况!$B$8="出让",SUMPRODUCT(PRODUCT(1+L31:L$46)),SUMPRODUCT(PRODUCT(1+L31:L$45))),4)</f>
        <v>1.0364</v>
      </c>
      <c r="T31" s="3189">
        <f>ROUND(IF(项目基本情况!$B$8="出让",SUMPRODUCT(PRODUCT(1+M31:M$46)),SUMPRODUCT(PRODUCT(1+M31:M$45))),4)</f>
        <v>1.0244</v>
      </c>
      <c r="U31" s="3189">
        <f>ROUND(IF(项目基本情况!$B$8="出让",SUMPRODUCT(PRODUCT(1+N31:N$46)),SUMPRODUCT(PRODUCT(1+N31:N$45))),4)</f>
        <v>1.048</v>
      </c>
      <c r="V31" s="3189"/>
      <c r="W31" s="3189">
        <f>T31</f>
        <v>1.0244</v>
      </c>
      <c r="X31" s="3189"/>
      <c r="Y31" s="3191"/>
      <c r="Z31" s="3212">
        <f t="shared" ref="Z31" si="80">IF(E31=0,0,ROUND(AVERAGE(E31:E44)/100,4))</f>
        <v>0</v>
      </c>
      <c r="AA31" s="3213">
        <f t="shared" ref="AA31" si="81">IF(F31=0,0,ROUND(AVERAGE(F31:F44)/100,4))</f>
        <v>0</v>
      </c>
      <c r="AB31" s="3191">
        <f t="shared" ref="AB31" si="82">IF(G31=0,0,ROUND(AVERAGE(G31:G44)/100,4))</f>
        <v>0</v>
      </c>
      <c r="AC31" s="3214"/>
      <c r="AD31" s="3191">
        <f>IF(I31=0,0,ROUND(AVERAGE(I31:I44)/100,4))</f>
        <v>0</v>
      </c>
    </row>
    <row r="32" spans="1:30" s="3182" customFormat="1" ht="12.75">
      <c r="A32" s="2204" t="s">
        <v>3374</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3382</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3375</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3373</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3371</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3370</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3368</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3367</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3366</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3356</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2837</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2838</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2839</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2840</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2826</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45631</v>
      </c>
      <c r="D1" s="1301" t="s">
        <v>603</v>
      </c>
      <c r="E1" s="1296">
        <f>'数据-取费表'!B22</f>
        <v>3</v>
      </c>
      <c r="F1" s="1301" t="s">
        <v>604</v>
      </c>
      <c r="G1" s="1297">
        <f ca="1">INDIRECT("d"&amp;$K$1)/100</f>
        <v>3.1E-2</v>
      </c>
      <c r="H1" s="1301" t="s">
        <v>634</v>
      </c>
      <c r="I1" s="1297">
        <f ca="1">F4/100</f>
        <v>1.4999999999999999E-2</v>
      </c>
      <c r="J1" s="1302">
        <f>IF(C1&gt;C13,0,MATCH(C1,C$13:C$114,-1))+IF(SUMIF(C13:C114,C1,D13:D114)=0,13,12)</f>
        <v>13</v>
      </c>
      <c r="K1" s="1302">
        <f ca="1">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2311</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4" t="s">
        <v>925</v>
      </c>
      <c r="E3" s="854" t="s">
        <v>931</v>
      </c>
      <c r="F3" s="854" t="s">
        <v>925</v>
      </c>
      <c r="G3" s="854" t="s">
        <v>926</v>
      </c>
      <c r="H3" s="854" t="s">
        <v>925</v>
      </c>
      <c r="I3" s="854" t="s">
        <v>926</v>
      </c>
    </row>
    <row r="4" spans="1:9" ht="30">
      <c r="A4" s="1504" t="str">
        <f>项目基本情况!S2</f>
        <v>北京市通州区宋庄镇尹各庄村新建科研用地房地产</v>
      </c>
      <c r="B4" s="854">
        <f>项目基本情况!C17</f>
        <v>59427.91</v>
      </c>
      <c r="C4" s="854">
        <f>项目基本情况!C18</f>
        <v>20455.650000000001</v>
      </c>
      <c r="D4" s="854">
        <f ca="1">结果表!D118</f>
        <v>32474</v>
      </c>
      <c r="E4" s="854">
        <f ca="1">结果表!E118</f>
        <v>5464</v>
      </c>
      <c r="F4" s="854">
        <f ca="1">结果表!F118</f>
        <v>79507</v>
      </c>
      <c r="G4" s="854">
        <f ca="1">结果表!G118</f>
        <v>13379</v>
      </c>
      <c r="H4" s="854">
        <f ca="1">结果表!H118</f>
        <v>111981</v>
      </c>
      <c r="I4" s="854">
        <f ca="1">结果表!I118</f>
        <v>18843</v>
      </c>
    </row>
    <row r="5" spans="1:9" ht="30" customHeight="1">
      <c r="A5" s="3483" t="s">
        <v>927</v>
      </c>
      <c r="B5" s="3483"/>
      <c r="C5" s="3483"/>
      <c r="D5" s="3483" t="str">
        <f ca="1">结果表!D119</f>
        <v>叁亿贰仟肆佰柒拾肆万元整</v>
      </c>
      <c r="E5" s="3483"/>
      <c r="F5" s="3483" t="str">
        <f ca="1">结果表!F119</f>
        <v>柒亿玖仟伍佰零柒万元整</v>
      </c>
      <c r="G5" s="3483"/>
      <c r="H5" s="3483" t="str">
        <f ca="1">结果表!H119</f>
        <v>壹拾壹亿壹仟玖佰捌拾壹万元整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111981</v>
      </c>
      <c r="E8" s="3482"/>
      <c r="F8" s="3482"/>
      <c r="G8" s="3482"/>
      <c r="H8" s="3482"/>
      <c r="I8" s="3482"/>
    </row>
    <row r="9" spans="1:9" ht="15">
      <c r="A9" s="3483" t="s">
        <v>927</v>
      </c>
      <c r="B9" s="3483"/>
      <c r="C9" s="3483"/>
      <c r="D9" s="3483" t="str">
        <f ca="1">结果表!D123</f>
        <v>壹拾壹亿壹仟玖佰捌拾壹万元整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5" t="s">
        <v>949</v>
      </c>
      <c r="B1" s="3495"/>
      <c r="C1" s="3495"/>
      <c r="D1" s="3495"/>
    </row>
    <row r="2" spans="1:4" ht="18">
      <c r="A2" s="3496" t="s">
        <v>933</v>
      </c>
      <c r="B2" s="3496"/>
      <c r="C2" s="3496"/>
      <c r="D2" s="349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6" t="s">
        <v>939</v>
      </c>
      <c r="B6" s="3496"/>
      <c r="C6" s="3496"/>
      <c r="D6" s="349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89" t="str">
        <f>IF(项目基本情况!B8="抵押","4.本次评估估价师所知悉的法定优先受偿款情况说明如下：","——")</f>
        <v>4.本次评估估价师所知悉的法定优先受偿款情况说明如下：</v>
      </c>
      <c r="B14" s="3494"/>
      <c r="C14" s="3494"/>
      <c r="D14" s="3494"/>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3" t="s">
        <v>956</v>
      </c>
      <c r="B15" s="3498" t="s">
        <v>109</v>
      </c>
      <c r="C15" s="3499"/>
    </row>
    <row r="16" spans="1:7" ht="13.5">
      <c r="A16" s="3504"/>
      <c r="B16" s="3498" t="s">
        <v>42</v>
      </c>
      <c r="C16" s="3499"/>
    </row>
    <row r="17" spans="1:3" ht="13.5">
      <c r="A17" s="3504"/>
      <c r="B17" s="3501" t="s">
        <v>957</v>
      </c>
      <c r="C17" s="1531" t="s">
        <v>956</v>
      </c>
    </row>
    <row r="18" spans="1:3" ht="13.5">
      <c r="A18" s="3504"/>
      <c r="B18" s="3501"/>
      <c r="C18" s="1531" t="s">
        <v>958</v>
      </c>
    </row>
    <row r="19" spans="1:3" ht="13.5">
      <c r="A19" s="3504"/>
      <c r="B19" s="3501"/>
      <c r="C19" s="1531" t="s">
        <v>959</v>
      </c>
    </row>
    <row r="20" spans="1:3" ht="13.5">
      <c r="A20" s="3505"/>
      <c r="B20" s="3500" t="s">
        <v>960</v>
      </c>
      <c r="C20" s="3499"/>
    </row>
    <row r="21" spans="1:3" ht="13.5">
      <c r="A21" s="1532" t="s">
        <v>961</v>
      </c>
      <c r="B21" s="1533"/>
      <c r="C21" s="1534"/>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1" t="s">
        <v>967</v>
      </c>
    </row>
    <row r="26" spans="1:3" ht="13.5">
      <c r="A26" s="3502"/>
      <c r="B26" s="3501"/>
      <c r="C26" s="1531" t="s">
        <v>968</v>
      </c>
    </row>
    <row r="27" spans="1:3" ht="13.5">
      <c r="A27" s="3502"/>
      <c r="B27" s="3501"/>
      <c r="C27" s="1531" t="s">
        <v>969</v>
      </c>
    </row>
    <row r="28" spans="1:3" ht="13.5">
      <c r="A28" s="3502"/>
      <c r="B28" s="3501"/>
      <c r="C28" s="1531" t="s">
        <v>970</v>
      </c>
    </row>
    <row r="29" spans="1:3" ht="13.5">
      <c r="A29" s="3502"/>
      <c r="B29" s="3501"/>
      <c r="C29" s="1531" t="s">
        <v>971</v>
      </c>
    </row>
    <row r="30" spans="1:3" ht="13.5">
      <c r="A30" s="3502"/>
      <c r="B30" s="3501"/>
      <c r="C30" s="1531" t="s">
        <v>972</v>
      </c>
    </row>
    <row r="31" spans="1:3" ht="13.5">
      <c r="A31" s="3502"/>
      <c r="B31" s="3501"/>
      <c r="C31" s="1531" t="s">
        <v>973</v>
      </c>
    </row>
    <row r="32" spans="1:3" ht="13.5">
      <c r="A32" s="3502"/>
      <c r="B32" s="3501"/>
      <c r="C32" s="1531" t="s">
        <v>974</v>
      </c>
    </row>
    <row r="33" spans="1:3" ht="13.5">
      <c r="A33" s="3502"/>
      <c r="B33" s="350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45638</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2"/>
      <c r="E18" s="3508" t="s">
        <v>2162</v>
      </c>
      <c r="F18" s="3507"/>
      <c r="G18" s="350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2024-12-12T11:56:36Z</dcterms:modified>
</cp:coreProperties>
</file>