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拆分价值" sheetId="81"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48" i="81" l="1"/>
  <c r="N47" i="81"/>
  <c r="N46" i="81"/>
  <c r="N43" i="81"/>
  <c r="N38" i="81"/>
  <c r="N39" i="81"/>
  <c r="N40" i="81"/>
  <c r="N41" i="81"/>
  <c r="N42" i="81"/>
  <c r="N30" i="81"/>
  <c r="N31" i="81"/>
  <c r="N32" i="81"/>
  <c r="N33" i="81"/>
  <c r="N34" i="81"/>
  <c r="N35" i="81"/>
  <c r="N36" i="81"/>
  <c r="N37" i="81"/>
  <c r="N29" i="81"/>
  <c r="G75" i="81"/>
  <c r="D74" i="81"/>
  <c r="C74" i="81"/>
  <c r="H70" i="81"/>
  <c r="G70" i="81"/>
  <c r="D70" i="81"/>
  <c r="D75" i="81" s="1"/>
  <c r="H69" i="81"/>
  <c r="G69" i="81"/>
  <c r="C69" i="81"/>
  <c r="H68" i="81"/>
  <c r="G68" i="81"/>
  <c r="C68" i="81"/>
  <c r="H67" i="81"/>
  <c r="G67" i="81"/>
  <c r="C67" i="81"/>
  <c r="H66" i="81"/>
  <c r="G66" i="81"/>
  <c r="C66" i="81"/>
  <c r="H65" i="81"/>
  <c r="G65" i="81"/>
  <c r="C65" i="81"/>
  <c r="H64" i="81"/>
  <c r="G64" i="81"/>
  <c r="C64" i="81"/>
  <c r="H63" i="81"/>
  <c r="G63" i="81"/>
  <c r="C63" i="81"/>
  <c r="H62" i="81"/>
  <c r="G62" i="81"/>
  <c r="C62" i="81"/>
  <c r="H61" i="81"/>
  <c r="G61" i="81"/>
  <c r="C61" i="81"/>
  <c r="H60" i="81"/>
  <c r="G60" i="81"/>
  <c r="C60" i="81"/>
  <c r="H59" i="81"/>
  <c r="G59" i="81"/>
  <c r="C59" i="81"/>
  <c r="H58" i="81"/>
  <c r="G58" i="81"/>
  <c r="C58" i="81"/>
  <c r="H57" i="81"/>
  <c r="G57" i="81"/>
  <c r="C57" i="81"/>
  <c r="H56" i="81"/>
  <c r="G56" i="81"/>
  <c r="C56" i="81"/>
  <c r="H55" i="81"/>
  <c r="G55" i="81"/>
  <c r="C55" i="81"/>
  <c r="C70" i="81" s="1"/>
  <c r="C75" i="81" s="1"/>
  <c r="E49" i="81"/>
  <c r="E50" i="81" s="1"/>
  <c r="G48" i="81"/>
  <c r="F48" i="81"/>
  <c r="E48" i="81"/>
  <c r="D48" i="81"/>
  <c r="C48" i="81"/>
  <c r="G47" i="81"/>
  <c r="F47" i="81"/>
  <c r="E47" i="81"/>
  <c r="D47" i="81"/>
  <c r="I47" i="81" s="1"/>
  <c r="C47" i="81"/>
  <c r="K46" i="81"/>
  <c r="G46" i="81"/>
  <c r="G49" i="81" s="1"/>
  <c r="G50" i="81" s="1"/>
  <c r="F46" i="81"/>
  <c r="F49" i="81" s="1"/>
  <c r="F50" i="81" s="1"/>
  <c r="E46" i="81"/>
  <c r="D46" i="81"/>
  <c r="D49" i="81" s="1"/>
  <c r="D50" i="81" s="1"/>
  <c r="C46" i="81"/>
  <c r="C49" i="81" s="1"/>
  <c r="C50" i="81" s="1"/>
  <c r="H44" i="81"/>
  <c r="G44" i="81"/>
  <c r="F44" i="81"/>
  <c r="E44" i="81"/>
  <c r="D44" i="81"/>
  <c r="C44" i="81"/>
  <c r="L43" i="81"/>
  <c r="I43" i="81"/>
  <c r="I42" i="81"/>
  <c r="I41" i="81"/>
  <c r="L40" i="81"/>
  <c r="K42" i="81"/>
  <c r="L42" i="81" s="1"/>
  <c r="I40" i="81"/>
  <c r="I39" i="81"/>
  <c r="I38" i="81"/>
  <c r="I37" i="81"/>
  <c r="I36" i="81"/>
  <c r="I35" i="81"/>
  <c r="I34" i="81"/>
  <c r="I33" i="81"/>
  <c r="I32" i="81"/>
  <c r="K38" i="81"/>
  <c r="L38" i="81" s="1"/>
  <c r="I31" i="81"/>
  <c r="L31" i="81" s="1"/>
  <c r="I30" i="81"/>
  <c r="L29" i="81"/>
  <c r="K30" i="81"/>
  <c r="L30" i="81" s="1"/>
  <c r="I29" i="81"/>
  <c r="E24" i="81"/>
  <c r="C24" i="81"/>
  <c r="H23" i="81"/>
  <c r="G23" i="81"/>
  <c r="E23" i="81"/>
  <c r="D23" i="81"/>
  <c r="H19" i="81"/>
  <c r="H24" i="81" s="1"/>
  <c r="G19" i="81"/>
  <c r="G24" i="81" s="1"/>
  <c r="F19" i="81"/>
  <c r="F24" i="81" s="1"/>
  <c r="E19" i="81"/>
  <c r="D19" i="81"/>
  <c r="D24" i="81" s="1"/>
  <c r="M15" i="74"/>
  <c r="M16" i="74"/>
  <c r="M14" i="74"/>
  <c r="J16" i="74"/>
  <c r="L16" i="74"/>
  <c r="C15" i="74"/>
  <c r="B15" i="74"/>
  <c r="B14" i="74"/>
  <c r="N44" i="81" l="1"/>
  <c r="O33" i="81" s="1"/>
  <c r="L39" i="81"/>
  <c r="K33" i="81"/>
  <c r="L33" i="81" s="1"/>
  <c r="K35" i="81"/>
  <c r="L35" i="81" s="1"/>
  <c r="K37" i="81"/>
  <c r="L37" i="81" s="1"/>
  <c r="K39" i="81"/>
  <c r="K41" i="81"/>
  <c r="L41" i="81" s="1"/>
  <c r="H46" i="81"/>
  <c r="H47" i="81"/>
  <c r="L47" i="81" s="1"/>
  <c r="I48" i="81"/>
  <c r="I46" i="81"/>
  <c r="L46" i="81" s="1"/>
  <c r="K32" i="81"/>
  <c r="L32" i="81" s="1"/>
  <c r="K34" i="81"/>
  <c r="L34" i="81" s="1"/>
  <c r="K36" i="81"/>
  <c r="L36" i="81" s="1"/>
  <c r="H48" i="81"/>
  <c r="L48" i="81" s="1"/>
  <c r="O31" i="81" l="1"/>
  <c r="O41" i="81"/>
  <c r="O32" i="81"/>
  <c r="O39" i="81"/>
  <c r="O43" i="81"/>
  <c r="O36" i="81"/>
  <c r="O42" i="81"/>
  <c r="O35" i="81"/>
  <c r="O29" i="81"/>
  <c r="O38" i="81"/>
  <c r="O30" i="81"/>
  <c r="O37" i="81"/>
  <c r="O34" i="81"/>
  <c r="O40" i="81"/>
  <c r="N49" i="81"/>
  <c r="O48" i="81" s="1"/>
  <c r="L44" i="81"/>
  <c r="M37" i="81" s="1"/>
  <c r="L49" i="81"/>
  <c r="M46" i="81" s="1"/>
  <c r="H49" i="81"/>
  <c r="H50" i="81" s="1"/>
  <c r="O47" i="81" l="1"/>
  <c r="O44" i="81"/>
  <c r="M39" i="81"/>
  <c r="M41" i="81"/>
  <c r="M32" i="81"/>
  <c r="M34" i="81"/>
  <c r="M36" i="81"/>
  <c r="M47" i="81"/>
  <c r="M31" i="81"/>
  <c r="M29" i="81"/>
  <c r="M42" i="81"/>
  <c r="M38" i="81"/>
  <c r="M30" i="81"/>
  <c r="M43" i="81"/>
  <c r="M40" i="81"/>
  <c r="M35" i="81"/>
  <c r="M48" i="81"/>
  <c r="M33" i="81"/>
  <c r="O46" i="81"/>
  <c r="M49" i="81" l="1"/>
  <c r="M44" i="81"/>
  <c r="O49" i="81"/>
  <c r="D42" i="43" l="1"/>
  <c r="D40" i="43"/>
  <c r="G44" i="43"/>
  <c r="D33" i="43"/>
  <c r="G94" i="43"/>
  <c r="G95" i="43"/>
  <c r="G96" i="43"/>
  <c r="G97" i="43"/>
  <c r="G98" i="43"/>
  <c r="G99" i="43"/>
  <c r="G100" i="43"/>
  <c r="G101" i="43"/>
  <c r="G93" i="43"/>
  <c r="Y6" i="1"/>
  <c r="B21" i="1"/>
  <c r="N14" i="1"/>
  <c r="N6" i="1"/>
  <c r="L14" i="1"/>
  <c r="G52" i="80"/>
  <c r="F52" i="80"/>
  <c r="F54" i="80" s="1"/>
  <c r="F37" i="80"/>
  <c r="A32" i="80"/>
  <c r="F31" i="80"/>
  <c r="I30" i="80"/>
  <c r="J30" i="80" s="1"/>
  <c r="G30" i="80"/>
  <c r="F30" i="80"/>
  <c r="E30" i="80"/>
  <c r="I29" i="80"/>
  <c r="J29" i="80" s="1"/>
  <c r="F29" i="80"/>
  <c r="D29" i="80"/>
  <c r="E29" i="80" s="1"/>
  <c r="C29" i="80"/>
  <c r="E28" i="80"/>
  <c r="J28" i="80" s="1"/>
  <c r="D28" i="80"/>
  <c r="C28" i="80"/>
  <c r="D27" i="80"/>
  <c r="C27" i="80"/>
  <c r="E27" i="80" s="1"/>
  <c r="B22" i="80"/>
  <c r="E21" i="80"/>
  <c r="E22" i="80" s="1"/>
  <c r="D21" i="80"/>
  <c r="D22" i="80" s="1"/>
  <c r="C21" i="80"/>
  <c r="D31" i="80" s="1"/>
  <c r="E31" i="80" s="1"/>
  <c r="J31" i="80" s="1"/>
  <c r="F20" i="80"/>
  <c r="F19" i="80"/>
  <c r="F18" i="80"/>
  <c r="F17" i="80"/>
  <c r="F16" i="80"/>
  <c r="F15" i="80"/>
  <c r="F14" i="80"/>
  <c r="F13" i="80"/>
  <c r="F12" i="80"/>
  <c r="F11" i="80"/>
  <c r="M11" i="80" s="1"/>
  <c r="F10" i="80"/>
  <c r="F9" i="80"/>
  <c r="F8" i="80"/>
  <c r="F7" i="80"/>
  <c r="M7" i="80" s="1"/>
  <c r="F6" i="80"/>
  <c r="F5" i="80"/>
  <c r="F4" i="80"/>
  <c r="F3" i="80"/>
  <c r="F22" i="80" s="1"/>
  <c r="G29" i="80" l="1"/>
  <c r="F38" i="80"/>
  <c r="I27" i="80" s="1"/>
  <c r="J27" i="80" s="1"/>
  <c r="J32" i="80" s="1"/>
  <c r="K32" i="80" s="1"/>
  <c r="U6" i="1" s="1"/>
  <c r="G27" i="80"/>
  <c r="E32" i="80"/>
  <c r="G31" i="80"/>
  <c r="C22" i="80"/>
  <c r="G28" i="80"/>
  <c r="B59" i="1"/>
  <c r="G19" i="6"/>
  <c r="F19" i="6"/>
  <c r="G32" i="80" l="1"/>
  <c r="F32" i="80" s="1"/>
  <c r="L6" i="1" s="1"/>
  <c r="F13" i="4"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F93" i="43" l="1"/>
  <c r="H94" i="43" s="1"/>
  <c r="C15" i="78"/>
  <c r="G23" i="78"/>
  <c r="G24" i="78"/>
  <c r="G25" i="78"/>
  <c r="B15" i="78"/>
  <c r="B18" i="78"/>
  <c r="G19" i="73"/>
  <c r="F19" i="73"/>
  <c r="E19" i="73"/>
  <c r="H95" i="43" l="1"/>
  <c r="H93" i="43"/>
  <c r="H97" i="43"/>
  <c r="H101" i="43"/>
  <c r="H100" i="43"/>
  <c r="H96" i="43"/>
  <c r="H98" i="43"/>
  <c r="H99"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0" i="76"/>
  <c r="M29" i="67"/>
  <c r="J15" i="15"/>
  <c r="M8" i="67"/>
  <c r="E12" i="76"/>
  <c r="F43" i="15"/>
  <c r="B7" i="76"/>
  <c r="F7" i="67"/>
  <c r="L48" i="67"/>
  <c r="M28" i="15"/>
  <c r="F42" i="15"/>
  <c r="F37" i="67"/>
  <c r="F6" i="15"/>
  <c r="M23" i="15"/>
  <c r="B9" i="76"/>
  <c r="M24" i="15"/>
  <c r="M29" i="15"/>
  <c r="J15" i="67"/>
  <c r="F16" i="15"/>
  <c r="E2" i="69"/>
  <c r="B11" i="76"/>
  <c r="E7" i="76"/>
  <c r="B13" i="76"/>
  <c r="F7" i="15"/>
  <c r="M8" i="15"/>
  <c r="F38" i="67"/>
  <c r="M22" i="15"/>
  <c r="F6" i="73"/>
  <c r="L47" i="15"/>
  <c r="M6" i="67"/>
  <c r="F5" i="73"/>
  <c r="F13" i="15"/>
  <c r="F26" i="67"/>
  <c r="F26" i="15"/>
  <c r="M9" i="15"/>
  <c r="F4" i="73"/>
  <c r="F43" i="67"/>
  <c r="F3" i="73"/>
  <c r="F13" i="67"/>
  <c r="E9" i="76"/>
  <c r="M9" i="67"/>
  <c r="D6" i="73"/>
  <c r="B10" i="76"/>
  <c r="M24" i="67"/>
  <c r="F37" i="15"/>
  <c r="M23" i="67"/>
  <c r="F20" i="31"/>
  <c r="M28" i="67"/>
  <c r="F8" i="67"/>
  <c r="F8" i="15"/>
  <c r="F40" i="15"/>
  <c r="F16" i="67"/>
  <c r="M26" i="67"/>
  <c r="B8" i="76"/>
  <c r="F7" i="73"/>
  <c r="F36" i="15"/>
  <c r="L47" i="67"/>
  <c r="F42" i="67"/>
  <c r="E11" i="76"/>
  <c r="C76" i="15"/>
  <c r="E13" i="76"/>
  <c r="F36" i="67"/>
  <c r="B12" i="76"/>
  <c r="F6" i="67"/>
  <c r="F40" i="67"/>
  <c r="L48" i="15"/>
  <c r="M6" i="15"/>
  <c r="AO13" i="1"/>
  <c r="M26" i="15"/>
  <c r="F9" i="15"/>
  <c r="E2" i="68"/>
  <c r="F9" i="67"/>
  <c r="C76" i="67"/>
  <c r="F38" i="15"/>
  <c r="M22" i="67"/>
  <c r="E8" i="76"/>
  <c r="C21" i="68" l="1"/>
  <c r="C40" i="69"/>
  <c r="AZ14" i="3"/>
  <c r="G21" i="3"/>
  <c r="G25" i="3"/>
  <c r="G29" i="3"/>
  <c r="BL20" i="3"/>
  <c r="BL28" i="3"/>
  <c r="G19" i="3"/>
  <c r="BL23" i="3"/>
  <c r="BL24" i="3"/>
  <c r="G31" i="3"/>
  <c r="BA25" i="3"/>
  <c r="BA26" i="3"/>
  <c r="BA29" i="3"/>
  <c r="G23" i="3"/>
  <c r="F29" i="6"/>
  <c r="BL15" i="3"/>
  <c r="AZ15" i="3" s="1"/>
  <c r="BL18" i="3"/>
  <c r="BL19" i="3"/>
  <c r="BA20" i="3"/>
  <c r="AZ20" i="3" s="1"/>
  <c r="BL25" i="3"/>
  <c r="AZ25" i="3" s="1"/>
  <c r="BL27" i="3"/>
  <c r="BA28" i="3"/>
  <c r="AZ28" i="3" s="1"/>
  <c r="BA31" i="3"/>
  <c r="BA19" i="3"/>
  <c r="BA27" i="3"/>
  <c r="BL30" i="3"/>
  <c r="BL31" i="3"/>
  <c r="BA18" i="3"/>
  <c r="AZ18" i="3" s="1"/>
  <c r="BL21" i="3"/>
  <c r="AZ21" i="3" s="1"/>
  <c r="BL29" i="3"/>
  <c r="AZ29"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D3" i="73"/>
  <c r="D5" i="73"/>
  <c r="D4" i="73"/>
  <c r="C16" i="15"/>
  <c r="D7" i="73"/>
  <c r="C16" i="67"/>
  <c r="N94" i="46" l="1"/>
  <c r="P6" i="1"/>
  <c r="C13" i="12" s="1"/>
  <c r="AZ19" i="3"/>
  <c r="G5" i="3"/>
  <c r="B3" i="3" s="1"/>
  <c r="AZ26" i="3"/>
  <c r="N370" i="46"/>
  <c r="AZ31" i="3"/>
  <c r="AZ27" i="3"/>
  <c r="F26" i="43"/>
  <c r="G26" i="43"/>
  <c r="J26" i="43"/>
  <c r="E26" i="43"/>
  <c r="J7" i="37"/>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AC6" i="3" l="1"/>
  <c r="E510" i="3"/>
  <c r="AT6" i="3"/>
  <c r="E129" i="3"/>
  <c r="E75" i="3"/>
  <c r="E332" i="3"/>
  <c r="E21" i="3"/>
  <c r="E264" i="3"/>
  <c r="E381" i="3"/>
  <c r="E144" i="3"/>
  <c r="E23" i="3"/>
  <c r="E300" i="3"/>
  <c r="E103" i="3"/>
  <c r="E425" i="3"/>
  <c r="E76" i="3"/>
  <c r="E363" i="3"/>
  <c r="E192" i="3"/>
  <c r="E56" i="3"/>
  <c r="E435" i="3"/>
  <c r="I3" i="6"/>
  <c r="E541" i="3"/>
  <c r="R6" i="3"/>
  <c r="E199" i="3"/>
  <c r="AZ5" i="3"/>
  <c r="E3" i="6" s="1"/>
  <c r="D26" i="43"/>
  <c r="C25" i="43" s="1"/>
  <c r="C33" i="43"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AY6" i="3" l="1"/>
  <c r="D37" i="11"/>
  <c r="D19" i="11"/>
  <c r="C19" i="11" s="1"/>
  <c r="D3" i="37"/>
  <c r="D14" i="12"/>
  <c r="D17" i="12" s="1"/>
  <c r="C17" i="12" s="1"/>
  <c r="L18" i="9"/>
  <c r="D3" i="21"/>
  <c r="M18" i="9"/>
  <c r="B118" i="9" s="1"/>
  <c r="B1" i="74" s="1"/>
  <c r="C17" i="4"/>
  <c r="B4" i="52" s="1"/>
  <c r="B43" i="72" s="1"/>
  <c r="D3" i="33"/>
  <c r="E6" i="6"/>
  <c r="D20" i="12" s="1"/>
  <c r="C20" i="12" s="1"/>
  <c r="D3" i="34"/>
  <c r="D116" i="43"/>
  <c r="F24" i="15"/>
  <c r="C24" i="15" s="1"/>
  <c r="F22" i="69"/>
  <c r="F41" i="69" s="1"/>
  <c r="F24" i="67"/>
  <c r="C24" i="67" s="1"/>
  <c r="F22" i="68"/>
  <c r="C26" i="68" s="1"/>
  <c r="D22" i="68" s="1"/>
  <c r="F25" i="12"/>
  <c r="C26" i="12" s="1"/>
  <c r="D25" i="12" s="1"/>
  <c r="F22" i="11"/>
  <c r="C44" i="11" s="1"/>
  <c r="D41"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C34" i="69"/>
  <c r="D10" i="68"/>
  <c r="C14" i="67"/>
  <c r="C17" i="15"/>
  <c r="C17" i="67"/>
  <c r="AY51" i="3" l="1"/>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66" i="3"/>
  <c r="AY155" i="3"/>
  <c r="AY131" i="3"/>
  <c r="AY253" i="3"/>
  <c r="AY335" i="3"/>
  <c r="AY289" i="3"/>
  <c r="AY284" i="3"/>
  <c r="AY470" i="3"/>
  <c r="AY180" i="3"/>
  <c r="AY372" i="3"/>
  <c r="AY463" i="3"/>
  <c r="AY544" i="3"/>
  <c r="AY108" i="3"/>
  <c r="AY44" i="3"/>
  <c r="AY154" i="3"/>
  <c r="AY125" i="3"/>
  <c r="AY231" i="3"/>
  <c r="AY381" i="3"/>
  <c r="AY109" i="3"/>
  <c r="AY202" i="3"/>
  <c r="AY259" i="3"/>
  <c r="AY349" i="3"/>
  <c r="AY475" i="3"/>
  <c r="AY398" i="3"/>
  <c r="AY585" i="3"/>
  <c r="AY510" i="3"/>
  <c r="AY163" i="3"/>
  <c r="AY425" i="3"/>
  <c r="AY355" i="3"/>
  <c r="BO6" i="3"/>
  <c r="AY25" i="3"/>
  <c r="AY302" i="3"/>
  <c r="BS6" i="3"/>
  <c r="AY150" i="3"/>
  <c r="AY325" i="3"/>
  <c r="AY403" i="3"/>
  <c r="AY508" i="3"/>
  <c r="AY112" i="3"/>
  <c r="AY147" i="3"/>
  <c r="AY43" i="3"/>
  <c r="AY478" i="3"/>
  <c r="AY100" i="3"/>
  <c r="AY193" i="3"/>
  <c r="AY255" i="3"/>
  <c r="BB6" i="3"/>
  <c r="AY275" i="3"/>
  <c r="AY324" i="3"/>
  <c r="AY580" i="3"/>
  <c r="AY543" i="3"/>
  <c r="AY519" i="3"/>
  <c r="AY37" i="3"/>
  <c r="AY137" i="3"/>
  <c r="AY266" i="3"/>
  <c r="AY345" i="3"/>
  <c r="AY312" i="3"/>
  <c r="AY453" i="3"/>
  <c r="AY423" i="3"/>
  <c r="AY14" i="3"/>
  <c r="AY509" i="3"/>
  <c r="BA6" i="3"/>
  <c r="AY46" i="3"/>
  <c r="AY167" i="3"/>
  <c r="AY264" i="3"/>
  <c r="AY362" i="3"/>
  <c r="AY469" i="3"/>
  <c r="AY437" i="3"/>
  <c r="AY560" i="3"/>
  <c r="AY91" i="3"/>
  <c r="AY38" i="3"/>
  <c r="AY148" i="3"/>
  <c r="AY277" i="3"/>
  <c r="AY224" i="3"/>
  <c r="AY354" i="3"/>
  <c r="AY490" i="3"/>
  <c r="AY429" i="3"/>
  <c r="AY511" i="3"/>
  <c r="AY32" i="3"/>
  <c r="AY298" i="3"/>
  <c r="AY352" i="3"/>
  <c r="AY492" i="3"/>
  <c r="AY431" i="3"/>
  <c r="AY575" i="3"/>
  <c r="AY563" i="3"/>
  <c r="AY203" i="3"/>
  <c r="AY233" i="3"/>
  <c r="AY34" i="3"/>
  <c r="AY95" i="3"/>
  <c r="AY276" i="3"/>
  <c r="AY268" i="3"/>
  <c r="AY103" i="3"/>
  <c r="AY74" i="3"/>
  <c r="AY209" i="3"/>
  <c r="AY441" i="3"/>
  <c r="AY300" i="3"/>
  <c r="AY358" i="3"/>
  <c r="AY433" i="3"/>
  <c r="AY533" i="3"/>
  <c r="AY92" i="3"/>
  <c r="AY33" i="3"/>
  <c r="AY138" i="3"/>
  <c r="AY283" i="3"/>
  <c r="AY230" i="3"/>
  <c r="AY374" i="3"/>
  <c r="AY104" i="3"/>
  <c r="AY177" i="3"/>
  <c r="AY242" i="3"/>
  <c r="AY333" i="3"/>
  <c r="AY472" i="3"/>
  <c r="AY427" i="3"/>
  <c r="AY534" i="3"/>
  <c r="AY501" i="3"/>
  <c r="AY75" i="3"/>
  <c r="AY526" i="3"/>
  <c r="AY447" i="3"/>
  <c r="AY89" i="3"/>
  <c r="AY182" i="3"/>
  <c r="AY239" i="3"/>
  <c r="BI6" i="3"/>
  <c r="AY279" i="3"/>
  <c r="AY467" i="3"/>
  <c r="AY525" i="3"/>
  <c r="AY532" i="3"/>
  <c r="AY82" i="3"/>
  <c r="AY350" i="3"/>
  <c r="AY116" i="3"/>
  <c r="AY417" i="3"/>
  <c r="AY69" i="3"/>
  <c r="AY173" i="3"/>
  <c r="AY227" i="3"/>
  <c r="AY88" i="3"/>
  <c r="AY258" i="3"/>
  <c r="AY449" i="3"/>
  <c r="AY572" i="3"/>
  <c r="AY584" i="3"/>
  <c r="AY96" i="3"/>
  <c r="AY194" i="3"/>
  <c r="AY129" i="3"/>
  <c r="AY223" i="3"/>
  <c r="AY329" i="3"/>
  <c r="AY487" i="3"/>
  <c r="AY442" i="3"/>
  <c r="AY407" i="3"/>
  <c r="D3" i="6"/>
  <c r="H20" i="6" s="1"/>
  <c r="BR6" i="3"/>
  <c r="AY99" i="3"/>
  <c r="AY35" i="3"/>
  <c r="AY127" i="3"/>
  <c r="AY232" i="3"/>
  <c r="AY331" i="3"/>
  <c r="AY466" i="3"/>
  <c r="AY405" i="3"/>
  <c r="AY512" i="3"/>
  <c r="AY86" i="3"/>
  <c r="AY27" i="3"/>
  <c r="AY159" i="3"/>
  <c r="AY273" i="3"/>
  <c r="AY213" i="3"/>
  <c r="AY323" i="3"/>
  <c r="AY459" i="3"/>
  <c r="AY550" i="3"/>
  <c r="AY504" i="3"/>
  <c r="AY205" i="3"/>
  <c r="AY235" i="3"/>
  <c r="AY321" i="3"/>
  <c r="AY461" i="3"/>
  <c r="AY399" i="3"/>
  <c r="AY537" i="3"/>
  <c r="AY110" i="3"/>
  <c r="AY140" i="3"/>
  <c r="AY216" i="3"/>
  <c r="AY176" i="3"/>
  <c r="AY59" i="3"/>
  <c r="AY111" i="3"/>
  <c r="AY382" i="3"/>
  <c r="AY50" i="3"/>
  <c r="AY183" i="3"/>
  <c r="AY319" i="3"/>
  <c r="AY409" i="3"/>
  <c r="AY260" i="3"/>
  <c r="AY310" i="3"/>
  <c r="AY401" i="3"/>
  <c r="AY541" i="3"/>
  <c r="AY45" i="3"/>
  <c r="AY190" i="3"/>
  <c r="AY165" i="3"/>
  <c r="AY278" i="3"/>
  <c r="AY214" i="3"/>
  <c r="AY360" i="3"/>
  <c r="AY56" i="3"/>
  <c r="AY145" i="3"/>
  <c r="AY210" i="3"/>
  <c r="AY332" i="3"/>
  <c r="AY462" i="3"/>
  <c r="AY411" i="3"/>
  <c r="AY571" i="3"/>
  <c r="AY98" i="3"/>
  <c r="AY387" i="3"/>
  <c r="AY244" i="3"/>
  <c r="AY404" i="3"/>
  <c r="AY85" i="3"/>
  <c r="AY157" i="3"/>
  <c r="AY222" i="3"/>
  <c r="AY93" i="3"/>
  <c r="AY226" i="3"/>
  <c r="AY464" i="3"/>
  <c r="BN6" i="3"/>
  <c r="AY577" i="3"/>
  <c r="AY191" i="3"/>
  <c r="AY489" i="3"/>
  <c r="AY379" i="3"/>
  <c r="AY573" i="3"/>
  <c r="AY84" i="3"/>
  <c r="AY134" i="3"/>
  <c r="AY384" i="3"/>
  <c r="AY29" i="3"/>
  <c r="AY341" i="3"/>
  <c r="AY438" i="3"/>
  <c r="AY536" i="3"/>
  <c r="AY514" i="3"/>
  <c r="AY65" i="3"/>
  <c r="AY189" i="3"/>
  <c r="AY282" i="3"/>
  <c r="AY380" i="3"/>
  <c r="AY313" i="3"/>
  <c r="AY83" i="3"/>
  <c r="AY144" i="3"/>
  <c r="AY188" i="3"/>
  <c r="AY297" i="3"/>
  <c r="AY371" i="3"/>
  <c r="AY196" i="3"/>
  <c r="AY204" i="3"/>
  <c r="AY473" i="3"/>
  <c r="AY529" i="3"/>
  <c r="AY217" i="3"/>
  <c r="AY465" i="3"/>
  <c r="AY549" i="3"/>
  <c r="AY97" i="3"/>
  <c r="AY76" i="3"/>
  <c r="AY201" i="3"/>
  <c r="AY118" i="3"/>
  <c r="AY247" i="3"/>
  <c r="AY219" i="3"/>
  <c r="BH6" i="3"/>
  <c r="AY24" i="3"/>
  <c r="AY295" i="3"/>
  <c r="AY353" i="3"/>
  <c r="AY316" i="3"/>
  <c r="AY446" i="3"/>
  <c r="BM6" i="3"/>
  <c r="AY495" i="3"/>
  <c r="AY18" i="3"/>
  <c r="AY486" i="3"/>
  <c r="AY390" i="3"/>
  <c r="AY562" i="3"/>
  <c r="AY36" i="3"/>
  <c r="AY126" i="3"/>
  <c r="AY211" i="3"/>
  <c r="AY186" i="3"/>
  <c r="AY356" i="3"/>
  <c r="AY454" i="3"/>
  <c r="AY518" i="3"/>
  <c r="AY523" i="3"/>
  <c r="AY31" i="3"/>
  <c r="AY497" i="3"/>
  <c r="AY343" i="3"/>
  <c r="AY540" i="3"/>
  <c r="AY198" i="3"/>
  <c r="AY286" i="3"/>
  <c r="AY373" i="3"/>
  <c r="AY161" i="3"/>
  <c r="AY309" i="3"/>
  <c r="AY419" i="3"/>
  <c r="AY552" i="3"/>
  <c r="AY582" i="3"/>
  <c r="AY80" i="3"/>
  <c r="AY169" i="3"/>
  <c r="AY251" i="3"/>
  <c r="AY369" i="3"/>
  <c r="AY328" i="3"/>
  <c r="AY468" i="3"/>
  <c r="AY410" i="3"/>
  <c r="AY499" i="3"/>
  <c r="AY565" i="3"/>
  <c r="AY531" i="3"/>
  <c r="AY78" i="3"/>
  <c r="AY156" i="3"/>
  <c r="AY280"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26" i="3"/>
  <c r="AY94" i="3"/>
  <c r="AY346" i="3"/>
  <c r="AY55" i="3"/>
  <c r="AY391" i="3"/>
  <c r="AY586" i="3"/>
  <c r="AY450" i="3"/>
  <c r="AY120" i="3"/>
  <c r="AY440" i="3"/>
  <c r="AY39" i="3"/>
  <c r="AY288" i="3"/>
  <c r="AY322" i="3"/>
  <c r="AY567" i="3"/>
  <c r="AY113" i="3"/>
  <c r="AY337" i="3"/>
  <c r="AY434" i="3"/>
  <c r="AY522" i="3"/>
  <c r="AY493" i="3"/>
  <c r="AY301" i="3"/>
  <c r="AY315" i="3"/>
  <c r="AY547" i="3"/>
  <c r="AY164" i="3"/>
  <c r="AY386" i="3"/>
  <c r="AY400" i="3"/>
  <c r="AY579" i="3"/>
  <c r="AY187" i="3"/>
  <c r="AY456" i="3"/>
  <c r="AY184" i="3"/>
  <c r="AY338" i="3"/>
  <c r="AY142" i="3"/>
  <c r="AY17" i="3"/>
  <c r="AY383" i="3"/>
  <c r="AY13" i="3"/>
  <c r="AY22" i="3"/>
  <c r="AY272" i="3"/>
  <c r="AY432" i="3"/>
  <c r="AY64" i="3"/>
  <c r="AY267" i="3"/>
  <c r="AY320" i="3"/>
  <c r="AY402" i="3"/>
  <c r="AY515" i="3"/>
  <c r="AY62" i="3"/>
  <c r="AY265" i="3"/>
  <c r="AY485" i="3"/>
  <c r="AY107" i="3"/>
  <c r="AY143" i="3"/>
  <c r="AY351" i="3"/>
  <c r="AY566" i="3"/>
  <c r="AY502" i="3"/>
  <c r="AY285" i="3"/>
  <c r="AY558" i="3"/>
  <c r="AY128" i="3"/>
  <c r="AY218" i="3"/>
  <c r="AY530" i="3"/>
  <c r="AY330" i="3"/>
  <c r="AY528" i="3"/>
  <c r="AY375" i="3"/>
  <c r="AY413" i="3"/>
  <c r="AY21" i="3"/>
  <c r="AY479" i="3"/>
  <c r="AY415" i="3"/>
  <c r="AY19" i="3"/>
  <c r="AY408" i="3"/>
  <c r="AY293" i="3"/>
  <c r="BT6" i="3"/>
  <c r="AY484" i="3"/>
  <c r="AY570" i="3"/>
  <c r="AY221" i="3"/>
  <c r="BL6" i="3"/>
  <c r="AY241" i="3"/>
  <c r="BD6" i="3"/>
  <c r="AY336" i="3"/>
  <c r="AY47" i="3"/>
  <c r="AY482" i="3"/>
  <c r="AY576" i="3"/>
  <c r="AY136" i="3"/>
  <c r="AY339" i="3"/>
  <c r="AY15" i="3"/>
  <c r="AY153" i="3"/>
  <c r="AY361" i="3"/>
  <c r="AY476" i="3"/>
  <c r="AY538" i="3"/>
  <c r="BP6" i="3"/>
  <c r="AY172" i="3"/>
  <c r="AY359" i="3"/>
  <c r="AY500" i="3"/>
  <c r="AY54" i="3"/>
  <c r="AY240" i="3"/>
  <c r="AY443" i="3"/>
  <c r="AY448" i="3"/>
  <c r="AY195" i="3"/>
  <c r="AY396" i="3"/>
  <c r="AY545" i="3"/>
  <c r="AY248" i="3"/>
  <c r="AY71" i="3"/>
  <c r="AY477" i="3"/>
  <c r="D10" i="11"/>
  <c r="C10" i="11" s="1"/>
  <c r="D10" i="69"/>
  <c r="D19" i="69" s="1"/>
  <c r="C26" i="69"/>
  <c r="D22" i="69" s="1"/>
  <c r="C44" i="68"/>
  <c r="D41" i="68" s="1"/>
  <c r="C44" i="69"/>
  <c r="D41" i="69" s="1"/>
  <c r="C24" i="11"/>
  <c r="C23" i="11"/>
  <c r="C25" i="11"/>
  <c r="C26" i="11"/>
  <c r="D22" i="11" s="1"/>
  <c r="C16" i="71"/>
  <c r="D17" i="71"/>
  <c r="C18" i="67"/>
  <c r="C15" i="67"/>
  <c r="H23" i="6"/>
  <c r="C30" i="43"/>
  <c r="B2" i="43" s="1"/>
  <c r="C31" i="43"/>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43" l="1"/>
  <c r="C6" i="68"/>
  <c r="C7" i="68" s="1"/>
  <c r="C10" i="69"/>
  <c r="C8" i="69" s="1"/>
  <c r="C5" i="69" s="1"/>
  <c r="C23" i="69" s="1"/>
  <c r="C18" i="12"/>
  <c r="C22" i="11"/>
  <c r="C31" i="11" s="1"/>
  <c r="D15" i="6"/>
  <c r="D20" i="6"/>
  <c r="R20" i="6" s="1"/>
  <c r="R7" i="1" s="1"/>
  <c r="D14" i="6"/>
  <c r="D29" i="6"/>
  <c r="H24" i="6"/>
  <c r="D5" i="6"/>
  <c r="D28" i="6"/>
  <c r="D22" i="6"/>
  <c r="M19" i="9"/>
  <c r="C118" i="9" s="1"/>
  <c r="D9" i="6"/>
  <c r="H25" i="6"/>
  <c r="D19" i="6"/>
  <c r="D12" i="6"/>
  <c r="E61" i="40"/>
  <c r="D21" i="6"/>
  <c r="D26" i="6"/>
  <c r="D10" i="6"/>
  <c r="H22" i="6"/>
  <c r="D25" i="6"/>
  <c r="R25" i="6" s="1"/>
  <c r="R12" i="1" s="1"/>
  <c r="D24" i="6"/>
  <c r="D8" i="6"/>
  <c r="L19" i="9"/>
  <c r="H21" i="6"/>
  <c r="D23" i="6"/>
  <c r="R23" i="6" s="1"/>
  <c r="R10" i="1" s="1"/>
  <c r="D13" i="6"/>
  <c r="C18" i="4"/>
  <c r="D11" i="6"/>
  <c r="H26" i="6"/>
  <c r="D6" i="6"/>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B2" i="74" l="1"/>
  <c r="D8" i="74" s="1"/>
  <c r="C14" i="74"/>
  <c r="D7" i="74"/>
  <c r="C5" i="68"/>
  <c r="C23" i="68" s="1"/>
  <c r="R24" i="6"/>
  <c r="R11" i="1" s="1"/>
  <c r="D30" i="6"/>
  <c r="R21" i="6"/>
  <c r="R8" i="1" s="1"/>
  <c r="A7" i="51"/>
  <c r="B7" i="72" s="1"/>
  <c r="A10" i="51"/>
  <c r="B9" i="72" s="1"/>
  <c r="C4" i="52"/>
  <c r="B45" i="72" s="1"/>
  <c r="D16" i="6"/>
  <c r="R26" i="6"/>
  <c r="D27" i="6"/>
  <c r="D31" i="6" s="1"/>
  <c r="R22" i="6"/>
  <c r="R9" i="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I6" i="6"/>
  <c r="I5" i="6"/>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25" i="68" l="1"/>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C19" i="9"/>
  <c r="D34" i="9"/>
  <c r="D35" i="9"/>
  <c r="D2" i="21"/>
  <c r="C102" i="9" l="1"/>
  <c r="C21" i="9"/>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9" i="1"/>
  <c r="AO12"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28" i="9"/>
  <c r="G20" i="9"/>
  <c r="C32" i="9" s="1"/>
  <c r="D103" i="9"/>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H118" i="9"/>
  <c r="Q29" i="81" l="1"/>
  <c r="Q36" i="81"/>
  <c r="Q33" i="81"/>
  <c r="Q37" i="81"/>
  <c r="Q41" i="81"/>
  <c r="Q30" i="81"/>
  <c r="Q34" i="81"/>
  <c r="Q38" i="81"/>
  <c r="Q42" i="81"/>
  <c r="Q31" i="81"/>
  <c r="Q35" i="81"/>
  <c r="Q39" i="81"/>
  <c r="Q43" i="81"/>
  <c r="Q32" i="81"/>
  <c r="Q40" i="81"/>
  <c r="D4" i="52"/>
  <c r="B47" i="72" s="1"/>
  <c r="P29" i="81"/>
  <c r="P35" i="81"/>
  <c r="P32" i="81"/>
  <c r="P36" i="81"/>
  <c r="P40" i="81"/>
  <c r="P33" i="81"/>
  <c r="P37" i="81"/>
  <c r="P41" i="81"/>
  <c r="P30" i="81"/>
  <c r="P34" i="81"/>
  <c r="P38" i="81"/>
  <c r="P42" i="81"/>
  <c r="P31" i="81"/>
  <c r="P39" i="81"/>
  <c r="P43" i="81"/>
  <c r="F4" i="52"/>
  <c r="B51" i="72" s="1"/>
  <c r="H119" i="9"/>
  <c r="H5" i="52" s="1"/>
  <c r="D14" i="74"/>
  <c r="K14" i="74" s="1"/>
  <c r="H4" i="52"/>
  <c r="H101" i="9"/>
  <c r="D119" i="9"/>
  <c r="D5" i="52" s="1"/>
  <c r="B49" i="72" s="1"/>
  <c r="F119" i="9"/>
  <c r="F5" i="52" s="1"/>
  <c r="B53" i="72" s="1"/>
  <c r="J24" i="9"/>
  <c r="C104" i="9"/>
  <c r="I118" i="9"/>
  <c r="G118" i="9"/>
  <c r="G4" i="52" s="1"/>
  <c r="B52" i="72" s="1"/>
  <c r="R32" i="81" l="1"/>
  <c r="E58" i="81" s="1"/>
  <c r="R31" i="81"/>
  <c r="E57" i="81" s="1"/>
  <c r="R30" i="81"/>
  <c r="S30" i="81" s="1"/>
  <c r="F56" i="81" s="1"/>
  <c r="R42" i="81"/>
  <c r="E68" i="81" s="1"/>
  <c r="R41" i="81"/>
  <c r="S41" i="81" s="1"/>
  <c r="F67" i="81" s="1"/>
  <c r="R36" i="81"/>
  <c r="S36" i="81" s="1"/>
  <c r="F62" i="81" s="1"/>
  <c r="R34" i="81"/>
  <c r="E60" i="81" s="1"/>
  <c r="R33" i="81"/>
  <c r="E59" i="81" s="1"/>
  <c r="F59" i="81" s="1"/>
  <c r="R35" i="81"/>
  <c r="E61" i="81" s="1"/>
  <c r="F61" i="81" s="1"/>
  <c r="R38" i="81"/>
  <c r="S38" i="81" s="1"/>
  <c r="F64" i="81" s="1"/>
  <c r="R37" i="81"/>
  <c r="E63" i="81" s="1"/>
  <c r="Q44" i="81"/>
  <c r="R39" i="81"/>
  <c r="S39" i="81" s="1"/>
  <c r="F65" i="81" s="1"/>
  <c r="R40" i="81"/>
  <c r="E66" i="81" s="1"/>
  <c r="P44" i="81"/>
  <c r="R29" i="81"/>
  <c r="E14" i="74"/>
  <c r="F14" i="74"/>
  <c r="E118" i="9"/>
  <c r="E4" i="52" s="1"/>
  <c r="B48" i="72" s="1"/>
  <c r="C105" i="9"/>
  <c r="I4" i="52"/>
  <c r="H102" i="9"/>
  <c r="D5" i="53"/>
  <c r="H107" i="9"/>
  <c r="M48" i="9"/>
  <c r="D45" i="9"/>
  <c r="S42" i="81" l="1"/>
  <c r="F68" i="81" s="1"/>
  <c r="S33" i="81"/>
  <c r="S32" i="81"/>
  <c r="F58" i="81" s="1"/>
  <c r="S35" i="81"/>
  <c r="E67" i="81"/>
  <c r="S37" i="81"/>
  <c r="F63" i="81" s="1"/>
  <c r="S34" i="81"/>
  <c r="F60" i="81" s="1"/>
  <c r="S31" i="81"/>
  <c r="F57" i="81" s="1"/>
  <c r="E56" i="81"/>
  <c r="E64" i="81"/>
  <c r="E62" i="81"/>
  <c r="R43" i="81"/>
  <c r="S43" i="81" s="1"/>
  <c r="F69" i="81" s="1"/>
  <c r="E65" i="81"/>
  <c r="S40" i="81"/>
  <c r="F66" i="81" s="1"/>
  <c r="S29" i="81"/>
  <c r="F55" i="81" s="1"/>
  <c r="E55" i="81"/>
  <c r="D6" i="53"/>
  <c r="B22" i="72" s="1"/>
  <c r="B20" i="72"/>
  <c r="C85" i="9"/>
  <c r="D55" i="9"/>
  <c r="M53" i="9" s="1"/>
  <c r="C72" i="9"/>
  <c r="C78" i="9"/>
  <c r="C73" i="9" s="1"/>
  <c r="D53" i="9"/>
  <c r="D52" i="9"/>
  <c r="C93" i="9"/>
  <c r="C86" i="9" s="1"/>
  <c r="C64" i="9"/>
  <c r="C63" i="9" s="1"/>
  <c r="C67" i="9" s="1"/>
  <c r="D7" i="53"/>
  <c r="B21" i="72" s="1"/>
  <c r="D122" i="9"/>
  <c r="G14" i="74" s="1"/>
  <c r="D13" i="53"/>
  <c r="H108" i="9"/>
  <c r="M49" i="9"/>
  <c r="N61" i="81" l="1"/>
  <c r="O63" i="81" s="1"/>
  <c r="R44" i="81"/>
  <c r="S44" i="81" s="1"/>
  <c r="E69" i="81"/>
  <c r="E70" i="81" s="1"/>
  <c r="F70" i="81" s="1"/>
  <c r="C79" i="9"/>
  <c r="C95" i="9"/>
  <c r="L67" i="9"/>
  <c r="M67" i="9" s="1"/>
  <c r="L63" i="9"/>
  <c r="M63" i="9" s="1"/>
  <c r="L64" i="9"/>
  <c r="M64" i="9" s="1"/>
  <c r="L66" i="9"/>
  <c r="M66" i="9" s="1"/>
  <c r="L68" i="9"/>
  <c r="M68" i="9" s="1"/>
  <c r="L65" i="9"/>
  <c r="M65" i="9" s="1"/>
  <c r="D15" i="53"/>
  <c r="B31" i="72" s="1"/>
  <c r="B30" i="72"/>
  <c r="D14" i="53"/>
  <c r="B32" i="72" s="1"/>
  <c r="D59" i="9"/>
  <c r="M55" i="9" s="1"/>
  <c r="C68" i="9"/>
  <c r="D54" i="9" s="1"/>
  <c r="D123" i="9"/>
  <c r="D9" i="52" s="1"/>
  <c r="D8" i="52"/>
  <c r="C80" i="9" l="1"/>
  <c r="E80" i="9" s="1"/>
  <c r="E81" i="9" s="1"/>
  <c r="C96" i="9"/>
  <c r="E96" i="9" s="1"/>
  <c r="E97" i="9" s="1"/>
  <c r="M69" i="9"/>
  <c r="N69" i="9" s="1"/>
  <c r="C97" i="9" l="1"/>
  <c r="D58" i="9" s="1"/>
  <c r="D56" i="9" s="1"/>
  <c r="M54" i="9" s="1"/>
  <c r="N57" i="9" s="1"/>
  <c r="N58" i="9" s="1"/>
  <c r="C81" i="9"/>
  <c r="P57" i="9" l="1"/>
  <c r="N59" i="9"/>
  <c r="N60" i="9" s="1"/>
  <c r="N61" i="9" l="1"/>
  <c r="E71" i="81"/>
  <c r="E75" i="81" s="1"/>
  <c r="N65" i="81" s="1"/>
  <c r="O66" i="81" s="1"/>
  <c r="Q47" i="81" l="1"/>
  <c r="Q48" i="81"/>
  <c r="Q46" i="81"/>
  <c r="P46" i="81"/>
  <c r="P47" i="81"/>
  <c r="P48" i="81"/>
  <c r="D15" i="74"/>
  <c r="K15" i="74" s="1"/>
  <c r="F71" i="81"/>
  <c r="Q49" i="81" l="1"/>
  <c r="P49" i="81"/>
  <c r="R46" i="81" s="1"/>
  <c r="R48" i="81" l="1"/>
  <c r="S48" i="81" s="1"/>
  <c r="R47" i="81"/>
  <c r="S47" i="81" s="1"/>
  <c r="E15" i="74"/>
  <c r="F15" i="74"/>
  <c r="B5" i="74"/>
  <c r="K16" i="74" s="1"/>
  <c r="S46" i="81" l="1"/>
  <c r="R49" i="81"/>
  <c r="S49" i="81" s="1"/>
  <c r="G15" i="74"/>
  <c r="B6" i="74" s="1"/>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<sst xmlns="http://schemas.openxmlformats.org/spreadsheetml/2006/main" count="8159" uniqueCount="3597">
  <si>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</si>
  <si>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</si>
  <si>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</si>
  <si>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</si>
  <si>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</si>
  <si>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</si>
  <si>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</si>
  <si>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</si>
  <si>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</si>
  <si>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</si>
  <si>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</si>
  <si>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</si>
  <si>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</si>
  <si>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</si>
  <si>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</si>
  <si>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</si>
  <si>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</si>
  <si>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</si>
  <si>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</si>
  <si>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</si>
  <si>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</si>
  <si>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</si>
  <si>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</si>
  <si>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</si>
  <si>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</si>
  <si>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</si>
  <si>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</si>
  <si>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</si>
  <si>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</si>
  <si>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</si>
  <si>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</si>
  <si>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</si>
  <si>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</si>
  <si>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</si>
  <si>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</si>
  <si>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</si>
  <si>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</si>
  <si>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</si>
  <si>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</si>
  <si>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</si>
  <si>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</si>
  <si>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</si>
  <si>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</si>
  <si>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</si>
  <si>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</si>
  <si>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</si>
  <si>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</si>
  <si>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</si>
  <si>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</si>
  <si>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</si>
  <si>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</si>
  <si>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</si>
  <si>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</si>
  <si>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</si>
  <si>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</si>
  <si>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</si>
  <si>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</si>
  <si>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</si>
  <si>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</si>
  <si>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</si>
  <si>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</si>
  <si>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</si>
  <si>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</si>
  <si>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</si>
  <si>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</si>
  <si>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</si>
  <si>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</si>
  <si>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</si>
  <si>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</si>
  <si>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</si>
  <si>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</si>
  <si>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</si>
  <si>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</si>
  <si>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</si>
  <si>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</si>
  <si>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</si>
  <si>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</si>
  <si>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</si>
  <si>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</si>
  <si>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</si>
  <si>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</si>
  <si>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</si>
  <si>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</si>
  <si>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</si>
  <si>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</si>
  <si>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</si>
  <si>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</si>
  <si>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</si>
  <si>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</si>
  <si>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</si>
  <si>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</si>
  <si>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</si>
  <si>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</si>
  <si>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</si>
  <si>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</si>
  <si>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</si>
  <si>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</si>
  <si>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</si>
  <si>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</si>
  <si>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</si>
  <si>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</si>
  <si>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</si>
  <si>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</si>
  <si>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</si>
  <si>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</si>
  <si>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</si>
  <si>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</si>
  <si>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</si>
  <si>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</si>
  <si>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</si>
  <si>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</si>
  <si>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</si>
  <si>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</si>
  <si>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</si>
  <si>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</si>
  <si>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</si>
  <si>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</si>
  <si>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</si>
  <si>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</si>
  <si>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</si>
  <si>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</si>
  <si>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</si>
  <si>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</si>
  <si>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</si>
  <si>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</si>
  <si>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</si>
  <si>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</si>
  <si>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</si>
  <si>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</si>
  <si>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</si>
  <si>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</si>
  <si>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</si>
  <si>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</si>
  <si>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</si>
  <si>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</si>
  <si>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</si>
  <si>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</si>
  <si>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</si>
  <si>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</si>
  <si>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</si>
  <si>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</si>
  <si>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</si>
  <si>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</si>
  <si>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</si>
  <si>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</si>
  <si>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</si>
  <si>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</si>
  <si>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</si>
  <si>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</si>
  <si>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</si>
  <si>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</si>
  <si>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</si>
  <si>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</si>
  <si>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</si>
  <si>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</si>
  <si>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</si>
  <si>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</si>
  <si>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</si>
  <si>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</si>
  <si>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</si>
  <si>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</si>
  <si>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</si>
  <si>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</si>
  <si>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</si>
  <si>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</si>
  <si>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</si>
  <si>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</si>
  <si>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</si>
  <si>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</si>
  <si>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</si>
  <si>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</si>
  <si>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</si>
  <si>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</si>
  <si>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</si>
  <si>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</si>
  <si>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</si>
  <si>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</si>
  <si>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</si>
  <si>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</si>
  <si>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</si>
  <si>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</si>
  <si>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</si>
  <si>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</si>
  <si>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</si>
  <si>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</si>
  <si>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</si>
  <si>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</si>
  <si>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</si>
  <si>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</si>
  <si>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</si>
  <si>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</si>
  <si>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</si>
  <si>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</si>
  <si>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</si>
  <si>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</si>
  <si>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</si>
  <si>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</si>
  <si>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</si>
  <si>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</si>
  <si>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</si>
  <si>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</si>
  <si>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</si>
  <si>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</si>
  <si>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</si>
  <si>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</si>
  <si>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</si>
  <si>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</si>
  <si>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</si>
  <si>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</si>
  <si>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</si>
  <si>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</si>
  <si>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</si>
  <si>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</si>
  <si>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</si>
  <si>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</si>
  <si>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</si>
  <si>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</si>
  <si>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</si>
  <si>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</si>
  <si>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</si>
  <si>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</si>
  <si>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</si>
  <si>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</si>
  <si>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</si>
  <si>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</si>
  <si>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</si>
  <si>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</si>
  <si>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</si>
  <si>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</si>
  <si>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</si>
  <si>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</si>
  <si>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</si>
  <si>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</si>
  <si>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</si>
  <si>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</si>
  <si>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</si>
  <si>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</si>
  <si>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</si>
  <si>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</si>
  <si>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</si>
  <si>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</si>
  <si>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</si>
  <si>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</si>
  <si>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</si>
  <si>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</si>
  <si>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</si>
  <si>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</si>
  <si>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</si>
  <si>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</si>
  <si>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</si>
  <si>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</si>
  <si>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</si>
  <si>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</si>
  <si>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</si>
  <si>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</si>
  <si>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</si>
  <si>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</si>
  <si>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</si>
  <si>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</si>
  <si>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</si>
  <si>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</si>
  <si>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</si>
  <si>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</si>
  <si>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</si>
  <si>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</si>
  <si>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</si>
  <si>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</si>
  <si>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</si>
  <si>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</si>
  <si>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</si>
  <si>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</si>
  <si>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</si>
  <si>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</si>
  <si>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</si>
  <si>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</si>
  <si>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</si>
  <si>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</si>
  <si>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</si>
  <si>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</si>
  <si>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</si>
  <si>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</si>
  <si>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</si>
  <si>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</si>
  <si>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</si>
  <si>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</si>
  <si>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</si>
  <si>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</si>
  <si>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</si>
  <si>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</si>
  <si>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</si>
  <si>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</si>
  <si>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</si>
  <si>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</si>
  <si>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</si>
  <si>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</si>
  <si>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</si>
  <si>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</si>
  <si>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</si>
  <si>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</si>
  <si>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</si>
  <si>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</si>
  <si>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</si>
  <si>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</si>
  <si>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</si>
  <si>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</si>
  <si>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</si>
  <si>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</si>
  <si>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</si>
  <si>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</si>
  <si>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</si>
  <si>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</si>
  <si>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</si>
  <si>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</si>
  <si>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</si>
  <si>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</si>
  <si>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</si>
  <si>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</si>
  <si>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</si>
  <si>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</si>
  <si>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</si>
  <si>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</si>
  <si>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</si>
  <si>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</si>
  <si>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</si>
  <si>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</si>
  <si>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</si>
  <si>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</si>
  <si>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</si>
  <si>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</si>
  <si>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</si>
  <si>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</si>
  <si>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</si>
  <si>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</si>
  <si>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</si>
  <si>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</si>
  <si>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</si>
  <si>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</si>
  <si>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</si>
  <si>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</si>
  <si>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</si>
  <si>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</si>
  <si>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</si>
  <si>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</si>
  <si>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</si>
  <si>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</si>
  <si>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</si>
  <si>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</si>
  <si>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</si>
  <si>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</si>
  <si>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</si>
  <si>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</si>
  <si>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</si>
  <si>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</si>
  <si>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</si>
  <si>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</si>
  <si>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</si>
  <si>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</si>
  <si>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</si>
  <si>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</si>
  <si>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</si>
  <si>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</si>
  <si>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</si>
  <si>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</si>
  <si>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</si>
  <si>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</si>
  <si>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</si>
  <si>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</si>
  <si>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</si>
  <si>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</si>
  <si>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</si>
  <si>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</si>
  <si>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</si>
  <si>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</si>
  <si>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</si>
  <si>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</si>
  <si>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</si>
  <si>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</si>
  <si>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</si>
  <si>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</si>
  <si>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</si>
  <si>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</si>
  <si>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</si>
  <si>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</si>
  <si>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</si>
  <si>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</si>
  <si>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</si>
  <si>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</si>
  <si>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</si>
  <si>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</si>
  <si>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</si>
  <si>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</si>
  <si>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</si>
  <si>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</si>
  <si>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</si>
  <si>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</si>
  <si>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</si>
  <si>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</si>
  <si>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</si>
  <si>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</si>
  <si>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</si>
  <si>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</si>
  <si>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</si>
  <si>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</si>
  <si>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</si>
  <si>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</si>
  <si>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</si>
  <si>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</si>
  <si>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</si>
  <si>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</si>
  <si>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</si>
  <si>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</si>
  <si>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</si>
  <si>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</si>
  <si>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</si>
  <si>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</si>
  <si>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</si>
  <si>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</si>
  <si>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</si>
  <si>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</si>
  <si>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</si>
  <si>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</si>
  <si>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</si>
  <si>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</si>
  <si>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</si>
  <si>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</si>
  <si>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</si>
  <si>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</si>
  <si>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</si>
  <si>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</si>
  <si>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</si>
  <si>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</si>
  <si>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</si>
  <si>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</si>
  <si>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</si>
  <si>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</si>
  <si>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</si>
  <si>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</si>
  <si>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</si>
  <si>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</si>
  <si>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</si>
  <si>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</si>
  <si>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</si>
  <si>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</si>
  <si>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</si>
  <si>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</si>
  <si>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</si>
  <si>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</si>
  <si>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</si>
  <si>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</si>
  <si>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</si>
  <si>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</si>
  <si>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</si>
  <si>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</si>
  <si>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</si>
  <si>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</si>
  <si>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</si>
  <si>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</si>
  <si>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</si>
  <si>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</si>
  <si>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</si>
  <si>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</si>
  <si>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</si>
  <si>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</si>
  <si>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</si>
  <si>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</si>
  <si>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</si>
  <si>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</si>
  <si>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</si>
  <si>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</si>
  <si>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</si>
  <si>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</si>
  <si>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</si>
  <si>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</si>
  <si>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</si>
  <si>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</si>
  <si>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</si>
  <si>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</si>
  <si>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</si>
  <si>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</si>
  <si>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</si>
  <si>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</si>
  <si>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</si>
  <si>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</si>
  <si>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</si>
  <si>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</si>
  <si>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</si>
  <si>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</si>
  <si>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</si>
  <si>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</si>
  <si>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</si>
  <si>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</si>
  <si>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</si>
  <si>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</si>
  <si>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</si>
  <si>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</si>
  <si>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</si>
  <si>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</si>
  <si>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</si>
  <si>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</si>
  <si>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</si>
  <si>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</si>
  <si>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</si>
  <si>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</si>
  <si>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</si>
  <si>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</si>
  <si>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</si>
  <si>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</si>
  <si>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</si>
  <si>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</si>
  <si>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</si>
  <si>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</si>
  <si>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</si>
  <si>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</si>
  <si>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</si>
  <si>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</si>
  <si>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</si>
  <si>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</si>
  <si>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</si>
  <si>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</si>
  <si>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</si>
  <si>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</si>
  <si>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</si>
  <si>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</si>
  <si>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</si>
  <si>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</si>
  <si>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</si>
  <si>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</si>
  <si>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</si>
  <si>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</si>
  <si>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</si>
  <si>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</si>
  <si>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</si>
  <si>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</si>
  <si>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</si>
  <si>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</si>
  <si>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</si>
  <si>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</si>
  <si>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</si>
  <si>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</si>
  <si>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</si>
  <si>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</si>
  <si>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</si>
  <si>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</si>
  <si>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</si>
  <si>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</si>
  <si>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</si>
  <si>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</si>
  <si>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</si>
  <si>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</si>
  <si>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</si>
  <si>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</si>
  <si>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</si>
  <si>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</si>
  <si>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</si>
  <si>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</si>
  <si>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</si>
  <si>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</si>
  <si>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</si>
  <si>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</si>
  <si>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</si>
  <si>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</si>
  <si>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</si>
  <si>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</si>
  <si>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</si>
  <si>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</si>
  <si>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</si>
  <si>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</si>
  <si>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</si>
  <si>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</si>
  <si>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</si>
  <si>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</si>
  <si>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</si>
  <si>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</si>
  <si>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</si>
  <si>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</si>
  <si>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</si>
  <si>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</si>
  <si>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</si>
  <si>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</si>
  <si>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</si>
  <si>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</si>
  <si>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</si>
  <si>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</si>
  <si>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</si>
  <si>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</si>
  <si>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</si>
  <si>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</si>
  <si>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</si>
  <si>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</si>
  <si>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</si>
  <si>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</si>
  <si>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</si>
  <si>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</si>
  <si>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</si>
  <si>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</si>
  <si>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</si>
  <si>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</si>
  <si>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</si>
  <si>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</si>
  <si>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</si>
  <si>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</si>
  <si>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</si>
  <si>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</si>
  <si>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</si>
  <si>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</si>
  <si>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</si>
  <si>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</si>
  <si>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</si>
  <si>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</si>
  <si>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</si>
  <si>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</si>
  <si>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</si>
  <si>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</si>
  <si>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</si>
  <si>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</si>
  <si>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</si>
  <si>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</si>
  <si>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</si>
  <si>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</si>
  <si>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</si>
  <si>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</si>
  <si>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</si>
  <si>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</si>
  <si>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</si>
  <si>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</si>
  <si>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</si>
  <si>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</si>
  <si>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</si>
  <si>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</si>
  <si>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</si>
  <si>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</si>
  <si>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</si>
  <si>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</si>
  <si>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</si>
  <si>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</si>
  <si>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</si>
  <si>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</si>
  <si>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</si>
  <si>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</si>
  <si>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</si>
  <si>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</si>
  <si>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</si>
  <si>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</si>
  <si>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</si>
  <si>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</si>
  <si>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</si>
  <si>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</si>
  <si>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</si>
  <si>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</si>
  <si>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</si>
  <si>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</si>
  <si>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</si>
  <si>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</si>
  <si>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</si>
  <si>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</si>
  <si>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</si>
  <si>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</si>
  <si>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</si>
  <si>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</si>
  <si>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</si>
  <si>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</si>
  <si>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</si>
  <si>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</si>
  <si>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</si>
  <si>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</si>
  <si>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</si>
  <si>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</si>
  <si>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</si>
  <si>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</si>
  <si>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</si>
  <si>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</si>
  <si>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</si>
  <si>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</si>
  <si>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</si>
  <si>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</si>
  <si>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</si>
  <si>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</si>
  <si>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</si>
  <si>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</si>
  <si>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</si>
  <si>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</si>
  <si>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</si>
  <si>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</si>
  <si>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</si>
  <si>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</si>
  <si>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</si>
  <si>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</si>
  <si>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</si>
  <si>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</si>
  <si>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</si>
  <si>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</si>
  <si>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</si>
  <si>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</si>
  <si>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</si>
  <si>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</si>
  <si>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</si>
  <si>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</si>
  <si>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</si>
  <si>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</si>
  <si>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</si>
  <si>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</si>
  <si>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</si>
  <si>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</si>
  <si>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</si>
  <si>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</si>
  <si>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</si>
  <si>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</si>
  <si>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</si>
  <si>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</si>
  <si>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</si>
  <si>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</si>
  <si>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</si>
  <si>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</si>
  <si>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</si>
  <si>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</si>
  <si>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</si>
  <si>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</si>
  <si>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</si>
  <si>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</si>
  <si>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</si>
  <si>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</si>
  <si>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</si>
  <si>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</si>
  <si>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</si>
  <si>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</si>
  <si>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</si>
  <si>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</si>
  <si>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</si>
  <si>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</si>
  <si>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</si>
  <si>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</si>
  <si>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</si>
  <si>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</si>
  <si>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</si>
  <si>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</si>
  <si>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</si>
  <si>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</si>
  <si>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</si>
  <si>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</si>
  <si>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</si>
  <si>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</si>
  <si>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</si>
  <si>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</si>
  <si>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</si>
  <si>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</si>
  <si>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</si>
  <si>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</si>
  <si>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</si>
  <si>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</si>
  <si>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</si>
  <si>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</si>
  <si>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</si>
  <si>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</si>
  <si>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</si>
  <si>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</si>
  <si>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</si>
  <si>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</si>
  <si>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</si>
  <si>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</si>
  <si>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</si>
  <si>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</si>
  <si>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</si>
  <si>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</si>
  <si>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</si>
  <si>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</si>
  <si>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</si>
  <si>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</si>
  <si>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</si>
  <si>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</si>
  <si>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</si>
  <si>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</si>
  <si>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</si>
  <si>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</si>
  <si>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</si>
  <si>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</si>
  <si>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</si>
  <si>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</si>
  <si>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</si>
  <si>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</si>
  <si>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</si>
  <si>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</si>
  <si>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</si>
  <si>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</si>
  <si>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</si>
  <si>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</si>
  <si>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</si>
  <si>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</si>
  <si>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</si>
  <si>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</si>
  <si>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</si>
  <si>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</si>
  <si>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</si>
  <si>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</si>
  <si>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</si>
  <si>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</si>
  <si>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</si>
  <si>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</si>
  <si>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</si>
  <si>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</si>
  <si>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</si>
  <si>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</si>
  <si>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</si>
  <si>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</si>
  <si>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</si>
  <si>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</si>
  <si>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</si>
  <si>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</si>
  <si>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</si>
  <si>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</si>
  <si>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</si>
  <si>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</si>
  <si>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</si>
  <si>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</si>
  <si>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</si>
  <si>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</si>
  <si>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</si>
  <si>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</si>
  <si>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</si>
  <si>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</si>
  <si>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</si>
  <si>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</si>
  <si>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</si>
  <si>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</si>
  <si>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</si>
  <si>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</si>
  <si>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</si>
  <si>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</si>
  <si>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</si>
  <si>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</si>
  <si>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</si>
  <si>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</si>
  <si>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</si>
  <si>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</si>
  <si>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</si>
  <si>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</si>
  <si>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</si>
  <si>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</si>
  <si>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</si>
  <si>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</si>
  <si>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</si>
  <si>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</si>
  <si>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</si>
  <si>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</si>
  <si>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</si>
  <si>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</si>
  <si>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</si>
  <si>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</si>
  <si>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</si>
  <si>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</si>
  <si>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</si>
  <si>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</si>
  <si>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</si>
  <si>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</si>
  <si>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</si>
  <si>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</si>
  <si>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</si>
  <si>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</si>
  <si>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</si>
  <si>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</si>
  <si>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</si>
  <si>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</si>
  <si>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</si>
  <si>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</si>
  <si>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</si>
  <si>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</si>
  <si>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</si>
  <si>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</si>
  <si>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</si>
  <si>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</si>
  <si>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</si>
  <si>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</si>
  <si>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</si>
  <si>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</si>
  <si>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</si>
  <si>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</si>
  <si>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</si>
  <si>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</si>
  <si>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</si>
  <si>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</si>
  <si>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</si>
  <si>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</si>
  <si>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</si>
  <si>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</si>
  <si>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</si>
  <si>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</si>
  <si>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</si>
  <si>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</si>
  <si>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</si>
  <si>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</si>
  <si>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</si>
  <si>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</si>
  <si>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</si>
  <si>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</si>
  <si>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</si>
  <si>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</si>
  <si>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</si>
  <si>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</si>
  <si>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</si>
  <si>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</si>
  <si>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</si>
  <si>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</si>
  <si>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</si>
  <si>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</si>
  <si>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</si>
  <si>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</si>
  <si>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</si>
  <si>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</si>
  <si>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</si>
  <si>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</si>
  <si>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</si>
  <si>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</si>
  <si>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</si>
  <si>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</si>
  <si>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</si>
  <si>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</si>
  <si>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</si>
  <si>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</si>
  <si>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</si>
  <si>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</si>
  <si>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</si>
  <si>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</si>
  <si>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</si>
  <si>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</si>
  <si>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</si>
  <si>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</si>
  <si>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</si>
  <si>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</si>
  <si>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</si>
  <si>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</si>
  <si>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</si>
  <si>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</si>
  <si>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</si>
  <si>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</si>
  <si>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</si>
  <si>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</si>
  <si>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</si>
  <si>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</si>
  <si>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</si>
  <si>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</si>
  <si>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</si>
  <si>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</si>
  <si>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</si>
  <si>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</si>
  <si>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</si>
  <si>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</si>
  <si>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</si>
  <si>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</si>
  <si>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</si>
  <si>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</si>
  <si>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</si>
  <si>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</si>
  <si>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</si>
  <si>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</si>
  <si>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</si>
  <si>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</si>
  <si>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</si>
  <si>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</si>
  <si>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</si>
  <si>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</si>
  <si>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</si>
  <si>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</si>
  <si>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</si>
  <si>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</si>
  <si>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</si>
  <si>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</si>
  <si>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</si>
  <si>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</si>
  <si>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</si>
  <si>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</si>
  <si>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</si>
  <si>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</si>
  <si>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</si>
  <si>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</si>
  <si>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</si>
  <si>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</si>
  <si>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</si>
  <si>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</si>
  <si>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</si>
  <si>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</si>
  <si>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</si>
  <si>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</si>
  <si>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</si>
  <si>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</si>
  <si>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</si>
  <si>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</si>
  <si>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</si>
  <si>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</si>
  <si>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</si>
  <si>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</si>
  <si>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</si>
  <si>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</si>
  <si>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</si>
  <si>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</si>
  <si>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</si>
  <si>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</si>
  <si>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</si>
  <si>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</si>
  <si>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</si>
  <si>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</si>
  <si>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</si>
  <si>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</si>
  <si>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</si>
  <si>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</si>
  <si>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</si>
  <si>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</si>
  <si>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</si>
  <si>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</si>
  <si>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</si>
  <si>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</si>
  <si>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</si>
  <si>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</si>
  <si>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</si>
  <si>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</si>
  <si>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</si>
  <si>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</si>
  <si>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</si>
  <si>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</si>
  <si>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</si>
  <si>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</si>
  <si>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</si>
  <si>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</si>
  <si>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</si>
  <si>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</si>
  <si>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</si>
  <si>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</si>
  <si>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</si>
  <si>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</si>
  <si>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</si>
  <si>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</si>
  <si>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</si>
  <si>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</si>
  <si>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</si>
  <si>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</si>
  <si>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</si>
  <si>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</si>
  <si>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</si>
  <si>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</si>
  <si>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</si>
  <si>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</si>
  <si>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</si>
  <si>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</si>
  <si>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</si>
  <si>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</si>
  <si>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</si>
  <si>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</si>
  <si>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</si>
  <si>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</si>
  <si>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</si>
  <si>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</si>
  <si>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</si>
  <si>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</si>
  <si>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</si>
  <si>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</si>
  <si>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</si>
  <si>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</si>
  <si>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</si>
  <si>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</si>
  <si>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</si>
  <si>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</si>
  <si>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</si>
  <si>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</si>
  <si>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</si>
  <si>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</si>
  <si>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</si>
  <si>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</si>
  <si>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</si>
  <si>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</si>
  <si>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</si>
  <si>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</si>
  <si>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</si>
  <si>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</si>
  <si>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</si>
  <si>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</si>
  <si>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</si>
  <si>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</si>
  <si>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</si>
  <si>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</si>
  <si>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</si>
  <si>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</si>
  <si>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</si>
  <si>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</si>
  <si>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</si>
  <si>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</si>
  <si>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</si>
  <si>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</si>
  <si>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</si>
  <si>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</si>
  <si>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</si>
  <si>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</si>
  <si>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</si>
  <si>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</si>
  <si>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</si>
  <si>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</si>
  <si>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</si>
  <si>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</si>
  <si>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</si>
  <si>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</si>
  <si>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</si>
  <si>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</si>
  <si>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</si>
  <si>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</si>
  <si>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</si>
  <si>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</si>
  <si>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</si>
  <si>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</si>
  <si>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</si>
  <si>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</si>
  <si>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</si>
  <si>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</si>
  <si>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</si>
  <si>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</si>
  <si>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</si>
  <si>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</si>
  <si>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</si>
  <si>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</si>
  <si>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</si>
  <si>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</si>
  <si>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</si>
  <si>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</si>
  <si>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</si>
  <si>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</si>
  <si>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</si>
  <si>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</si>
  <si>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</si>
  <si>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</si>
  <si>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</si>
  <si>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</si>
  <si>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</si>
  <si>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</si>
  <si>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</si>
  <si>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</si>
  <si>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</si>
  <si>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</si>
  <si>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</si>
  <si>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</si>
  <si>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</si>
  <si>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</si>
  <si>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</si>
  <si>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</si>
  <si>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</si>
  <si>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</si>
  <si>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</si>
  <si>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</si>
  <si>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</si>
  <si>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</si>
  <si>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</si>
  <si>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</si>
  <si>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</si>
  <si>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</si>
  <si>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</si>
  <si>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</si>
  <si>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</si>
  <si>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</si>
  <si>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</si>
  <si>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</si>
  <si>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</si>
  <si>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</si>
  <si>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</si>
  <si>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</si>
  <si>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</si>
  <si>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</si>
  <si>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</si>
  <si>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</si>
  <si>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</si>
  <si>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</si>
  <si>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</si>
  <si>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</si>
  <si>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</si>
  <si>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</si>
  <si>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</si>
  <si>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</si>
  <si>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</si>
  <si>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</si>
  <si>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</si>
  <si>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</si>
  <si>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</si>
  <si>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</si>
  <si>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</si>
  <si>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</si>
  <si>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</si>
  <si>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</si>
  <si>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</si>
  <si>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</si>
  <si>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</si>
  <si>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</si>
  <si>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</si>
  <si>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</si>
  <si>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</si>
  <si>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</si>
  <si>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</si>
  <si>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</si>
  <si>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</si>
  <si>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</si>
  <si>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</si>
  <si>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</si>
  <si>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</si>
  <si>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</si>
  <si>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</si>
  <si>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</si>
  <si>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</si>
  <si>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</si>
  <si>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</si>
  <si>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</si>
  <si>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</si>
  <si>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</si>
  <si>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</si>
  <si>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</si>
  <si>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</si>
  <si>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</si>
  <si>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</si>
  <si>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</si>
  <si>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</si>
  <si>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</si>
  <si>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</si>
  <si>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</si>
  <si>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</si>
  <si>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</si>
  <si>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</si>
  <si>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</si>
  <si>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</si>
  <si>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</si>
  <si>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</si>
  <si>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</si>
  <si>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</si>
  <si>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</si>
  <si>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</si>
  <si>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</si>
  <si>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</si>
  <si>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</si>
  <si>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</si>
  <si>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</si>
  <si>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</si>
  <si>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</si>
  <si>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</si>
  <si>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</si>
  <si>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</si>
  <si>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</si>
  <si>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</si>
  <si>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</si>
  <si>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</si>
  <si>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</si>
  <si>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</si>
  <si>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</si>
  <si>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</si>
  <si>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</si>
  <si>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</si>
  <si>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</si>
  <si>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</si>
  <si>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</si>
  <si>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</si>
  <si>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</si>
  <si>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</si>
  <si>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</si>
  <si>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</si>
  <si>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</si>
  <si>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</si>
  <si>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</si>
  <si>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</si>
  <si>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</si>
  <si>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</si>
  <si>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</si>
  <si>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</si>
  <si>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</si>
  <si>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</si>
  <si>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</si>
  <si>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</si>
  <si>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</si>
  <si>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</si>
  <si>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</si>
  <si>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</si>
  <si>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</si>
  <si>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</si>
  <si>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</si>
  <si>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</si>
  <si>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</si>
  <si>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</si>
  <si>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</si>
  <si>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</si>
  <si>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</si>
  <si>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</si>
  <si>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</si>
  <si>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</si>
  <si>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</si>
  <si>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</si>
  <si>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</si>
  <si>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</si>
  <si>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</si>
  <si>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</si>
  <si>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</si>
  <si>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</si>
  <si>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</si>
  <si>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</si>
  <si>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</si>
  <si>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</si>
  <si>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</si>
  <si>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</si>
  <si>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</si>
  <si>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</si>
  <si>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</si>
  <si>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</si>
  <si>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</si>
  <si>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</si>
  <si>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</si>
  <si>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</si>
  <si>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</si>
  <si>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</si>
  <si>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</si>
  <si>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</si>
  <si>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</si>
  <si>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</si>
  <si>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</si>
  <si>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</si>
  <si>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</si>
  <si>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</si>
  <si>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</si>
  <si>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</si>
  <si>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</si>
  <si>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</si>
  <si>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</si>
  <si>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</si>
  <si>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</si>
  <si>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</si>
  <si>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</si>
  <si>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</si>
  <si>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</si>
  <si>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</si>
  <si>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</si>
  <si>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</si>
  <si>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</si>
  <si>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</si>
  <si>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</si>
  <si>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</si>
  <si>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</si>
  <si>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</si>
  <si>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</si>
  <si>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</si>
  <si>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</si>
  <si>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</si>
  <si>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</si>
  <si>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</si>
  <si>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</si>
  <si>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</si>
  <si>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</si>
  <si>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</si>
  <si>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</si>
  <si>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</si>
  <si>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</si>
  <si>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</si>
  <si>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</si>
  <si>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</si>
  <si>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</si>
  <si>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</si>
  <si>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</si>
  <si>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</si>
  <si>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</si>
  <si>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</si>
  <si>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</si>
  <si>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</si>
  <si>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</si>
  <si>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</si>
  <si>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</si>
  <si>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</si>
  <si>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</si>
  <si>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</si>
  <si>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</si>
  <si>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</si>
  <si>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</si>
  <si>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</si>
  <si>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</si>
  <si>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</si>
  <si>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</si>
  <si>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</si>
  <si>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</si>
  <si>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</si>
  <si>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</si>
  <si>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</si>
  <si>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</si>
  <si>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</si>
  <si>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</si>
  <si>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</si>
  <si>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</si>
  <si>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</si>
  <si>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</si>
  <si>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</si>
  <si>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</si>
  <si>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</si>
  <si>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</si>
  <si>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</si>
  <si>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</si>
  <si>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</si>
  <si>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</si>
  <si>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</si>
  <si>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</si>
  <si>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</si>
  <si>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</si>
  <si>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</si>
  <si>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</si>
  <si>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</si>
  <si>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</si>
  <si>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</si>
  <si>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</si>
  <si>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</si>
  <si>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</si>
  <si>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</si>
  <si>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</si>
  <si>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</si>
  <si>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</si>
  <si>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</si>
  <si>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</si>
  <si>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</si>
  <si>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</si>
  <si>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</si>
  <si>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</si>
  <si>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</si>
  <si>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</si>
  <si>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</si>
  <si>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</si>
  <si>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</si>
  <si>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</si>
  <si>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</si>
  <si>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</si>
  <si>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</si>
  <si>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</si>
  <si>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</si>
  <si>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</si>
  <si>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</si>
  <si>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</si>
  <si>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</si>
  <si>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</si>
  <si>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</si>
  <si>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</si>
  <si>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</si>
  <si>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</si>
  <si>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</si>
  <si>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</si>
  <si>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</si>
  <si>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</si>
  <si>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</si>
  <si>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</si>
  <si>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</si>
  <si>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</si>
  <si>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</si>
  <si>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</si>
  <si>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</si>
  <si>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</si>
  <si>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</si>
  <si>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</si>
  <si>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</si>
  <si>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</si>
  <si>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</si>
  <si>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</si>
  <si>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</si>
  <si>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</si>
  <si>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</si>
  <si>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</si>
  <si>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</si>
  <si>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</si>
  <si>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</si>
  <si>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</si>
  <si>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</si>
  <si>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</si>
  <si>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</si>
  <si>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</si>
  <si>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</si>
  <si>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</si>
  <si>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</si>
  <si>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</si>
  <si>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</si>
  <si>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</si>
  <si>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</si>
  <si>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</si>
  <si>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</si>
  <si>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</si>
  <si>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</si>
  <si>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</si>
  <si>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</si>
  <si>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</si>
  <si>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</si>
  <si>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</si>
  <si>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</si>
  <si>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</si>
  <si>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</si>
  <si>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</si>
  <si>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</si>
  <si>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</si>
  <si>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</si>
  <si>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</si>
  <si>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</si>
  <si>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</si>
  <si>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</si>
  <si>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</si>
  <si>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</si>
  <si>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</si>
  <si>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</si>
  <si>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</si>
  <si>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</si>
  <si>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</si>
  <si>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</si>
  <si>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</si>
  <si>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</si>
  <si>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</si>
  <si>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</si>
  <si>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</si>
  <si>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</si>
  <si>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</si>
  <si>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</si>
  <si>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</si>
  <si>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</si>
  <si>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</si>
  <si>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</si>
  <si>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</si>
  <si>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</si>
  <si>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</si>
  <si>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</si>
  <si>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</si>
  <si>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</si>
  <si>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</si>
  <si>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</si>
  <si>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</si>
  <si>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</si>
  <si>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</si>
  <si>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</si>
  <si>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</si>
  <si>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</si>
  <si>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</si>
  <si>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</si>
  <si>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</si>
  <si>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</si>
  <si>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</si>
  <si>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</si>
  <si>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</si>
  <si>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</si>
  <si>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</si>
  <si>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</si>
  <si>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</si>
  <si>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</si>
  <si>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</si>
  <si>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</si>
  <si>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</si>
  <si>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</si>
  <si>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</si>
  <si>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</si>
  <si>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</si>
  <si>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</si>
  <si>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</si>
  <si>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</si>
  <si>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</si>
  <si>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</si>
  <si>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</si>
  <si>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</si>
  <si>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</si>
  <si>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</si>
  <si>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</si>
  <si>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</si>
  <si>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</si>
  <si>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</si>
  <si>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</si>
  <si>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</si>
  <si>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</si>
  <si>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</si>
  <si>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</si>
  <si>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</si>
  <si>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</si>
  <si>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</si>
  <si>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</si>
  <si>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</si>
  <si>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</si>
  <si>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</si>
  <si>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</si>
  <si>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</si>
  <si>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</si>
  <si>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</si>
  <si>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</si>
  <si>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</si>
  <si>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</si>
  <si>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</si>
  <si>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</si>
  <si>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</si>
  <si>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</si>
  <si>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</si>
  <si>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</si>
  <si>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</si>
  <si>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</si>
  <si>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</si>
  <si>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</si>
  <si>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</si>
  <si>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</si>
  <si>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</si>
  <si>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</si>
  <si>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</si>
  <si>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</si>
  <si>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</si>
  <si>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</si>
  <si>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</si>
  <si>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</si>
  <si>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</si>
  <si>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</si>
  <si>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</si>
  <si>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</si>
  <si>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</si>
  <si>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</si>
  <si>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</si>
  <si>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</si>
  <si>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</si>
  <si>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</si>
  <si>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</si>
  <si>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</si>
  <si>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</si>
  <si>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</si>
  <si>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</si>
  <si>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</si>
  <si>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</si>
  <si>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</si>
  <si>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</si>
  <si>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</si>
  <si>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</si>
  <si>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</si>
  <si>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</si>
  <si>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</si>
  <si>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</si>
  <si>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</si>
  <si>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</si>
  <si>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</si>
  <si>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</si>
  <si>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</si>
  <si>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</si>
  <si>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</si>
  <si>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</si>
  <si>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</si>
  <si>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</si>
  <si>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</si>
  <si>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</si>
  <si>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</si>
  <si>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</si>
  <si>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</si>
  <si>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</si>
  <si>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</si>
  <si>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</si>
  <si>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</si>
  <si>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</si>
  <si>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</si>
  <si>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</si>
  <si>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</si>
  <si>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</si>
  <si>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</si>
  <si>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</si>
  <si>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</si>
  <si>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</si>
  <si>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</si>
  <si>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</si>
  <si>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</si>
  <si>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</si>
  <si>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</si>
  <si>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</si>
  <si>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</si>
  <si>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</si>
  <si>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</si>
  <si>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</si>
  <si>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</si>
  <si>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</si>
  <si>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</si>
  <si>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</si>
  <si>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</si>
  <si>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</si>
  <si>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</si>
  <si>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</si>
  <si>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</si>
  <si>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</si>
  <si>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</si>
  <si>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</si>
  <si>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</si>
  <si>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</si>
  <si>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</si>
  <si>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</si>
  <si>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</si>
  <si>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</si>
  <si>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</si>
  <si>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</si>
  <si>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</si>
  <si>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</si>
  <si>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</si>
  <si>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</si>
  <si>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</si>
  <si>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</si>
  <si>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</si>
  <si>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</si>
  <si>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</si>
  <si>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</si>
  <si>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</si>
  <si>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</si>
  <si>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</si>
  <si>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</si>
  <si>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</si>
  <si>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</si>
  <si>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</si>
  <si>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</si>
  <si>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</si>
  <si>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</si>
  <si>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</si>
  <si>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</si>
  <si>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</si>
  <si>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</si>
  <si>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</si>
  <si>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</si>
  <si>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</si>
  <si>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</si>
  <si>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</si>
  <si>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</si>
  <si>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</si>
  <si>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</si>
  <si>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</si>
  <si>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</si>
  <si>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</si>
  <si>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</si>
  <si>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</si>
  <si>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</si>
  <si>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</si>
  <si>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</si>
  <si>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</si>
  <si>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</si>
  <si>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</si>
  <si>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</si>
  <si>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</si>
  <si>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</si>
  <si>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</si>
  <si>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</si>
  <si>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</si>
  <si>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</si>
  <si>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</si>
  <si>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</si>
  <si>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</si>
  <si>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</si>
  <si>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</si>
  <si>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</si>
  <si>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</si>
  <si>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</si>
  <si>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</si>
  <si>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</si>
  <si>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</si>
  <si>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</si>
  <si>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</si>
  <si>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</si>
  <si>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</si>
  <si>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</si>
  <si>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</si>
  <si>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</si>
  <si>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</si>
  <si>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</si>
  <si>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</si>
  <si>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</si>
  <si>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</si>
  <si>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</si>
  <si>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</si>
  <si>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</si>
  <si>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</si>
  <si>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</si>
  <si>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</si>
  <si>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</si>
  <si>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</si>
  <si>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</si>
  <si>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</si>
  <si>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</si>
  <si>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</si>
  <si>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</si>
  <si>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</si>
  <si>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</si>
  <si>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</si>
  <si>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</si>
  <si>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</si>
  <si>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</si>
  <si>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</si>
  <si>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</si>
  <si>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</si>
  <si>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</si>
  <si>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</si>
  <si>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</si>
  <si>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</si>
  <si>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</si>
  <si>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</si>
  <si>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</si>
  <si>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</si>
  <si>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</si>
  <si>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</si>
  <si>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</si>
  <si>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</si>
  <si>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</si>
  <si>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</si>
  <si>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</si>
  <si>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</si>
  <si>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</si>
  <si>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</si>
  <si>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</si>
  <si>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</si>
  <si>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</si>
  <si>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</si>
  <si>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</si>
  <si>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</si>
  <si>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</si>
  <si>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</si>
  <si>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</si>
  <si>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</si>
  <si>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</si>
  <si>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</si>
  <si>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</si>
  <si>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</si>
  <si>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</si>
  <si>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</si>
  <si>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</si>
  <si>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</si>
  <si>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</si>
  <si>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</si>
  <si>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</si>
  <si>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</si>
  <si>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</si>
  <si>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</si>
  <si>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</si>
  <si>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</si>
  <si>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</si>
  <si>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</si>
  <si>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</si>
  <si>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</si>
  <si>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</si>
  <si>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</si>
  <si>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</si>
  <si>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</si>
  <si>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</si>
  <si>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</si>
  <si>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</si>
  <si>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</si>
  <si>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</si>
  <si>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</si>
  <si>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</si>
  <si>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</si>
  <si>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</si>
  <si>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</si>
  <si>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</si>
  <si>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</si>
  <si>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</si>
  <si>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</si>
  <si>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</si>
  <si>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</si>
  <si>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</si>
  <si>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</si>
  <si>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</si>
  <si>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</si>
  <si>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</si>
  <si>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</si>
  <si>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</si>
  <si>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</si>
  <si>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</si>
  <si>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</si>
  <si>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</si>
  <si>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</si>
  <si>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</si>
  <si>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</si>
  <si>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</si>
  <si>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</si>
  <si>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</si>
  <si>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</si>
  <si>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</si>
  <si>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</si>
  <si>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</si>
  <si>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</si>
  <si>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</si>
  <si>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</si>
  <si>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</si>
  <si>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</si>
  <si>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</si>
  <si>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</si>
  <si>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</si>
  <si>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</si>
  <si>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</si>
  <si>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</si>
  <si>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</si>
  <si>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</si>
  <si>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</si>
  <si>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</si>
  <si>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</si>
  <si>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</si>
  <si>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</si>
  <si>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</si>
  <si>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</si>
  <si>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</si>
  <si>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</si>
  <si>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</si>
  <si>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</si>
  <si>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</si>
  <si>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</si>
  <si>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</si>
  <si>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</si>
  <si>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</si>
  <si>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</si>
  <si>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</si>
  <si>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</si>
  <si>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</si>
  <si>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</si>
  <si>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</si>
  <si>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</si>
  <si>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</si>
  <si>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</si>
  <si>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</si>
  <si>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</si>
  <si>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</si>
  <si>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</si>
  <si>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</si>
  <si>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</si>
  <si>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</si>
  <si>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</si>
  <si>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</si>
  <si>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</si>
  <si>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</si>
  <si>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</si>
  <si>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</si>
  <si>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</si>
  <si>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</si>
  <si>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</si>
  <si>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</si>
  <si>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</si>
  <si>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</si>
  <si>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</si>
  <si>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</si>
  <si>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</si>
  <si>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</si>
  <si>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</si>
  <si>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</si>
  <si>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</si>
  <si>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</si>
  <si>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</si>
  <si>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</si>
  <si>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</si>
  <si>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</si>
  <si>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</si>
  <si>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</si>
  <si>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</si>
  <si>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</si>
  <si>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</si>
  <si>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</si>
  <si>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</si>
  <si>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</si>
  <si>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</si>
  <si>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</si>
  <si>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</si>
  <si>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</si>
  <si>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</si>
  <si>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</si>
  <si>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</si>
  <si>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</si>
  <si>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</si>
  <si>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</si>
  <si>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</si>
  <si>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</si>
  <si>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</si>
  <si>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</si>
  <si>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</si>
  <si>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</si>
  <si>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</si>
  <si>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</si>
  <si>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</si>
  <si>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</si>
  <si>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</si>
  <si>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</si>
  <si>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</si>
  <si>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</si>
  <si>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</si>
  <si>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</si>
  <si>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</si>
  <si>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</si>
  <si>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</si>
  <si>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</si>
  <si>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</si>
  <si>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</si>
  <si>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</si>
  <si>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</si>
  <si>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</si>
  <si>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</si>
  <si>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</si>
  <si>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</si>
  <si>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</si>
  <si>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</si>
  <si>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</si>
  <si>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</si>
  <si>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</si>
  <si>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</si>
  <si>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</si>
  <si>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</si>
  <si>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</si>
  <si>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</si>
  <si>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</si>
  <si>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</si>
  <si>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</si>
  <si>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</si>
  <si>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</si>
  <si>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</si>
  <si>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</si>
  <si>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</si>
  <si>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</si>
  <si>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</si>
  <si>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</si>
  <si>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</si>
  <si>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</si>
  <si>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</si>
  <si>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</si>
  <si>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</si>
  <si>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</si>
  <si>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</si>
  <si>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</si>
  <si>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</si>
  <si>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</si>
  <si>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</si>
  <si>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</si>
  <si>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</si>
  <si>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</si>
  <si>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</si>
  <si>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</si>
  <si>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</si>
  <si>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</si>
  <si>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</si>
  <si>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</si>
  <si>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</si>
  <si>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</si>
  <si>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</si>
  <si>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</si>
  <si>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</si>
  <si>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</si>
  <si>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</si>
  <si>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</si>
  <si>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</si>
  <si>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</si>
  <si>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</si>
  <si>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</si>
  <si>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</si>
  <si>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</si>
  <si>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</si>
  <si>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</si>
  <si>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</si>
  <si>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</si>
  <si>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</si>
  <si>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</si>
  <si>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</si>
  <si>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</si>
  <si>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</si>
  <si>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</si>
  <si>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</si>
  <si>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</si>
  <si>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</si>
  <si>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</si>
  <si>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</si>
  <si>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</si>
  <si>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</si>
  <si>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</si>
  <si>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</si>
  <si>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</si>
  <si>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</si>
  <si>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</si>
  <si>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</si>
  <si>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</si>
  <si>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</si>
  <si>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</si>
  <si>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</si>
  <si>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</si>
  <si>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</si>
  <si>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</si>
  <si>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</si>
  <si>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</si>
  <si>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</si>
  <si>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</si>
  <si>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</si>
  <si>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</si>
  <si>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</si>
  <si>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</si>
  <si>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</si>
  <si>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</si>
  <si>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</si>
  <si>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</si>
  <si>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</si>
  <si>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</si>
  <si>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</si>
  <si>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</si>
  <si>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</si>
  <si>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</si>
  <si>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</si>
  <si>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</si>
  <si>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</si>
  <si>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</si>
  <si>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</si>
  <si>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</si>
  <si>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</si>
  <si>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</si>
  <si>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</si>
  <si>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</si>
  <si>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</si>
  <si>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</si>
  <si>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</si>
  <si>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</si>
  <si>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</si>
  <si>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</si>
  <si>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</si>
  <si>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</si>
  <si>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</si>
  <si>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</si>
  <si>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</si>
  <si>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</si>
  <si>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</si>
  <si>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</si>
  <si>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</si>
  <si>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</si>
  <si>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</si>
  <si>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</si>
  <si>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</si>
  <si>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</si>
  <si>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</si>
  <si>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</si>
  <si>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</si>
  <si>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</si>
  <si>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</si>
  <si>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</si>
  <si>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</si>
  <si>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</si>
  <si>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</si>
  <si>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</si>
  <si>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</si>
  <si>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</si>
  <si>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</si>
  <si>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</si>
  <si>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</si>
  <si>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</si>
  <si>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</si>
  <si>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</si>
  <si>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</si>
  <si>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</si>
  <si>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</si>
  <si>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</si>
  <si>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</si>
  <si>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</si>
  <si>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</si>
  <si>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</si>
  <si>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</si>
  <si>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</si>
  <si>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</si>
  <si>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</si>
  <si>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</si>
  <si>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</si>
  <si>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</si>
  <si>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</si>
  <si>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</si>
  <si>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</si>
  <si>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</si>
  <si>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</si>
  <si>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</si>
  <si>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</si>
  <si>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</si>
  <si>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</si>
  <si>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</si>
  <si>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</si>
  <si>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</si>
  <si>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</si>
  <si>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</si>
  <si>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</si>
  <si>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</si>
  <si>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</si>
  <si>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</si>
  <si>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</si>
  <si>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</si>
  <si>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</si>
  <si>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</si>
  <si>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</si>
  <si>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</si>
  <si>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</si>
  <si>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</si>
  <si>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</si>
  <si>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</si>
  <si>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</si>
  <si>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</si>
  <si>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</si>
  <si>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</si>
  <si>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</si>
  <si>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</si>
  <si>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</si>
  <si>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</si>
  <si>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</si>
  <si>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</si>
  <si>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</si>
  <si>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</si>
  <si>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</si>
  <si>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</si>
  <si>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</si>
  <si>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</si>
  <si>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</si>
  <si>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</si>
  <si>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</si>
  <si>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</si>
  <si>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</si>
  <si>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</si>
  <si>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</si>
  <si>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</si>
  <si>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</si>
  <si>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</si>
  <si>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</si>
  <si>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</si>
  <si>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</si>
  <si>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</si>
  <si>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</si>
  <si>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</si>
  <si>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</si>
  <si>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</si>
  <si>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</si>
  <si>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</si>
  <si>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</si>
  <si>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</si>
  <si>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</si>
  <si>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</si>
  <si>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</si>
  <si>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</si>
  <si>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</si>
  <si>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</si>
  <si>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</si>
  <si>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</si>
  <si>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</si>
  <si>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</si>
  <si>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</si>
  <si>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</si>
  <si>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</si>
  <si>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</si>
  <si>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</si>
  <si>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</si>
  <si>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</si>
  <si>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</si>
  <si>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</si>
  <si>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</si>
  <si>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</si>
  <si>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</si>
  <si>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</si>
  <si>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</si>
  <si>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</si>
  <si>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</si>
  <si>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</si>
  <si>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</si>
  <si>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</si>
  <si>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</si>
  <si>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</si>
  <si>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</si>
  <si>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</si>
  <si>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</si>
  <si>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</si>
  <si>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</si>
  <si>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</si>
  <si>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</si>
  <si>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</si>
  <si>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</si>
  <si>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</si>
  <si>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</si>
  <si>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</si>
  <si>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</si>
  <si>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</si>
  <si>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</si>
  <si>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</si>
  <si>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</si>
  <si>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</si>
  <si>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</si>
  <si>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</si>
  <si>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</si>
  <si>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</si>
  <si>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</si>
  <si>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</si>
  <si>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</si>
  <si>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</si>
  <si>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</si>
  <si>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</si>
  <si>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</si>
  <si>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</si>
  <si>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</si>
  <si>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</si>
  <si>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</si>
  <si>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</si>
  <si>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</si>
  <si>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</si>
  <si>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</si>
  <si>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</si>
  <si>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</si>
  <si>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</si>
  <si>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</si>
  <si>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</si>
  <si>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</si>
  <si>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</si>
  <si>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</si>
  <si>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</si>
  <si>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</si>
  <si>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</si>
  <si>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</si>
  <si>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</si>
  <si>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</si>
  <si>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</si>
  <si>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</si>
  <si>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</si>
  <si>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</si>
  <si>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</si>
  <si>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</si>
  <si>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</si>
  <si>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</si>
  <si>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</si>
  <si>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</si>
  <si>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</si>
  <si>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</si>
  <si>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</si>
  <si>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</si>
  <si>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</si>
  <si>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</si>
  <si>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</si>
  <si>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</si>
  <si>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</si>
  <si>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</si>
  <si>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</si>
  <si>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</si>
  <si>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</si>
  <si>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</si>
  <si>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</si>
  <si>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</si>
  <si>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</si>
  <si>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</si>
  <si>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</si>
  <si>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</si>
  <si>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</si>
  <si>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</si>
  <si>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</si>
  <si>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</si>
  <si>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</si>
  <si>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</si>
  <si>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</si>
  <si>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</si>
  <si>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</si>
  <si>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</si>
  <si>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</si>
  <si>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</si>
  <si>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</si>
  <si>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</si>
  <si>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</si>
  <si>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</si>
  <si>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</si>
  <si>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</si>
  <si>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</si>
  <si>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</si>
  <si>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</si>
  <si>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</si>
  <si>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</si>
  <si>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</si>
  <si>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</si>
  <si>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</si>
  <si>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</si>
  <si>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</si>
  <si>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</si>
  <si>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</si>
  <si>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</si>
  <si>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</si>
  <si>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</si>
  <si>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</si>
  <si>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</si>
  <si>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</si>
  <si>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</si>
  <si>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</si>
  <si>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</si>
  <si>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</si>
  <si>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</si>
  <si>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</si>
  <si>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</si>
  <si>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</si>
  <si>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</si>
  <si>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</si>
  <si>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</si>
  <si>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</si>
  <si>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</si>
  <si>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</si>
  <si>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</si>
  <si>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</si>
  <si>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</si>
  <si>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</si>
  <si>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</si>
  <si>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</si>
  <si>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</si>
  <si>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</si>
  <si>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</si>
  <si>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</si>
  <si>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</si>
  <si>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</si>
  <si>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</si>
  <si>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</si>
  <si>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</si>
  <si>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</si>
  <si>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</si>
  <si>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</si>
  <si>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</si>
  <si>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</si>
  <si>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</si>
  <si>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</si>
  <si>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</si>
  <si>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</si>
  <si>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</si>
  <si>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</si>
  <si>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</si>
  <si>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</si>
  <si>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</si>
  <si>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</si>
  <si>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</si>
  <si>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</si>
  <si>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</si>
  <si>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</si>
  <si>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</si>
  <si>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</si>
  <si>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</si>
  <si>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</si>
  <si>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</si>
  <si>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</si>
  <si>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</si>
  <si>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</si>
  <si>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</si>
  <si>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</si>
  <si>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</si>
  <si>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</si>
  <si>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</si>
  <si>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</si>
  <si>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</si>
  <si>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</si>
  <si>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</si>
  <si>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</si>
  <si>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</si>
  <si>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</si>
  <si>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</si>
  <si>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</si>
  <si>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</si>
  <si>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</si>
  <si>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</si>
  <si>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</si>
  <si>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</si>
  <si>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</si>
  <si>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</si>
  <si>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</si>
  <si>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</si>
  <si>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</si>
  <si>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</si>
  <si>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</si>
  <si>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</si>
  <si>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</si>
  <si>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</si>
  <si>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</si>
  <si>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</si>
  <si>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</si>
  <si>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</si>
  <si>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</si>
  <si>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</si>
  <si>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</si>
  <si>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</si>
  <si>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</si>
  <si>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</si>
  <si>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</si>
  <si>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</si>
  <si>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</si>
  <si>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</si>
  <si>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</si>
  <si>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</si>
  <si>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</si>
  <si>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</si>
  <si>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</si>
  <si>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</si>
  <si>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</si>
  <si>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</si>
  <si>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</si>
  <si>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</si>
  <si>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</si>
  <si>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</si>
  <si>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</si>
  <si>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</si>
  <si>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</si>
  <si>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</si>
  <si>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</si>
  <si>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</si>
  <si>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</si>
  <si>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</si>
  <si>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</si>
  <si>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</si>
  <si>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</si>
  <si>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</si>
  <si>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</si>
  <si>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</si>
  <si>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</si>
  <si>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</si>
  <si>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</si>
  <si>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</si>
  <si>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</si>
  <si>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</si>
  <si>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</si>
  <si>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</si>
  <si>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</si>
  <si>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</si>
  <si>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</si>
  <si>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</si>
  <si>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</si>
  <si>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</si>
  <si>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</si>
  <si>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</si>
  <si>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</si>
  <si>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</si>
  <si>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</si>
  <si>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</si>
  <si>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</si>
  <si>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</si>
  <si>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</si>
  <si>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</si>
  <si>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</si>
  <si>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</si>
  <si>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</si>
  <si>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</si>
  <si>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</si>
  <si>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</si>
  <si>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</si>
  <si>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</si>
  <si>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</si>
  <si>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</si>
  <si>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</si>
  <si>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</si>
  <si>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</si>
  <si>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</si>
  <si>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</si>
  <si>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</si>
  <si>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</si>
  <si>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</si>
  <si>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</si>
  <si>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</si>
  <si>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</si>
  <si>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</si>
  <si>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</si>
  <si>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</si>
  <si>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</si>
  <si>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</si>
  <si>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</si>
  <si>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</si>
  <si>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</si>
  <si>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</si>
  <si>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</si>
  <si>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</si>
  <si>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</si>
  <si>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</si>
  <si>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</si>
  <si>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</si>
  <si>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</si>
  <si>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</si>
  <si>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</si>
  <si>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</si>
  <si>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</si>
  <si>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</si>
  <si>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</si>
  <si>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</si>
  <si>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</si>
  <si>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</si>
  <si>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</si>
  <si>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</si>
  <si>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</si>
  <si>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</si>
  <si>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</si>
  <si>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</si>
  <si>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</si>
  <si>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</si>
  <si>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</si>
  <si>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</si>
  <si>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</si>
  <si>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</si>
  <si>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</si>
  <si>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</si>
  <si>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</si>
  <si>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</si>
  <si>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</si>
  <si>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</si>
  <si>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</si>
  <si>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</si>
  <si>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</si>
  <si>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</si>
  <si>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</si>
  <si>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</si>
  <si>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</si>
  <si>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</si>
  <si>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</si>
  <si>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</si>
  <si>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</si>
  <si>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</si>
  <si>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</si>
  <si>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</si>
  <si>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</si>
  <si>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</si>
  <si>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</si>
  <si>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</si>
  <si>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</si>
  <si>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</si>
  <si>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</si>
  <si>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</si>
  <si>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</si>
  <si>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</si>
  <si>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</si>
  <si>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</si>
  <si>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</si>
  <si>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</si>
  <si>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</si>
  <si>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</si>
  <si>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</si>
  <si>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</si>
  <si>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</si>
  <si>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</si>
  <si>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</si>
  <si>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</si>
  <si>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</si>
  <si>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</si>
  <si>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</si>
  <si>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</si>
  <si>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</si>
  <si>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</si>
  <si>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</si>
  <si>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</si>
  <si>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</si>
  <si>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</si>
  <si>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</si>
  <si>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</si>
  <si>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</si>
  <si>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</si>
  <si>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</si>
  <si>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</si>
  <si>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</si>
  <si>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</si>
  <si>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</si>
  <si>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</si>
  <si>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</si>
  <si>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</si>
  <si>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</si>
  <si>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</si>
  <si>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</si>
  <si>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</si>
  <si>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</si>
  <si>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</si>
  <si>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</si>
  <si>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</si>
  <si>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</si>
  <si>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</si>
  <si>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</si>
  <si>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</si>
  <si>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</si>
  <si>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</si>
  <si>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</si>
  <si>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</si>
  <si>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</si>
  <si>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</si>
  <si>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</si>
  <si>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</si>
  <si>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</si>
  <si>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</si>
  <si>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</si>
  <si>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</si>
  <si>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</si>
  <si>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</si>
  <si>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</si>
  <si>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</si>
  <si>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</si>
  <si>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</si>
  <si>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</si>
  <si>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</si>
  <si>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</si>
  <si>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</si>
  <si>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</si>
  <si>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</si>
  <si>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</si>
  <si>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</si>
  <si>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</si>
  <si>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</si>
  <si>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</si>
  <si>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</si>
  <si>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</si>
  <si>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</si>
  <si>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</si>
  <si>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</si>
  <si>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</si>
  <si>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</si>
  <si>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</si>
  <si>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</si>
  <si>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</si>
  <si>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</si>
  <si>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</si>
  <si>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</si>
  <si>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</si>
  <si>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</si>
  <si>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</si>
  <si>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</si>
  <si>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</si>
  <si>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</si>
  <si>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</si>
  <si>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</si>
  <si>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</si>
  <si>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</si>
  <si>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</si>
  <si>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</si>
  <si>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</si>
  <si>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</si>
  <si>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</si>
  <si>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</si>
  <si>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</si>
  <si>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</si>
  <si>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</si>
  <si>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</si>
  <si>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</si>
  <si>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</si>
  <si>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</si>
  <si>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</si>
  <si>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</si>
  <si>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</si>
  <si>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</si>
  <si>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</si>
  <si>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</si>
  <si>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</si>
  <si>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</si>
  <si>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</si>
  <si>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</si>
  <si>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</si>
  <si>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</si>
  <si>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</si>
  <si>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</si>
  <si>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</si>
  <si>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</si>
  <si>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</si>
  <si>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</si>
  <si>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</si>
  <si>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</si>
  <si>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</si>
  <si>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</si>
  <si>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</si>
  <si>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</si>
  <si>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</si>
  <si>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</si>
  <si>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</si>
  <si>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</si>
  <si>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</si>
  <si>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</si>
  <si>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</si>
  <si>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</si>
  <si>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</si>
  <si>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</si>
  <si>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</si>
  <si>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</si>
  <si>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</si>
  <si>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</si>
  <si>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</si>
  <si>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</si>
  <si>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</si>
  <si>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</si>
  <si>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</si>
  <si>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</si>
  <si>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</si>
  <si>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</si>
  <si>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</si>
  <si>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</si>
  <si>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</si>
  <si>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</si>
  <si>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</si>
  <si>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</si>
  <si>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</si>
  <si>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</si>
  <si>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</si>
  <si>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</si>
  <si>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</si>
  <si>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</si>
  <si>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</si>
  <si>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</si>
  <si>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</si>
  <si>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</si>
  <si>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</si>
  <si>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</si>
  <si>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</si>
  <si>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</si>
  <si>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</si>
  <si>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</si>
  <si>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</si>
  <si>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</si>
  <si>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</si>
  <si>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</si>
  <si>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</si>
  <si>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</si>
  <si>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</si>
  <si>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</si>
  <si>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</si>
  <si>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</si>
  <si>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</si>
  <si>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</si>
  <si>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</si>
  <si>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</si>
  <si>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</si>
  <si>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</si>
  <si>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</si>
  <si>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</si>
  <si>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</si>
  <si>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</si>
  <si>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</si>
  <si>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</si>
  <si>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</si>
  <si>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</si>
  <si>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</si>
  <si>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</si>
  <si>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</si>
  <si>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</si>
  <si>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</si>
  <si>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</si>
  <si>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</si>
  <si>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</si>
  <si>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</si>
  <si>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</si>
  <si>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</si>
  <si>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</si>
  <si>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</si>
  <si>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</si>
  <si>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</si>
  <si>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</si>
  <si>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</si>
  <si>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</si>
  <si>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</si>
  <si>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</si>
  <si>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</si>
  <si>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</si>
  <si>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</si>
  <si>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</si>
  <si>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</si>
  <si>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</si>
  <si>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</si>
  <si>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</si>
  <si>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</si>
  <si>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</si>
  <si>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</si>
  <si>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</si>
  <si>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</si>
  <si>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</si>
  <si>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</si>
  <si>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</si>
  <si>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</si>
  <si>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</si>
  <si>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</si>
  <si>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</si>
  <si>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</si>
  <si>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</si>
  <si>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</si>
  <si>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</si>
  <si>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</si>
  <si>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</si>
  <si>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</si>
  <si>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</si>
  <si>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</si>
  <si>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</si>
  <si>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</si>
  <si>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</si>
  <si>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</si>
  <si>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</si>
  <si>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</si>
  <si>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</si>
  <si>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</si>
  <si>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</si>
  <si>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</si>
  <si>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</si>
  <si>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</si>
  <si>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</si>
  <si>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</si>
  <si>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</si>
  <si>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</si>
  <si>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</si>
  <si>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</si>
  <si>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</si>
  <si>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</si>
  <si>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</si>
  <si>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</si>
  <si>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</si>
  <si>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</si>
  <si>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</si>
  <si>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</si>
  <si>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</si>
  <si>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</si>
  <si>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</si>
  <si>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</si>
  <si>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</si>
  <si>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</si>
  <si>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</si>
  <si>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</si>
  <si>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</si>
  <si>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</si>
  <si>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</si>
  <si>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</si>
  <si>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</si>
  <si>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</si>
  <si>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</si>
  <si>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</si>
  <si>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</si>
  <si>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</si>
  <si>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</si>
  <si>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</si>
  <si>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</si>
  <si>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</si>
  <si>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</si>
  <si>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</si>
  <si>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</si>
  <si>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</si>
  <si>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</si>
  <si>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</si>
  <si>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</si>
  <si>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</si>
  <si>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</si>
  <si>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</si>
  <si>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</si>
  <si>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</si>
  <si>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</si>
  <si>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</si>
  <si>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</si>
  <si>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</si>
  <si>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</si>
  <si>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</si>
  <si>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</si>
  <si>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</si>
  <si>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</si>
  <si>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</si>
  <si>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</si>
  <si>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</si>
  <si>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</si>
  <si>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</si>
  <si>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</si>
  <si>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</si>
  <si>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</si>
  <si>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</si>
  <si>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</si>
  <si>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</si>
  <si>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</si>
  <si>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</si>
  <si>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</si>
  <si>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</si>
  <si>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</si>
  <si>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</si>
  <si>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</si>
  <si>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</si>
  <si>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</si>
  <si>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</si>
  <si>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</si>
  <si>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</si>
  <si>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</si>
  <si>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</si>
  <si>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</si>
  <si>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</si>
  <si>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</si>
  <si>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</si>
  <si>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</si>
  <si>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</si>
  <si>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</si>
  <si>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</si>
  <si>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</si>
  <si>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</si>
  <si>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</si>
  <si>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</si>
  <si>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</si>
  <si>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</si>
  <si>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</si>
  <si>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</si>
  <si>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</si>
  <si>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</si>
  <si>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</si>
  <si>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</si>
  <si>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</si>
  <si>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</si>
  <si>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</si>
  <si>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</si>
  <si>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</si>
  <si>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</si>
  <si>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</si>
  <si>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</si>
  <si>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</si>
  <si>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</si>
  <si>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</si>
  <si>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</si>
  <si>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</si>
  <si>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</si>
  <si>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</si>
  <si>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</si>
  <si>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</si>
  <si>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</si>
  <si>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</si>
  <si>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</si>
  <si>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</si>
  <si>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</si>
  <si>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</si>
  <si>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</si>
  <si>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</si>
  <si>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</si>
  <si>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</si>
  <si>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</si>
  <si>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</si>
  <si>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</si>
  <si>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</si>
  <si>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</si>
  <si>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</si>
  <si>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</si>
  <si>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</si>
  <si>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</si>
  <si>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</si>
  <si>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</si>
  <si>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</si>
  <si>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</si>
  <si>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</si>
  <si>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</si>
  <si>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</si>
  <si>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</si>
  <si>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</si>
  <si>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</si>
  <si>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</si>
  <si>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</si>
  <si>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</si>
  <si>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</si>
  <si>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</si>
  <si>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</si>
  <si>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</si>
  <si>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</si>
  <si>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</si>
  <si>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</si>
  <si>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</si>
  <si>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</si>
  <si>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</si>
  <si>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</si>
  <si>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</si>
  <si>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</si>
  <si>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</si>
  <si>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</si>
  <si>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</si>
  <si>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</si>
  <si>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</si>
  <si>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</si>
  <si>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</si>
  <si>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</si>
  <si>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</si>
  <si>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</si>
  <si>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</si>
  <si>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</si>
  <si>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</si>
  <si>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</si>
  <si>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</si>
  <si>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</si>
  <si>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</si>
  <si>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</si>
  <si>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</si>
  <si>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</si>
  <si>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</si>
  <si>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</si>
  <si>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</si>
  <si>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</si>
  <si>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</si>
  <si>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</si>
  <si>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</si>
  <si>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</si>
  <si>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</si>
  <si>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</si>
  <si>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</si>
  <si>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</si>
  <si>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</si>
  <si>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</si>
  <si>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</si>
  <si>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</si>
  <si>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</si>
  <si>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</si>
  <si>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</si>
  <si>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</si>
  <si>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</si>
  <si>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</si>
  <si>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</si>
  <si>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</si>
  <si>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</si>
  <si>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</si>
  <si>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</si>
  <si>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</si>
  <si>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</si>
  <si>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</si>
  <si>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</si>
  <si>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</si>
  <si>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</si>
  <si>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</si>
  <si>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</si>
  <si>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</si>
  <si>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</si>
  <si>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</si>
  <si>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</si>
  <si>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</si>
  <si>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</si>
  <si>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</si>
  <si>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</si>
  <si>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</si>
  <si>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</si>
  <si>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</si>
  <si>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</si>
  <si>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</si>
  <si>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</si>
  <si>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</si>
  <si>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</si>
  <si>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</si>
  <si>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</si>
  <si>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</si>
  <si>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</si>
  <si>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</si>
  <si>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</si>
  <si>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</si>
  <si>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</si>
  <si>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</si>
  <si>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</si>
  <si>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</si>
  <si>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</si>
  <si>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</si>
  <si>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</si>
  <si>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</si>
  <si>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</si>
  <si>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</si>
  <si>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</si>
  <si>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</si>
  <si>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</si>
  <si>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</si>
  <si>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</si>
  <si>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</si>
  <si>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</si>
  <si>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</si>
  <si>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</si>
  <si>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</si>
  <si>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</si>
  <si>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</si>
  <si>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</si>
  <si>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</si>
  <si>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</si>
  <si>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</si>
  <si>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</si>
  <si>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</si>
  <si>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</si>
  <si>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</si>
  <si>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</si>
  <si>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</si>
  <si>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</si>
  <si>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</si>
  <si>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</si>
  <si>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</si>
  <si>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</si>
  <si>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</si>
  <si>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</si>
  <si>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</si>
  <si>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</si>
  <si>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</si>
  <si>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</si>
  <si>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</si>
  <si>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</si>
  <si>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</si>
  <si>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</si>
  <si>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</si>
  <si>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</si>
  <si>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</si>
  <si>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</si>
  <si>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</si>
  <si>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</si>
  <si>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</si>
  <si>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</si>
  <si>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</si>
  <si>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</si>
  <si>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</si>
  <si>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</si>
  <si>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</si>
  <si>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</si>
  <si>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</si>
  <si>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</si>
  <si>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</si>
  <si>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</si>
  <si>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</si>
  <si>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</si>
  <si>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</si>
  <si>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</si>
  <si>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</si>
  <si>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</si>
  <si>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</si>
  <si>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</si>
  <si>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</si>
  <si>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</si>
  <si>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</si>
  <si>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</si>
  <si>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</si>
  <si>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</si>
  <si>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</si>
  <si>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</si>
  <si>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</si>
  <si>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</si>
  <si>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</si>
  <si>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</si>
  <si>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</si>
  <si>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</si>
  <si>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</si>
  <si>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</si>
  <si>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</si>
  <si>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</si>
  <si>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</si>
  <si>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</si>
  <si>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</si>
  <si>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</si>
  <si>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</si>
  <si>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</si>
  <si>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</si>
  <si>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</si>
  <si>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</si>
  <si>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</si>
  <si>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</si>
  <si>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</si>
  <si>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</si>
  <si>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</si>
  <si>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</si>
  <si>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</si>
  <si>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</si>
  <si>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</si>
  <si>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</si>
  <si>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</si>
  <si>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</si>
  <si>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</si>
  <si>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</si>
  <si>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</si>
  <si>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</si>
  <si>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</si>
  <si>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</si>
  <si>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</si>
  <si>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</si>
  <si>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</si>
  <si>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</si>
  <si>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</si>
  <si>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</si>
  <si>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</si>
  <si>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</si>
  <si>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</si>
  <si>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</si>
  <si>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</si>
  <si>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</si>
  <si>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</si>
  <si>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</si>
  <si>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</si>
  <si>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</si>
  <si>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</si>
  <si>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</si>
  <si>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</si>
  <si>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</si>
  <si>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</si>
  <si>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</si>
  <si>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</si>
  <si>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</si>
  <si>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</si>
  <si>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</si>
  <si>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</si>
  <si>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</si>
  <si>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</si>
  <si>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</si>
  <si>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</si>
  <si>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</si>
  <si>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</si>
  <si>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</si>
  <si>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</si>
  <si>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</si>
  <si>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</si>
  <si>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</si>
  <si>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</si>
  <si>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</si>
  <si>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</si>
  <si>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</si>
  <si>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</si>
  <si>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</si>
  <si>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</si>
  <si>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</si>
  <si>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</si>
  <si>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</si>
  <si>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</si>
  <si>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</si>
  <si>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</si>
  <si>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</si>
  <si>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</si>
  <si>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</si>
  <si>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</si>
  <si>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</si>
  <si>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</si>
  <si>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</si>
  <si>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</si>
  <si>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</si>
  <si>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</si>
  <si>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</si>
  <si>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</si>
  <si>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</si>
  <si>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</si>
  <si>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</si>
  <si>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</si>
  <si>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</si>
  <si>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</si>
  <si>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</si>
  <si>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</si>
  <si>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</si>
  <si>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</si>
  <si>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</si>
  <si>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</si>
  <si>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</si>
  <si>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</si>
  <si>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</si>
  <si>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</si>
  <si>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</si>
  <si>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</si>
  <si>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</si>
  <si>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</si>
  <si>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</si>
  <si>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</si>
  <si>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</si>
  <si>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</si>
  <si>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</si>
  <si>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</si>
  <si>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</si>
  <si>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</si>
  <si>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</si>
  <si>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</si>
  <si>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</si>
  <si>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</si>
  <si>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</si>
  <si>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</si>
  <si>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</si>
  <si>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</si>
  <si>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</si>
  <si>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</si>
  <si>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</si>
  <si>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</si>
  <si>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</si>
  <si>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</si>
  <si>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</si>
  <si>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</si>
  <si>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</si>
  <si>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</si>
  <si>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</si>
  <si>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</si>
  <si>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</si>
  <si>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</si>
  <si>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</si>
  <si>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</si>
  <si>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</si>
  <si>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</si>
  <si>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</si>
  <si>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</si>
  <si>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</si>
  <si>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</si>
  <si>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</si>
  <si>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</si>
  <si>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</si>
  <si>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</si>
  <si>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</si>
  <si>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</si>
  <si>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</si>
  <si>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</si>
  <si>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</si>
  <si>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</si>
  <si>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</si>
  <si>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</si>
  <si>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</si>
  <si>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</si>
  <si>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</si>
  <si>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</si>
  <si>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</si>
  <si>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</si>
  <si>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</si>
  <si>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</si>
  <si>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</si>
  <si>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</si>
  <si>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</si>
  <si>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</si>
  <si>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</si>
  <si>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</si>
  <si>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</si>
  <si>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</si>
  <si>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</si>
  <si>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</si>
  <si>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</si>
  <si>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</si>
  <si>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</si>
  <si>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</si>
  <si>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</si>
  <si>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</si>
  <si>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</si>
  <si>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</si>
  <si>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</si>
  <si>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</si>
  <si>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</si>
  <si>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</si>
  <si>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</si>
  <si>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</si>
  <si>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</si>
  <si>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</si>
  <si>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</si>
  <si>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</si>
  <si>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</si>
  <si>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</si>
  <si>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</si>
  <si>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</si>
  <si>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</si>
  <si>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汇天网络</t>
    <phoneticPr fontId="6" type="noConversion"/>
  </si>
  <si>
    <t>Ⅶ-通1</t>
  </si>
  <si>
    <t>现房</t>
  </si>
  <si>
    <t>1#</t>
  </si>
  <si>
    <t>2#</t>
  </si>
  <si>
    <t>3#</t>
  </si>
  <si>
    <t>4#</t>
  </si>
  <si>
    <t>5#</t>
  </si>
  <si>
    <t>在建</t>
  </si>
  <si>
    <t>6#</t>
  </si>
  <si>
    <t>7#</t>
  </si>
  <si>
    <t>8#</t>
  </si>
  <si>
    <t>9#</t>
  </si>
  <si>
    <t>10#</t>
  </si>
  <si>
    <t>11#</t>
  </si>
  <si>
    <t>12#</t>
  </si>
  <si>
    <t>13#</t>
  </si>
  <si>
    <t>14#</t>
  </si>
  <si>
    <t>15#</t>
  </si>
  <si>
    <t>16#</t>
  </si>
  <si>
    <t>17#</t>
  </si>
  <si>
    <t>18#</t>
  </si>
  <si>
    <t>地下车库</t>
  </si>
  <si>
    <t>已售</t>
    <phoneticPr fontId="3" type="noConversion"/>
  </si>
  <si>
    <t>是</t>
  </si>
  <si>
    <t>否</t>
  </si>
  <si>
    <t>地上</t>
  </si>
  <si>
    <t>科研用房</t>
  </si>
  <si>
    <t>科研用房</t>
    <phoneticPr fontId="16" type="noConversion"/>
  </si>
  <si>
    <t>地下</t>
  </si>
  <si>
    <t>公共服务</t>
  </si>
  <si>
    <t>科研用房</t>
    <phoneticPr fontId="7" type="noConversion"/>
  </si>
  <si>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</si>
  <si>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</si>
  <si>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</si>
  <si>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</si>
  <si>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</si>
  <si>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</si>
  <si>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</si>
  <si>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</si>
  <si>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</si>
  <si>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</si>
  <si>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</si>
  <si>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</si>
  <si>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非机房楼</t>
    <phoneticPr fontId="134" type="noConversion"/>
  </si>
  <si>
    <t>2#</t>
    <phoneticPr fontId="134" type="noConversion"/>
  </si>
  <si>
    <t>3#</t>
    <phoneticPr fontId="134" type="noConversion"/>
  </si>
  <si>
    <t>机房楼</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</si>
  <si>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</si>
  <si>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</si>
  <si>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</si>
  <si>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</si>
  <si>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</si>
  <si>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</si>
  <si>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</si>
  <si>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</si>
  <si>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</si>
  <si>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</si>
  <si>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实测报告</t>
    <phoneticPr fontId="134" type="noConversion"/>
  </si>
  <si>
    <t>宿舍楼</t>
    <phoneticPr fontId="134" type="noConversion"/>
  </si>
  <si>
    <t>宿舍楼</t>
    <phoneticPr fontId="134" type="noConversion"/>
  </si>
  <si>
    <t>11#</t>
    <phoneticPr fontId="134" type="noConversion"/>
  </si>
  <si>
    <t>房产证</t>
    <phoneticPr fontId="134" type="noConversion"/>
  </si>
  <si>
    <t>机房楼</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</si>
  <si>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</si>
  <si>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</si>
  <si>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</si>
  <si>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</si>
  <si>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</si>
  <si>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</si>
  <si>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</si>
  <si>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宿舍楼</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</si>
  <si>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</si>
  <si>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</si>
  <si>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</si>
  <si>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</si>
  <si>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</si>
  <si>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1、2、3、4、5、7、9、11、12、13、14、15、17、18</t>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</si>
  <si>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</si>
  <si>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</si>
  <si>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</si>
  <si>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</si>
  <si>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</si>
  <si>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非机房楼</t>
    <phoneticPr fontId="134" type="noConversion"/>
  </si>
  <si>
    <t>办公楼</t>
    <phoneticPr fontId="134" type="noConversion"/>
  </si>
  <si>
    <t>地下车库</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</si>
  <si>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</si>
  <si>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</si>
  <si>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</si>
  <si>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</si>
  <si>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</si>
  <si>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</si>
  <si>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</si>
  <si>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租金</t>
    <phoneticPr fontId="134" type="noConversion"/>
  </si>
  <si>
    <t>6层楼</t>
    <phoneticPr fontId="134" type="noConversion"/>
  </si>
  <si>
    <t>单价</t>
    <phoneticPr fontId="134" type="noConversion"/>
  </si>
  <si>
    <t>机房楼数</t>
    <phoneticPr fontId="134" type="noConversion"/>
  </si>
  <si>
    <t>楼号</t>
  </si>
  <si>
    <t>建设总机柜数</t>
  </si>
  <si>
    <t>机柜上电情况</t>
    <phoneticPr fontId="134" type="noConversion"/>
  </si>
  <si>
    <t>4#</t>
    <phoneticPr fontId="134" type="noConversion"/>
  </si>
  <si>
    <t>5#</t>
    <phoneticPr fontId="134" type="noConversion"/>
  </si>
  <si>
    <t>合计</t>
    <phoneticPr fontId="134" type="noConversion"/>
  </si>
  <si>
    <r>
      <t>9</t>
    </r>
    <r>
      <rPr>
        <sz val="11"/>
        <color theme="1"/>
        <rFont val="宋体"/>
        <family val="3"/>
        <charset val="134"/>
        <scheme val="minor"/>
      </rPr>
      <t>#</t>
    </r>
    <phoneticPr fontId="134" type="noConversion"/>
  </si>
  <si>
    <t>未提供数量</t>
    <phoneticPr fontId="134" type="noConversion"/>
  </si>
  <si>
    <t>预估合计</t>
    <phoneticPr fontId="134" type="noConversion"/>
  </si>
  <si>
    <t>成新度</t>
  </si>
  <si>
    <r>
      <t>2023</t>
    </r>
    <r>
      <rPr>
        <sz val="10"/>
        <color indexed="8"/>
        <rFont val="宋体"/>
        <family val="3"/>
        <charset val="134"/>
      </rPr>
      <t>年</t>
    </r>
    <phoneticPr fontId="3" type="noConversion"/>
  </si>
  <si>
    <t>收益法</t>
  </si>
  <si>
    <t>押一</t>
  </si>
  <si>
    <t>钢混</t>
  </si>
  <si>
    <t>非生产用房</t>
  </si>
  <si>
    <t>成本法</t>
  </si>
  <si>
    <t>宗地容积率</t>
  </si>
  <si>
    <t>通路</t>
  </si>
  <si>
    <t>通电</t>
  </si>
  <si>
    <t>通讯</t>
  </si>
  <si>
    <t>通上水</t>
  </si>
  <si>
    <t>通下水</t>
  </si>
  <si>
    <t>平整</t>
  </si>
  <si>
    <t>与级别开发程度不一致</t>
  </si>
  <si>
    <t>中心城区以外</t>
  </si>
  <si>
    <t>一般</t>
  </si>
  <si>
    <t>较好</t>
  </si>
  <si>
    <t>较差</t>
  </si>
  <si>
    <t>未包含在土地购买价格中</t>
  </si>
  <si>
    <t>全部缴纳</t>
  </si>
  <si>
    <t>已包含在土地取得成本中</t>
  </si>
  <si>
    <t>总价</t>
  </si>
  <si>
    <t>成本比率</t>
  </si>
  <si>
    <t>通州区宋庄镇尹各庄村新建科研用地</t>
    <phoneticPr fontId="6" type="noConversion"/>
  </si>
  <si>
    <t>2022年估值</t>
    <phoneticPr fontId="134" type="noConversion"/>
  </si>
  <si>
    <t>2023年估值</t>
    <phoneticPr fontId="134" type="noConversion"/>
  </si>
  <si>
    <t>楼栋</t>
  </si>
  <si>
    <t>分摊出让国有建设用地使用权面积（㎡）</t>
  </si>
  <si>
    <t>经营性用途</t>
  </si>
  <si>
    <t>非经营性用途</t>
  </si>
  <si>
    <t>合计</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</si>
  <si>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</si>
  <si>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</si>
  <si>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</si>
  <si>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</si>
  <si>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</si>
  <si>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</si>
  <si>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</si>
  <si>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</si>
  <si>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</si>
  <si>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</si>
  <si>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</si>
  <si>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</si>
  <si>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</si>
  <si>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</si>
  <si>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12#</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</si>
  <si>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</si>
  <si>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</si>
  <si>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</si>
  <si>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</si>
  <si>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</si>
  <si>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t>小计</t>
  </si>
  <si>
    <r>
      <t>6#</t>
    </r>
    <r>
      <rPr>
        <sz val="9"/>
        <color rgb="FF000000"/>
        <rFont val="华文细黑"/>
        <family val="3"/>
        <charset val="134"/>
      </rPr>
      <t>科研楼</t>
    </r>
  </si>
  <si>
    <t>《房屋面积测算技术报告书》</t>
  </si>
  <si>
    <r>
      <t>10#</t>
    </r>
    <r>
      <rPr>
        <sz val="9"/>
        <color rgb="FF000000"/>
        <rFont val="华文细黑"/>
        <family val="3"/>
        <charset val="134"/>
      </rPr>
      <t>科研楼</t>
    </r>
  </si>
  <si>
    <r>
      <t>16#</t>
    </r>
    <r>
      <rPr>
        <sz val="9"/>
        <color rgb="FF000000"/>
        <rFont val="华文细黑"/>
        <family val="3"/>
        <charset val="134"/>
      </rPr>
      <t>科研楼</t>
    </r>
  </si>
  <si>
    <t>用途</t>
    <phoneticPr fontId="134" type="noConversion"/>
  </si>
  <si>
    <t>建安单价</t>
    <phoneticPr fontId="134" type="noConversion"/>
  </si>
  <si>
    <t>建安总值</t>
    <phoneticPr fontId="134" type="noConversion"/>
  </si>
  <si>
    <t>比例</t>
    <phoneticPr fontId="134" type="noConversion"/>
  </si>
  <si>
    <t>土地总值</t>
    <phoneticPr fontId="134" type="noConversion"/>
  </si>
  <si>
    <t>建筑物拆分</t>
    <phoneticPr fontId="134" type="noConversion"/>
  </si>
  <si>
    <t>土地拆分</t>
    <phoneticPr fontId="134" type="noConversion"/>
  </si>
  <si>
    <t>拆分总值</t>
    <phoneticPr fontId="134" type="noConversion"/>
  </si>
  <si>
    <t>单价</t>
    <phoneticPr fontId="134" type="noConversion"/>
  </si>
  <si>
    <t>净值拆分</t>
    <phoneticPr fontId="134" type="noConversion"/>
  </si>
  <si>
    <t>净值单价</t>
    <phoneticPr fontId="134" type="noConversion"/>
  </si>
  <si>
    <t>租金</t>
    <phoneticPr fontId="134" type="noConversion"/>
  </si>
  <si>
    <t>价值拆分(收益)</t>
    <phoneticPr fontId="134" type="noConversion"/>
  </si>
  <si>
    <t>非机房楼</t>
    <phoneticPr fontId="134" type="noConversion"/>
  </si>
  <si>
    <t>机房楼</t>
    <phoneticPr fontId="134" type="noConversion"/>
  </si>
  <si>
    <t>办公楼</t>
    <phoneticPr fontId="134" type="noConversion"/>
  </si>
  <si>
    <t>分摊出让国有建设用地使用权面积（㎡）</t>
    <phoneticPr fontId="134" type="noConversion"/>
  </si>
  <si>
    <t>建筑面积（㎡）</t>
    <phoneticPr fontId="134" type="noConversion"/>
  </si>
  <si>
    <t>房地产价值</t>
    <phoneticPr fontId="134" type="noConversion"/>
  </si>
  <si>
    <t>净值</t>
    <phoneticPr fontId="134" type="noConversion"/>
  </si>
  <si>
    <t>不动产权证号</t>
    <phoneticPr fontId="134" type="noConversion"/>
  </si>
  <si>
    <t>总价</t>
    <phoneticPr fontId="134" type="noConversion"/>
  </si>
  <si>
    <t>单价</t>
    <phoneticPr fontId="134" type="noConversion"/>
  </si>
  <si>
    <t>京(2020)通不动产权第0022339号</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</si>
  <si>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</si>
  <si>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</si>
  <si>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</si>
  <si>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</si>
  <si>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</si>
  <si>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</si>
  <si>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</si>
  <si>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</si>
  <si>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</si>
  <si>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</si>
  <si>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34" type="noConversion"/>
  </si>
  <si>
    <t>小计</t>
    <phoneticPr fontId="134" type="noConversion"/>
  </si>
  <si>
    <t>——</t>
    <phoneticPr fontId="134" type="noConversion"/>
  </si>
  <si>
    <t>——</t>
    <phoneticPr fontId="134" type="noConversion"/>
  </si>
  <si>
    <r>
      <t>2</t>
    </r>
    <r>
      <rPr>
        <sz val="11"/>
        <color theme="1"/>
        <rFont val="宋体"/>
        <family val="3"/>
        <charset val="134"/>
        <scheme val="minor"/>
      </rPr>
      <t>022年</t>
    </r>
    <phoneticPr fontId="134" type="noConversion"/>
  </si>
  <si>
    <r>
      <t>2</t>
    </r>
    <r>
      <rPr>
        <sz val="11"/>
        <color theme="1"/>
        <rFont val="宋体"/>
        <family val="3"/>
        <charset val="134"/>
        <scheme val="minor"/>
      </rPr>
      <t>023年</t>
    </r>
    <phoneticPr fontId="134" type="noConversion"/>
  </si>
  <si>
    <t>中行抵押</t>
    <phoneticPr fontId="134" type="noConversion"/>
  </si>
  <si>
    <t>华夏抵押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</si>
</sst>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theme="1"/>
      <name val="宋体"/>
      <family val="3"/>
      <charset val="134"/>
      <scheme val="minor"/>
    </font>
    <font>
      <sz val="11"/>
      <color rgb="FFFF0000"/>
      <name val="宋体"/>
      <family val="3"/>
      <charset val="134"/>
      <scheme val="minor"/>
    </font>
    <font>
      <sz val="11"/>
      <name val="宋体"/>
      <family val="3"/>
      <charset val="134"/>
      <scheme val="minor"/>
    </font>
    <font>
      <b/>
      <sz val="9"/>
      <color rgb="FF000000"/>
      <name val="华文细黑"/>
      <family val="3"/>
      <charset val="134"/>
    </font>
    <font>
      <b/>
      <sz val="9"/>
      <color rgb="FF000000"/>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0" fillId="0" borderId="0" applyFont="0" applyFill="0" applyBorder="0" applyAlignment="0" applyProtection="0">
      <alignment vertical="center"/>
    </xf>
  </cellStyleXfs>
  <cellXfs count="38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44" fillId="16" borderId="2" xfId="0" applyFont="1" applyFill="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72"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1"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0" fillId="5" borderId="0" xfId="0" applyFill="1">
      <alignment vertical="center"/>
    </xf>
    <xf numFmtId="43" fontId="0" fillId="0" borderId="1" xfId="0" applyNumberFormat="1" applyBorder="1" applyAlignment="1"/>
    <xf numFmtId="0" fontId="0" fillId="0" borderId="1" xfId="0" applyBorder="1" applyAlignment="1"/>
    <xf numFmtId="43" fontId="0" fillId="0" borderId="1" xfId="19" applyFont="1" applyBorder="1" applyAlignment="1"/>
    <xf numFmtId="43" fontId="0" fillId="0" borderId="15" xfId="0" applyNumberFormat="1" applyFont="1" applyFill="1" applyBorder="1" applyAlignment="1"/>
    <xf numFmtId="43" fontId="0" fillId="0" borderId="15" xfId="0" applyNumberFormat="1" applyFill="1" applyBorder="1" applyAlignment="1"/>
    <xf numFmtId="43" fontId="0" fillId="16" borderId="0" xfId="0" applyNumberFormat="1" applyFill="1">
      <alignment vertical="center"/>
    </xf>
    <xf numFmtId="0" fontId="271" fillId="0" borderId="0" xfId="0" applyFont="1">
      <alignment vertical="center"/>
    </xf>
    <xf numFmtId="0" fontId="273" fillId="0" borderId="179" xfId="0" applyFont="1" applyBorder="1" applyAlignment="1">
      <alignment vertical="center" wrapText="1"/>
    </xf>
    <xf numFmtId="0" fontId="273" fillId="0" borderId="181" xfId="0" applyFont="1" applyBorder="1" applyAlignment="1">
      <alignment vertical="center" wrapText="1"/>
    </xf>
    <xf numFmtId="0" fontId="266" fillId="0" borderId="180" xfId="0" applyFont="1" applyBorder="1" applyAlignment="1">
      <alignment vertical="center" wrapText="1"/>
    </xf>
    <xf numFmtId="0" fontId="266" fillId="0" borderId="181" xfId="0" applyFont="1" applyBorder="1" applyAlignment="1">
      <alignment vertical="center" wrapText="1"/>
    </xf>
    <xf numFmtId="0" fontId="264" fillId="0" borderId="180" xfId="0" applyFont="1" applyBorder="1" applyAlignment="1">
      <alignment vertical="center" wrapText="1"/>
    </xf>
    <xf numFmtId="0" fontId="273" fillId="0" borderId="180" xfId="0" applyFont="1" applyBorder="1" applyAlignment="1">
      <alignment vertical="center" wrapText="1"/>
    </xf>
    <xf numFmtId="0" fontId="274" fillId="0" borderId="181" xfId="0" applyFont="1" applyBorder="1" applyAlignment="1">
      <alignment vertical="center" wrapText="1"/>
    </xf>
    <xf numFmtId="0" fontId="95" fillId="0" borderId="0" xfId="0" applyFont="1" applyFill="1" applyBorder="1">
      <alignment vertical="center"/>
    </xf>
    <xf numFmtId="0" fontId="95" fillId="5" borderId="0" xfId="0" applyFont="1" applyFill="1" applyBorder="1">
      <alignment vertical="center"/>
    </xf>
    <xf numFmtId="0" fontId="95" fillId="7" borderId="0" xfId="0" applyFont="1" applyFill="1" applyBorder="1">
      <alignment vertical="center"/>
    </xf>
    <xf numFmtId="0" fontId="266" fillId="0" borderId="180" xfId="0" applyFont="1" applyFill="1" applyBorder="1" applyAlignment="1">
      <alignment vertical="center" wrapText="1"/>
    </xf>
    <xf numFmtId="0" fontId="266" fillId="0" borderId="183" xfId="0" applyFont="1" applyFill="1" applyBorder="1" applyAlignment="1">
      <alignment vertical="center" wrapText="1"/>
    </xf>
    <xf numFmtId="0" fontId="274" fillId="0" borderId="190" xfId="0" applyFont="1" applyBorder="1" applyAlignment="1">
      <alignment vertical="center" wrapText="1"/>
    </xf>
    <xf numFmtId="0" fontId="274" fillId="0" borderId="191" xfId="0" applyFont="1" applyBorder="1" applyAlignment="1">
      <alignment vertical="center" wrapText="1"/>
    </xf>
    <xf numFmtId="0" fontId="274" fillId="0" borderId="43" xfId="0" applyFont="1" applyBorder="1" applyAlignment="1">
      <alignment vertical="center" wrapText="1"/>
    </xf>
    <xf numFmtId="0" fontId="266" fillId="16" borderId="180" xfId="0" applyFont="1" applyFill="1" applyBorder="1" applyAlignment="1">
      <alignment vertical="center" wrapText="1"/>
    </xf>
    <xf numFmtId="0" fontId="266" fillId="16" borderId="181" xfId="0" applyFont="1" applyFill="1" applyBorder="1" applyAlignment="1">
      <alignment vertical="center" wrapText="1"/>
    </xf>
    <xf numFmtId="0" fontId="266" fillId="0" borderId="181" xfId="0" applyFont="1" applyFill="1" applyBorder="1" applyAlignment="1">
      <alignment vertical="center" wrapText="1"/>
    </xf>
    <xf numFmtId="0" fontId="266" fillId="16" borderId="182" xfId="0" applyFont="1" applyFill="1" applyBorder="1" applyAlignment="1">
      <alignment vertical="center" wrapText="1"/>
    </xf>
    <xf numFmtId="0" fontId="266" fillId="0" borderId="192" xfId="0" applyFont="1" applyBorder="1" applyAlignment="1">
      <alignment vertical="center" wrapText="1"/>
    </xf>
    <xf numFmtId="0" fontId="266" fillId="0" borderId="27" xfId="0" applyFont="1" applyBorder="1" applyAlignment="1">
      <alignment vertical="center" wrapText="1"/>
    </xf>
    <xf numFmtId="0" fontId="266" fillId="0" borderId="82" xfId="0" applyFont="1" applyBorder="1" applyAlignment="1">
      <alignment vertical="center" wrapText="1"/>
    </xf>
    <xf numFmtId="0" fontId="274" fillId="0" borderId="183" xfId="0" applyFont="1" applyBorder="1" applyAlignment="1">
      <alignment vertical="center" wrapText="1"/>
    </xf>
    <xf numFmtId="0" fontId="274" fillId="0" borderId="192" xfId="0" applyFont="1" applyBorder="1" applyAlignment="1">
      <alignment vertical="center" wrapText="1"/>
    </xf>
    <xf numFmtId="0" fontId="274" fillId="0" borderId="81" xfId="0" applyFont="1" applyBorder="1" applyAlignment="1">
      <alignment vertical="center" wrapText="1"/>
    </xf>
    <xf numFmtId="0" fontId="266" fillId="0" borderId="189" xfId="0" applyFont="1" applyBorder="1" applyAlignment="1">
      <alignment vertical="center" wrapText="1"/>
    </xf>
    <xf numFmtId="0" fontId="266" fillId="0" borderId="1" xfId="0" applyFont="1" applyBorder="1" applyAlignment="1">
      <alignment vertical="center" wrapText="1"/>
    </xf>
    <xf numFmtId="0" fontId="266" fillId="0" borderId="81" xfId="0" applyFont="1" applyFill="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274" fillId="0" borderId="27" xfId="0" applyFont="1" applyBorder="1" applyAlignment="1">
      <alignment vertical="center" wrapText="1"/>
    </xf>
    <xf numFmtId="0" fontId="0" fillId="0" borderId="81" xfId="0" applyBorder="1" applyAlignment="1">
      <alignment vertical="center"/>
    </xf>
    <xf numFmtId="0" fontId="274" fillId="0" borderId="176" xfId="0" applyFont="1" applyBorder="1" applyAlignment="1">
      <alignment vertical="center" wrapText="1"/>
    </xf>
    <xf numFmtId="0" fontId="96" fillId="0" borderId="182" xfId="0" applyFont="1" applyBorder="1" applyAlignment="1">
      <alignment vertical="center" wrapText="1"/>
    </xf>
    <xf numFmtId="0" fontId="96" fillId="0" borderId="180" xfId="0" applyFont="1" applyBorder="1" applyAlignment="1">
      <alignment vertical="center" wrapText="1"/>
    </xf>
    <xf numFmtId="0" fontId="274" fillId="0" borderId="184" xfId="0" applyFont="1" applyBorder="1" applyAlignment="1">
      <alignment vertical="center" wrapText="1"/>
    </xf>
    <xf numFmtId="0" fontId="96" fillId="0" borderId="193" xfId="0" applyFont="1" applyBorder="1" applyAlignment="1">
      <alignment vertical="center" wrapText="1"/>
    </xf>
    <xf numFmtId="0" fontId="96" fillId="0" borderId="189" xfId="0" applyFont="1" applyBorder="1" applyAlignment="1">
      <alignment vertical="center" wrapText="1"/>
    </xf>
    <xf numFmtId="0" fontId="96" fillId="0" borderId="80" xfId="0" applyFont="1" applyBorder="1" applyAlignment="1">
      <alignment vertical="center" wrapText="1"/>
    </xf>
    <xf numFmtId="0" fontId="96" fillId="0" borderId="81" xfId="0" applyFont="1" applyBorder="1" applyAlignment="1">
      <alignment vertical="center" wrapText="1"/>
    </xf>
    <xf numFmtId="0" fontId="273" fillId="0" borderId="176" xfId="0" applyFont="1" applyBorder="1" applyAlignment="1">
      <alignment vertical="center" wrapText="1"/>
    </xf>
    <xf numFmtId="0" fontId="273" fillId="0" borderId="180" xfId="0" applyFont="1" applyBorder="1" applyAlignment="1">
      <alignment vertical="center" wrapText="1"/>
    </xf>
    <xf numFmtId="0" fontId="273" fillId="0" borderId="177" xfId="0" applyFont="1" applyBorder="1" applyAlignment="1">
      <alignment vertical="center" wrapText="1"/>
    </xf>
    <xf numFmtId="0" fontId="273" fillId="0" borderId="178" xfId="0" applyFont="1" applyBorder="1" applyAlignment="1">
      <alignment vertical="center" wrapText="1"/>
    </xf>
    <xf numFmtId="0" fontId="273" fillId="0" borderId="179" xfId="0" applyFont="1" applyBorder="1" applyAlignment="1">
      <alignment vertical="center" wrapText="1"/>
    </xf>
    <xf numFmtId="0" fontId="273" fillId="0" borderId="184" xfId="0" applyFont="1" applyBorder="1" applyAlignment="1">
      <alignment vertical="center" wrapText="1"/>
    </xf>
    <xf numFmtId="0" fontId="273" fillId="0" borderId="189" xfId="0" applyFont="1" applyBorder="1" applyAlignment="1">
      <alignment vertical="center" wrapText="1"/>
    </xf>
    <xf numFmtId="0" fontId="274" fillId="0" borderId="185" xfId="0" applyFont="1" applyBorder="1" applyAlignment="1">
      <alignment vertical="center" wrapText="1"/>
    </xf>
    <xf numFmtId="0" fontId="0" fillId="0" borderId="186" xfId="0" applyBorder="1" applyAlignment="1">
      <alignment vertical="center" wrapText="1"/>
    </xf>
    <xf numFmtId="0" fontId="274" fillId="0" borderId="187" xfId="0" applyFont="1" applyBorder="1" applyAlignment="1">
      <alignment vertical="center" wrapText="1"/>
    </xf>
    <xf numFmtId="0" fontId="0" fillId="0" borderId="188" xfId="0" applyBorder="1" applyAlignment="1">
      <alignment vertical="center" wrapText="1"/>
    </xf>
    <xf numFmtId="0" fontId="266" fillId="0" borderId="176" xfId="0" applyFont="1" applyBorder="1" applyAlignment="1">
      <alignment vertical="center" wrapText="1"/>
    </xf>
    <xf numFmtId="0" fontId="266" fillId="0" borderId="182" xfId="0" applyFont="1" applyBorder="1" applyAlignment="1">
      <alignment vertical="center" wrapText="1"/>
    </xf>
    <xf numFmtId="0" fontId="266" fillId="0" borderId="180" xfId="0" applyFont="1" applyBorder="1" applyAlignment="1">
      <alignment vertical="center" wrapText="1"/>
    </xf>
    <xf numFmtId="0" fontId="264" fillId="0" borderId="176" xfId="0" applyFont="1" applyBorder="1" applyAlignment="1">
      <alignment vertical="center" wrapText="1"/>
    </xf>
    <xf numFmtId="0" fontId="264" fillId="0" borderId="182" xfId="0" applyFont="1" applyBorder="1" applyAlignment="1">
      <alignment vertical="center" wrapText="1"/>
    </xf>
    <xf numFmtId="0" fontId="264" fillId="0" borderId="180" xfId="0" applyFont="1" applyBorder="1" applyAlignment="1">
      <alignmen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22312;&#24314;-2024-1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1-0410-F04/&#20113;&#31471;&#20135;&#19994;&#22253;&#65288;&#22312;&#24314;&#65289;-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59427.91</v>
          </cell>
          <cell r="C14">
            <v>20455.650000000001</v>
          </cell>
          <cell r="D14">
            <v>111832</v>
          </cell>
          <cell r="G14">
            <v>111832</v>
          </cell>
        </row>
      </sheetData>
      <sheetData sheetId="18">
        <row r="118">
          <cell r="D118">
            <v>32431</v>
          </cell>
          <cell r="F118">
            <v>79401</v>
          </cell>
          <cell r="H118">
            <v>111832</v>
          </cell>
          <cell r="I118">
            <v>18818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C33">
            <v>3780</v>
          </cell>
        </row>
        <row r="40">
          <cell r="C40">
            <v>963</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4">
          <cell r="F44">
            <v>14000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北京市通州区宋庄镇尹各庄村新建科研用地房地产抵押价值预评估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受贵公司委托，我公司对北京市通州区宋庄镇尹各庄村新建科研用地房地产抵押价值进行了预评估。</v>
      </c>
    </row>
    <row r="7" spans="1:2" s="1203" customFormat="1">
      <c r="A7" s="1201" t="s">
        <v>566</v>
      </c>
      <c r="B7" s="1202" t="str">
        <f>'预评函-1'!A7</f>
        <v>估价对象为北京市通州区宋庄镇尹各庄村新建科研用地房地产，为汇天网络所有。根据《国有土地使用证》[]，估价对象（分摊）出让国有建设用地使用权面积为95778.03平方米，建筑面积为292137.36平方米。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宋庄镇尹各庄村新建科研用地房地产,属汇天网络开发建设的，该项目尚在开发建设中。根据《国有土地使用证》[]，估价对象（分摊）出让国有建设用地使用权面积为95778.03平方米，规划建筑面积为292137.36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2024年12月5日（评估专业人员实地查勘之日）</v>
      </c>
    </row>
    <row r="13" spans="1:2" s="1203" customFormat="1">
      <c r="A13" s="1201" t="s">
        <v>529</v>
      </c>
      <c r="B13" s="1202"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721702</v>
      </c>
    </row>
    <row r="21" spans="1:2" s="1203" customFormat="1">
      <c r="A21" s="1201" t="s">
        <v>537</v>
      </c>
      <c r="B21" s="1202">
        <f ca="1">'预评函-2'!D7</f>
        <v>24704</v>
      </c>
    </row>
    <row r="22" spans="1:2" s="1203" customFormat="1">
      <c r="A22" s="1201" t="s">
        <v>538</v>
      </c>
      <c r="B22" s="1202" t="str">
        <f ca="1">'预评函-2'!D6</f>
        <v>柒拾贰亿壹仟柒佰零贰万元整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721702</v>
      </c>
    </row>
    <row r="31" spans="1:2" s="1203" customFormat="1">
      <c r="A31" s="1201" t="s">
        <v>576</v>
      </c>
      <c r="B31" s="1202">
        <f ca="1">'预评函-2'!D15</f>
        <v>24704</v>
      </c>
    </row>
    <row r="32" spans="1:2" s="1203" customFormat="1">
      <c r="A32" s="1201" t="s">
        <v>543</v>
      </c>
      <c r="B32" s="1202" t="str">
        <f ca="1">'预评函-2'!D14</f>
        <v>柒拾贰亿壹仟柒佰零贰万元整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北京市通州区宋庄镇尹各庄村新建科研用地房地产</v>
      </c>
    </row>
    <row r="42" spans="1:2" s="1203" customFormat="1">
      <c r="A42" s="1201" t="s">
        <v>590</v>
      </c>
      <c r="B42" s="1202" t="str">
        <f>'预评函-3'!B2</f>
        <v>建筑面积</v>
      </c>
    </row>
    <row r="43" spans="1:2" s="1203" customFormat="1">
      <c r="A43" s="1201" t="s">
        <v>591</v>
      </c>
      <c r="B43" s="1202">
        <f>'预评函-3'!B4</f>
        <v>292137.36</v>
      </c>
    </row>
    <row r="44" spans="1:2" s="1203" customFormat="1">
      <c r="A44" s="1201" t="s">
        <v>575</v>
      </c>
      <c r="B44" s="1202" t="str">
        <f>'预评函-3'!C2</f>
        <v>(分摊)土地面积</v>
      </c>
    </row>
    <row r="45" spans="1:2" s="1203" customFormat="1">
      <c r="A45" s="1201" t="s">
        <v>547</v>
      </c>
      <c r="B45" s="1202">
        <f>'预评函-3'!C4</f>
        <v>95778.03</v>
      </c>
    </row>
    <row r="46" spans="1:2" s="1203" customFormat="1">
      <c r="A46" s="1201" t="s">
        <v>573</v>
      </c>
      <c r="B46" s="1202" t="str">
        <f>'预评函-3'!D2</f>
        <v>出让国有建设用地使用权价值</v>
      </c>
    </row>
    <row r="47" spans="1:2" s="1203" customFormat="1">
      <c r="A47" s="1201" t="s">
        <v>548</v>
      </c>
      <c r="B47" s="1202">
        <f ca="1">'预评函-3'!D4</f>
        <v>171765</v>
      </c>
    </row>
    <row r="48" spans="1:2" s="1203" customFormat="1">
      <c r="A48" s="1201" t="s">
        <v>549</v>
      </c>
      <c r="B48" s="1202">
        <f ca="1">'预评函-3'!E4</f>
        <v>5879</v>
      </c>
    </row>
    <row r="49" spans="1:2" s="1203" customFormat="1">
      <c r="A49" s="1201" t="s">
        <v>550</v>
      </c>
      <c r="B49" s="1202" t="str">
        <f ca="1">'预评函-3'!D5</f>
        <v>壹拾柒亿壹仟柒佰陆拾伍万元整</v>
      </c>
    </row>
    <row r="50" spans="1:2" s="1203" customFormat="1">
      <c r="A50" s="1201" t="s">
        <v>574</v>
      </c>
      <c r="B50" s="1202" t="str">
        <f>'预评函-3'!F2</f>
        <v>在建建筑物价值</v>
      </c>
    </row>
    <row r="51" spans="1:2" s="1203" customFormat="1">
      <c r="A51" s="1201" t="s">
        <v>551</v>
      </c>
      <c r="B51" s="1202">
        <f ca="1">'预评函-3'!F4</f>
        <v>549937</v>
      </c>
    </row>
    <row r="52" spans="1:2" s="1203" customFormat="1">
      <c r="A52" s="1201" t="s">
        <v>552</v>
      </c>
      <c r="B52" s="1202">
        <f ca="1">'预评函-3'!G4</f>
        <v>18825</v>
      </c>
    </row>
    <row r="53" spans="1:2" s="1203" customFormat="1">
      <c r="A53" s="1201" t="s">
        <v>580</v>
      </c>
      <c r="B53" s="1202" t="str">
        <f ca="1">'预评函-3'!F5</f>
        <v>伍拾肆亿玖仟玖佰叁拾柒万元整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2578</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2579</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3420</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4" t="s">
        <v>385</v>
      </c>
      <c r="C54" s="1551" t="s">
        <v>583</v>
      </c>
    </row>
    <row r="55" spans="1:4">
      <c r="A55" s="3543"/>
      <c r="B55" s="1554" t="s">
        <v>386</v>
      </c>
      <c r="C55" s="1551" t="s">
        <v>584</v>
      </c>
    </row>
    <row r="56" spans="1:4">
      <c r="A56" s="3543"/>
      <c r="B56" s="1554" t="s">
        <v>387</v>
      </c>
      <c r="C56" s="1551" t="s">
        <v>588</v>
      </c>
    </row>
    <row r="57" spans="1:4">
      <c r="A57" s="354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44" t="s">
        <v>2581</v>
      </c>
      <c r="J2" s="3544"/>
      <c r="K2" s="3544"/>
      <c r="L2" s="3544"/>
      <c r="M2" s="3544"/>
      <c r="N2" s="3544"/>
      <c r="O2" s="3544"/>
      <c r="P2" s="3544"/>
      <c r="Q2" s="3544"/>
      <c r="R2" s="3544"/>
    </row>
    <row r="3" spans="1:18">
      <c r="A3" s="3018" t="s">
        <v>2502</v>
      </c>
      <c r="B3" s="3019">
        <f>项目基本情况!D3</f>
        <v>45631</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2.0299999999999998</v>
      </c>
      <c r="D5" s="3023">
        <f>IF(ISERROR(ROUND(POWER(1+E5,A5-C5)*(POWER(1+E5,C5)-1)/(POWER(1+E5,A5)-1),3)),0,ROUND(POWER(1+E5,A5-C5)*(POWER(1+E5,C5)-1)/(POWER(1+E5,A5)-1),4))</f>
        <v>9.6699999999999994E-2</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12.04</v>
      </c>
      <c r="D6" s="3023">
        <f>IF(ISERROR(ROUND(POWER(1+E6,A6-C6)*(POWER(1+E6,C6)-1)/(POWER(1+E6,A6)-1),3)),0,ROUND(POWER(1+E6,A6-C6)*(POWER(1+E6,C6)-1)/(POWER(1+E6,A6)-1),4))</f>
        <v>0.438</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32.06</v>
      </c>
      <c r="D7" s="3023">
        <f>IF(ISERROR(ROUND(POWER(1+E7,A7-C7)*(POWER(1+E7,C7)-1)/(POWER(1+E7,A7)-1),3)),0,ROUND(POWER(1+E7,A7-C7)*(POWER(1+E7,C7)-1)/(POWER(1+E7,A7)-1),4))</f>
        <v>0.76470000000000005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45"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546"/>
      <c r="D1" s="3546"/>
      <c r="E1" s="3546"/>
      <c r="F1" s="3546"/>
      <c r="G1" s="3546"/>
      <c r="H1" s="3546"/>
      <c r="I1" s="354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745"/>
      <c r="U1" s="1745"/>
      <c r="V1" s="1745"/>
      <c r="W1" s="1745"/>
      <c r="X1" s="1745"/>
      <c r="Y1" s="1745"/>
      <c r="Z1" s="1745"/>
      <c r="AA1" s="1745"/>
      <c r="AB1" s="1745"/>
    </row>
    <row r="2" spans="1:30">
      <c r="A2" s="2367" t="s">
        <v>2168</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北京市通州区宋庄镇尹各庄村新建科研用地房地产</v>
      </c>
      <c r="T2" s="1745"/>
      <c r="U2" s="1745"/>
      <c r="V2" s="1745"/>
      <c r="W2" s="1745"/>
      <c r="X2" s="1745"/>
      <c r="Y2" s="1745"/>
      <c r="Z2" s="1745"/>
      <c r="AA2" s="1745"/>
      <c r="AB2" s="1745"/>
    </row>
    <row r="3" spans="1:30">
      <c r="A3" s="302" t="s">
        <v>2169</v>
      </c>
      <c r="B3" s="2373">
        <v>45631</v>
      </c>
      <c r="C3" s="2374" t="s">
        <v>2170</v>
      </c>
      <c r="D3" s="2373">
        <f>B3</f>
        <v>45631</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3388</v>
      </c>
      <c r="C8" s="2390"/>
      <c r="D8" s="3548" t="s">
        <v>2176</v>
      </c>
      <c r="E8" s="2391" t="s">
        <v>3389</v>
      </c>
      <c r="F8" s="2392"/>
      <c r="G8" s="2662"/>
      <c r="H8" s="2662"/>
      <c r="I8" s="2662"/>
      <c r="J8" s="2438"/>
      <c r="K8" s="2613"/>
      <c r="L8" s="2612"/>
      <c r="M8" s="2612"/>
      <c r="N8" s="2438"/>
      <c r="O8" s="2449"/>
      <c r="P8" s="2438"/>
      <c r="Q8" s="2438"/>
      <c r="R8" s="2438"/>
    </row>
    <row r="9" spans="1:30" ht="13.5" thickBot="1">
      <c r="A9" s="2393" t="s">
        <v>2177</v>
      </c>
      <c r="B9" s="2394" t="s">
        <v>3389</v>
      </c>
      <c r="C9" s="2395"/>
      <c r="D9" s="3549"/>
      <c r="E9" s="2394" t="s">
        <v>43</v>
      </c>
      <c r="F9" s="2396"/>
      <c r="G9" s="2664"/>
      <c r="H9" s="2664"/>
      <c r="I9" s="2664"/>
      <c r="J9" s="2438"/>
      <c r="K9" s="2615"/>
      <c r="L9" s="2612"/>
      <c r="M9" s="2612"/>
      <c r="N9" s="2438"/>
      <c r="O9" s="2449"/>
      <c r="P9" s="2438"/>
      <c r="Q9" s="2438"/>
      <c r="R9" s="2438"/>
    </row>
    <row r="10" spans="1:30" ht="13.5" thickTop="1">
      <c r="A10" s="2397" t="s">
        <v>2178</v>
      </c>
      <c r="B10" s="2398" t="s">
        <v>3390</v>
      </c>
      <c r="C10" s="2399"/>
      <c r="D10" s="2382"/>
      <c r="E10" s="2400" t="s">
        <v>2179</v>
      </c>
      <c r="F10" s="3448" t="s">
        <v>3522</v>
      </c>
      <c r="G10" s="2665"/>
      <c r="H10" s="2666"/>
      <c r="I10" s="2667"/>
      <c r="J10" s="2438"/>
      <c r="K10" s="2615"/>
      <c r="L10" s="2612"/>
      <c r="M10" s="2612"/>
      <c r="N10" s="2438"/>
      <c r="O10" s="2449"/>
      <c r="P10" s="2438"/>
      <c r="Q10" s="2438"/>
      <c r="R10" s="2438"/>
    </row>
    <row r="11" spans="1:30">
      <c r="A11" s="2401" t="s">
        <v>2180</v>
      </c>
      <c r="B11" s="2402" t="s">
        <v>3391</v>
      </c>
      <c r="C11" s="3447" t="s">
        <v>3392</v>
      </c>
      <c r="D11" s="2403"/>
      <c r="E11" s="2370"/>
      <c r="F11" s="2370"/>
      <c r="G11" s="2370"/>
      <c r="H11" s="2370"/>
      <c r="I11" s="2370"/>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2577</v>
      </c>
      <c r="J12" s="3060"/>
      <c r="K12" s="2612"/>
      <c r="L12" s="2612"/>
      <c r="M12" s="2438"/>
      <c r="N12" s="2449"/>
      <c r="O12" s="2438"/>
      <c r="P12" s="2438"/>
      <c r="Q12" s="2438"/>
      <c r="AD12" s="1745"/>
    </row>
    <row r="13" spans="1:30">
      <c r="A13" s="3421" t="s">
        <v>3332</v>
      </c>
      <c r="B13" s="2406" t="s">
        <v>2189</v>
      </c>
      <c r="C13" s="856"/>
      <c r="D13" s="856"/>
      <c r="E13" s="856"/>
      <c r="F13" s="856">
        <f>I13</f>
        <v>59165</v>
      </c>
      <c r="G13" s="856"/>
      <c r="H13" s="856"/>
      <c r="I13" s="856">
        <v>59165</v>
      </c>
      <c r="J13" s="3060"/>
      <c r="K13" s="2612"/>
      <c r="L13" s="2612"/>
      <c r="M13" s="2438"/>
      <c r="N13" s="2449"/>
      <c r="O13" s="2438"/>
      <c r="P13" s="2438"/>
      <c r="Q13" s="2438"/>
      <c r="AD13" s="1745"/>
    </row>
    <row r="14" spans="1:30">
      <c r="A14" s="1081"/>
      <c r="B14" s="2406" t="s">
        <v>2190</v>
      </c>
      <c r="C14" s="2407"/>
      <c r="D14" s="2407"/>
      <c r="E14" s="2407"/>
      <c r="F14" s="2407">
        <v>50</v>
      </c>
      <c r="G14" s="2407"/>
      <c r="H14" s="2407"/>
      <c r="I14" s="2407">
        <v>50</v>
      </c>
      <c r="J14" s="3061"/>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f>IF(A13="出让",IF(F13="","",ROUNDDOWN(MIN((F13-$D$3)/365,F14),2)),F14)</f>
        <v>37.07</v>
      </c>
      <c r="G15" s="2409" t="str">
        <f>IF(A13="出让",IF(G13="","",ROUNDDOWN(MIN((G13-$D$3)/365,G14),2)),G14)</f>
        <v/>
      </c>
      <c r="H15" s="2409" t="str">
        <f>IF(A13="出让",IF(H13="","",ROUNDDOWN(MIN((H13-$D$3)/365,H14),2)),H14)</f>
        <v/>
      </c>
      <c r="I15" s="2409">
        <f>IF(A13="出让",IF(I13="","",ROUNDDOWN(MIN((I13-$D$3)/365,I14),2)),I14)</f>
        <v>37.07</v>
      </c>
      <c r="J15" s="3062"/>
      <c r="K15" s="2450"/>
      <c r="L15" s="2450"/>
      <c r="M15" s="2508"/>
      <c r="N15" s="2450"/>
      <c r="O15" s="2508"/>
      <c r="P15" s="2438"/>
      <c r="Q15" s="2438"/>
      <c r="AD15" s="1745"/>
    </row>
    <row r="16" spans="1:30">
      <c r="A16" s="2400" t="s">
        <v>2192</v>
      </c>
      <c r="B16" s="3555"/>
      <c r="C16" s="3556"/>
      <c r="D16" s="3557"/>
      <c r="E16" s="2412" t="s">
        <v>2193</v>
      </c>
      <c r="F16" s="3558"/>
      <c r="G16" s="3559"/>
      <c r="H16" s="3559"/>
      <c r="I16" s="3560"/>
      <c r="J16" s="2438"/>
      <c r="K16" s="2616"/>
      <c r="L16" s="2450"/>
      <c r="M16" s="2450"/>
      <c r="N16" s="2508"/>
      <c r="O16" s="2450"/>
      <c r="P16" s="2508"/>
      <c r="Q16" s="2438"/>
      <c r="R16" s="2438"/>
    </row>
    <row r="17" spans="1:28">
      <c r="A17" s="313" t="s">
        <v>2194</v>
      </c>
      <c r="B17" s="302" t="s">
        <v>2195</v>
      </c>
      <c r="C17" s="8">
        <f>'数据-汇总表'!E3</f>
        <v>292137.36</v>
      </c>
      <c r="D17" s="2322" t="s">
        <v>2196</v>
      </c>
      <c r="E17" s="3561" t="s">
        <v>2197</v>
      </c>
      <c r="F17" s="3562"/>
      <c r="G17" s="3562"/>
      <c r="H17" s="3562"/>
      <c r="I17" s="3563"/>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95778.03</v>
      </c>
      <c r="D18" s="1092" t="s">
        <v>2200</v>
      </c>
      <c r="E18" s="3564" t="s">
        <v>2201</v>
      </c>
      <c r="F18" s="3565"/>
      <c r="G18" s="3565"/>
      <c r="H18" s="3565"/>
      <c r="I18" s="3566"/>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51" t="s">
        <v>2205</v>
      </c>
      <c r="C20" s="3552"/>
      <c r="D20" s="3553" t="s">
        <v>2206</v>
      </c>
      <c r="E20" s="3554"/>
      <c r="F20" s="2646" t="s">
        <v>1056</v>
      </c>
      <c r="G20" s="2663"/>
      <c r="H20" s="2663"/>
      <c r="I20" s="2663"/>
      <c r="J20" s="2438"/>
      <c r="K20" s="355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5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8"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8"/>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8"/>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9"/>
      <c r="B30" s="302" t="s">
        <v>2217</v>
      </c>
      <c r="C30" s="3570"/>
      <c r="D30" s="3571"/>
      <c r="E30" s="2663"/>
      <c r="F30" s="2663"/>
      <c r="G30" s="2663"/>
      <c r="H30" s="2663"/>
      <c r="I30" s="2663"/>
      <c r="J30" s="2438"/>
      <c r="K30" s="2615"/>
      <c r="L30" s="2612"/>
      <c r="M30" s="2612"/>
      <c r="N30" s="2438"/>
      <c r="O30" s="2449"/>
      <c r="P30" s="2438"/>
      <c r="Q30" s="2438"/>
      <c r="R30" s="2438"/>
      <c r="S30" s="2438"/>
      <c r="T30" s="2438"/>
      <c r="U30" s="2438"/>
      <c r="V30" s="2438"/>
    </row>
    <row r="31" spans="1:28">
      <c r="A31" s="3572"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7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7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67" t="s">
        <v>2227</v>
      </c>
      <c r="T34" s="2427" t="str">
        <f>NUMBERSTRING(7-K34,1)&amp;"通"</f>
        <v>七通</v>
      </c>
      <c r="U34" s="2438"/>
      <c r="V34" s="2438"/>
    </row>
    <row r="35" spans="1:30">
      <c r="A35" s="2428"/>
      <c r="B35" s="3574" t="s">
        <v>2228</v>
      </c>
      <c r="C35" s="3574"/>
      <c r="D35" s="3574"/>
      <c r="E35" s="357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7"/>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2580</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t="s">
        <v>3393</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133115.90400000001</v>
      </c>
      <c r="B3" s="11">
        <f>IF(C3="否",G5-AT5,G5)</f>
        <v>403045.81000000006</v>
      </c>
      <c r="C3" s="1580" t="s">
        <v>3416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95778.03</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6"/>
      <c r="AV5" s="12" t="s">
        <v>1070</v>
      </c>
      <c r="AW5" s="1347"/>
      <c r="AX5" s="1347"/>
      <c r="AY5" s="14" t="s">
        <v>2</v>
      </c>
      <c r="AZ5" s="15">
        <f t="shared" ref="AZ5:BT5" si="1">SUM(AZ13:AZ656)</f>
        <v>292137.36</v>
      </c>
      <c r="BA5" s="15">
        <f t="shared" si="1"/>
        <v>284547.17000000004</v>
      </c>
      <c r="BB5" s="15">
        <f t="shared" si="1"/>
        <v>212732.69</v>
      </c>
      <c r="BC5" s="15">
        <f t="shared" si="1"/>
        <v>32604.690000000002</v>
      </c>
      <c r="BD5" s="15">
        <f t="shared" si="1"/>
        <v>39209.79</v>
      </c>
      <c r="BE5" s="15">
        <f t="shared" si="1"/>
        <v>0</v>
      </c>
      <c r="BF5" s="15">
        <f t="shared" si="1"/>
        <v>0</v>
      </c>
      <c r="BG5" s="15">
        <f t="shared" si="1"/>
        <v>0</v>
      </c>
      <c r="BH5" s="15">
        <f t="shared" si="1"/>
        <v>0</v>
      </c>
      <c r="BI5" s="15">
        <f t="shared" si="1"/>
        <v>0</v>
      </c>
      <c r="BJ5" s="15">
        <f t="shared" si="1"/>
        <v>0</v>
      </c>
      <c r="BK5" s="15">
        <f t="shared" si="1"/>
        <v>0</v>
      </c>
      <c r="BL5" s="15">
        <f t="shared" si="1"/>
        <v>7590.1900000000005</v>
      </c>
      <c r="BM5" s="15">
        <f t="shared" si="1"/>
        <v>0</v>
      </c>
      <c r="BN5" s="15">
        <f t="shared" si="1"/>
        <v>0</v>
      </c>
      <c r="BO5" s="15">
        <f t="shared" si="1"/>
        <v>0</v>
      </c>
      <c r="BP5" s="15">
        <f t="shared" si="1"/>
        <v>0</v>
      </c>
      <c r="BQ5" s="15">
        <f t="shared" si="1"/>
        <v>4115.91</v>
      </c>
      <c r="BR5" s="15">
        <f t="shared" si="1"/>
        <v>3474.28</v>
      </c>
      <c r="BS5" s="15">
        <f t="shared" si="1"/>
        <v>0</v>
      </c>
      <c r="BT5" s="16">
        <f t="shared" si="1"/>
        <v>0</v>
      </c>
    </row>
    <row r="6" spans="1:72" s="1589" customFormat="1" ht="12.75">
      <c r="A6" s="12" t="s">
        <v>1071</v>
      </c>
      <c r="B6" s="1586"/>
      <c r="C6" s="1586"/>
      <c r="D6" s="1587"/>
      <c r="E6" s="13">
        <f>H6+AC6+AT6</f>
        <v>133115.91</v>
      </c>
      <c r="F6" s="13" t="s">
        <v>0</v>
      </c>
      <c r="G6" s="13" t="s">
        <v>1</v>
      </c>
      <c r="H6" s="17">
        <f>SUMIF(I$12:AB$12,"总值",I6:AB6)</f>
        <v>119851.99</v>
      </c>
      <c r="I6" s="13">
        <f t="shared" ref="I6:AB6" si="2">ROUND($A$3*I5/$B$3,2)</f>
        <v>93707.44</v>
      </c>
      <c r="J6" s="13">
        <f t="shared" si="2"/>
        <v>0</v>
      </c>
      <c r="K6" s="13">
        <f t="shared" si="2"/>
        <v>13194.54</v>
      </c>
      <c r="L6" s="13">
        <f t="shared" si="2"/>
        <v>0</v>
      </c>
      <c r="M6" s="13">
        <f t="shared" si="2"/>
        <v>12950.01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2918.33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1770.86</v>
      </c>
      <c r="AM6" s="13">
        <f t="shared" si="3"/>
        <v>0</v>
      </c>
      <c r="AN6" s="13">
        <f t="shared" si="3"/>
        <v>1147.47</v>
      </c>
      <c r="AO6" s="13">
        <f t="shared" si="3"/>
        <v>0</v>
      </c>
      <c r="AP6" s="13">
        <f t="shared" si="3"/>
        <v>0</v>
      </c>
      <c r="AQ6" s="13">
        <f t="shared" si="3"/>
        <v>0</v>
      </c>
      <c r="AR6" s="13">
        <f t="shared" si="3"/>
        <v>0</v>
      </c>
      <c r="AS6" s="13">
        <f t="shared" si="3"/>
        <v>0</v>
      </c>
      <c r="AT6" s="17">
        <f>IF(C3="是",ROUND($A$3*AT5/$B$3,2),0)</f>
        <v>10345.59</v>
      </c>
      <c r="AU6" s="1588"/>
      <c r="AV6" s="12" t="s">
        <v>1071</v>
      </c>
      <c r="AW6" s="1586"/>
      <c r="AX6" s="1586"/>
      <c r="AY6" s="18">
        <f>IF(AY3&gt;0,AY3,ROUND($A$3*AZ5/$B$3,2))</f>
        <v>95778.03</v>
      </c>
      <c r="AZ6" s="13" t="s">
        <v>2</v>
      </c>
      <c r="BA6" s="13">
        <f>ROUND($AY$6*BA5/$AZ$5,2)</f>
        <v>93289.57</v>
      </c>
      <c r="BB6" s="13">
        <f>ROUND($AY$6*BB5/$AZ$5,2)</f>
        <v>69744.990000000005</v>
      </c>
      <c r="BC6" s="13">
        <f t="shared" ref="BC6:BH6" si="4">ROUND($AY$6*BC5/$AZ$5,2)</f>
        <v>10689.54</v>
      </c>
      <c r="BD6" s="13">
        <f t="shared" si="4"/>
        <v>12855.04</v>
      </c>
      <c r="BE6" s="13">
        <f t="shared" si="4"/>
        <v>0</v>
      </c>
      <c r="BF6" s="13">
        <f t="shared" si="4"/>
        <v>0</v>
      </c>
      <c r="BG6" s="13">
        <f t="shared" si="4"/>
        <v>0</v>
      </c>
      <c r="BH6" s="13">
        <f t="shared" si="4"/>
        <v>0</v>
      </c>
      <c r="BI6" s="13">
        <f t="shared" ref="BI6:BT6" si="5">ROUND($AY$6*BI5/$AZ$5,2)</f>
        <v>0</v>
      </c>
      <c r="BJ6" s="13">
        <f t="shared" si="5"/>
        <v>0</v>
      </c>
      <c r="BK6" s="13">
        <f t="shared" si="5"/>
        <v>0</v>
      </c>
      <c r="BL6" s="13">
        <f t="shared" si="5"/>
        <v>2488.46</v>
      </c>
      <c r="BM6" s="13">
        <f t="shared" si="5"/>
        <v>0</v>
      </c>
      <c r="BN6" s="13">
        <f t="shared" si="5"/>
        <v>0</v>
      </c>
      <c r="BO6" s="13">
        <f t="shared" si="5"/>
        <v>0</v>
      </c>
      <c r="BP6" s="13">
        <f t="shared" si="5"/>
        <v>0</v>
      </c>
      <c r="BQ6" s="13">
        <f t="shared" si="5"/>
        <v>1349.41</v>
      </c>
      <c r="BR6" s="13">
        <f t="shared" si="5"/>
        <v>1139.05</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3418</v>
      </c>
      <c r="J9" s="809"/>
      <c r="K9" s="1603" t="s">
        <v>3421</v>
      </c>
      <c r="L9" s="809"/>
      <c r="M9" s="1603" t="s">
        <v>3421</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3422</v>
      </c>
      <c r="J10" s="809"/>
      <c r="K10" s="1609" t="s">
        <v>3422</v>
      </c>
      <c r="L10" s="809"/>
      <c r="M10" s="1609" t="s">
        <v>3333</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3419</v>
      </c>
      <c r="J11" s="1615"/>
      <c r="K11" s="1614" t="s">
        <v>3419</v>
      </c>
      <c r="L11" s="1615"/>
      <c r="M11" s="1614" t="s">
        <v>3333</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科研用房</v>
      </c>
      <c r="BC12" s="1624" t="str">
        <f>K11</f>
        <v>科研用房</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3394</v>
      </c>
      <c r="C13" s="1051" t="s">
        <v>3395</v>
      </c>
      <c r="D13" s="1625" t="s">
        <v>3416</v>
      </c>
      <c r="E13" s="13">
        <f>IF($C$3="是",ROUND($A$3*G13/$B$3,2),ROUND($A$3*(G13-AT13)/$B$3,2))</f>
        <v>6536.34</v>
      </c>
      <c r="F13" s="29"/>
      <c r="G13" s="30">
        <f>H13+AC13+AT13</f>
        <v>19790.61</v>
      </c>
      <c r="H13" s="17">
        <f>SUMIF(I$12:AB$12,"总值",I13:AB13)</f>
        <v>19495.690000000002</v>
      </c>
      <c r="I13" s="1626">
        <v>17658.11</v>
      </c>
      <c r="J13" s="1626"/>
      <c r="K13" s="1626">
        <v>1837.58</v>
      </c>
      <c r="L13" s="1626"/>
      <c r="M13" s="1626"/>
      <c r="N13" s="1626"/>
      <c r="O13" s="1626"/>
      <c r="P13" s="1626"/>
      <c r="Q13" s="1626"/>
      <c r="R13" s="1626"/>
      <c r="S13" s="1626"/>
      <c r="T13" s="1626"/>
      <c r="U13" s="1626"/>
      <c r="V13" s="1626"/>
      <c r="W13" s="1626"/>
      <c r="X13" s="1626"/>
      <c r="Y13" s="1626"/>
      <c r="Z13" s="1626"/>
      <c r="AA13" s="1626"/>
      <c r="AB13" s="1626"/>
      <c r="AC13" s="13">
        <f>SUMIF(AD$12:AS$12,"总值",AD13:AS13)</f>
        <v>294.92</v>
      </c>
      <c r="AD13" s="1627"/>
      <c r="AE13" s="1627"/>
      <c r="AF13" s="1627"/>
      <c r="AG13" s="1627"/>
      <c r="AH13" s="1627"/>
      <c r="AI13" s="1627"/>
      <c r="AJ13" s="1627"/>
      <c r="AK13" s="1627"/>
      <c r="AL13" s="1627">
        <v>294.92</v>
      </c>
      <c r="AM13" s="1627"/>
      <c r="AN13" s="1627"/>
      <c r="AO13" s="1627"/>
      <c r="AP13" s="1627"/>
      <c r="AQ13" s="1627"/>
      <c r="AR13" s="1627"/>
      <c r="AS13" s="1627"/>
      <c r="AT13" s="1628"/>
      <c r="AU13" s="1629"/>
      <c r="AV13" s="8">
        <f t="shared" ref="AV13:AX17" si="6">A13</f>
        <v>0</v>
      </c>
      <c r="AW13" s="8" t="str">
        <f t="shared" si="6"/>
        <v>现房</v>
      </c>
      <c r="AX13" s="8" t="str">
        <f t="shared" si="6"/>
        <v>1#</v>
      </c>
      <c r="AY13" s="1349">
        <f>ROUND($AY$6*AZ13/$AZ$5,2)</f>
        <v>6488.41</v>
      </c>
      <c r="AZ13" s="13">
        <f>BA13+BL13</f>
        <v>19790.61</v>
      </c>
      <c r="BA13" s="13">
        <f>SUM(BB13:BK13)</f>
        <v>19495.690000000002</v>
      </c>
      <c r="BB13" s="13">
        <f>IF($D13="是",I13-J13,0)</f>
        <v>17658.11</v>
      </c>
      <c r="BC13" s="13">
        <f>IF($D13="是",K13-L13,0)</f>
        <v>1837.58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294.92</v>
      </c>
      <c r="BM13" s="13">
        <f>IF($D13="是",AD13-AE13,0)</f>
        <v>0</v>
      </c>
      <c r="BN13" s="13">
        <f>IF($D13="是",AF13-AG13,0)</f>
        <v>0</v>
      </c>
      <c r="BO13" s="13">
        <f>IF($D13="是",AH13-AI13,0)</f>
        <v>0</v>
      </c>
      <c r="BP13" s="13">
        <f>IF($D13="是",AJ13-AK13,0)</f>
        <v>0</v>
      </c>
      <c r="BQ13" s="13">
        <f>IF($D13="是",AL13-AM13,0)</f>
        <v>294.92</v>
      </c>
      <c r="BR13" s="13">
        <f>IF($D13="是",AN13-AO13,0)</f>
        <v>0</v>
      </c>
      <c r="BS13" s="13">
        <f>IF($D13="是",AP13-AQ13,0)</f>
        <v>0</v>
      </c>
      <c r="BT13" s="19">
        <f>IF($D13="是",AR13-AS13,0)</f>
        <v>0</v>
      </c>
    </row>
    <row r="14" spans="1:72" s="1579" customFormat="1" ht="12.75">
      <c r="A14" s="1051"/>
      <c r="B14" s="1051" t="s">
        <v>3394</v>
      </c>
      <c r="C14" s="1570" t="s">
        <v>3396</v>
      </c>
      <c r="D14" s="1625" t="s">
        <v>3416</v>
      </c>
      <c r="E14" s="13">
        <f>IF($C$3="是",ROUND($A$3*G14/$B$3,2),ROUND($A$3*(G14-AT14)/$B$3,2))</f>
        <v>6534.68</v>
      </c>
      <c r="F14" s="29"/>
      <c r="G14" s="30">
        <f>H14+AC14+AT14</f>
        <v>19785.59</v>
      </c>
      <c r="H14" s="17">
        <f>SUMIF(I$12:AB$12,"总值",I14:AB14)</f>
        <v>19490.670000000002</v>
      </c>
      <c r="I14" s="1626">
        <v>17658.11</v>
      </c>
      <c r="J14" s="1626"/>
      <c r="K14" s="1626">
        <v>1832.56</v>
      </c>
      <c r="L14" s="1626"/>
      <c r="M14" s="1626"/>
      <c r="N14" s="1626"/>
      <c r="O14" s="1626"/>
      <c r="P14" s="1626"/>
      <c r="Q14" s="1626"/>
      <c r="R14" s="1626"/>
      <c r="S14" s="1626"/>
      <c r="T14" s="1626"/>
      <c r="U14" s="1626"/>
      <c r="V14" s="1626"/>
      <c r="W14" s="1626"/>
      <c r="X14" s="1626"/>
      <c r="Y14" s="1626"/>
      <c r="Z14" s="1626"/>
      <c r="AA14" s="1626"/>
      <c r="AB14" s="1626"/>
      <c r="AC14" s="13">
        <f>SUMIF(AD$12:AS$12,"总值",AD14:AS14)</f>
        <v>294.92</v>
      </c>
      <c r="AD14" s="1627"/>
      <c r="AE14" s="1627"/>
      <c r="AF14" s="1627"/>
      <c r="AG14" s="1627"/>
      <c r="AH14" s="1627"/>
      <c r="AI14" s="1627"/>
      <c r="AJ14" s="1627"/>
      <c r="AK14" s="1627"/>
      <c r="AL14" s="1627">
        <v>294.92</v>
      </c>
      <c r="AM14" s="1627"/>
      <c r="AN14" s="1627"/>
      <c r="AO14" s="1627"/>
      <c r="AP14" s="1627"/>
      <c r="AQ14" s="1627"/>
      <c r="AR14" s="1627"/>
      <c r="AS14" s="1627"/>
      <c r="AT14" s="1628"/>
      <c r="AU14" s="1629"/>
      <c r="AV14" s="8">
        <f t="shared" si="6"/>
        <v>0</v>
      </c>
      <c r="AW14" s="8" t="str">
        <f t="shared" si="6"/>
        <v>现房</v>
      </c>
      <c r="AX14" s="8" t="str">
        <f t="shared" si="6"/>
        <v>2#</v>
      </c>
      <c r="AY14" s="1349">
        <f>ROUND($AY$6*AZ14/$AZ$5,2)</f>
        <v>6486.76</v>
      </c>
      <c r="AZ14" s="13">
        <f>BA14+BL14</f>
        <v>19785.59</v>
      </c>
      <c r="BA14" s="13">
        <f>SUM(BB14:BK14)</f>
        <v>19490.670000000002</v>
      </c>
      <c r="BB14" s="13">
        <f>IF($D14="是",I14-J14,0)</f>
        <v>17658.11</v>
      </c>
      <c r="BC14" s="13">
        <f>IF($D14="是",K14-L14,0)</f>
        <v>1832.56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294.92</v>
      </c>
      <c r="BM14" s="13">
        <f>IF($D14="是",AD14-AE14,0)</f>
        <v>0</v>
      </c>
      <c r="BN14" s="13">
        <f>IF($D14="是",AF14-AG14,0)</f>
        <v>0</v>
      </c>
      <c r="BO14" s="13">
        <f>IF($D14="是",AH14-AI14,0)</f>
        <v>0</v>
      </c>
      <c r="BP14" s="13">
        <f>IF($D14="是",AJ14-AK14,0)</f>
        <v>0</v>
      </c>
      <c r="BQ14" s="13">
        <f>IF($D14="是",AL14-AM14,0)</f>
        <v>294.92</v>
      </c>
      <c r="BR14" s="13">
        <f>IF($D14="是",AN14-AO14,0)</f>
        <v>0</v>
      </c>
      <c r="BS14" s="13">
        <f>IF($D14="是",AP14-AQ14,0)</f>
        <v>0</v>
      </c>
      <c r="BT14" s="19">
        <f>IF($D14="是",AR14-AS14,0)</f>
        <v>0</v>
      </c>
    </row>
    <row r="15" spans="1:72" s="1579" customFormat="1" ht="12.75">
      <c r="A15" s="1051"/>
      <c r="B15" s="1051" t="s">
        <v>3394</v>
      </c>
      <c r="C15" s="1570" t="s">
        <v>3397</v>
      </c>
      <c r="D15" s="1625" t="s">
        <v>3416</v>
      </c>
      <c r="E15" s="13">
        <f>IF($C$3="是",ROUND($A$3*G15/$B$3,2),ROUND($A$3*(G15-AT15)/$B$3,2))</f>
        <v>6537.86</v>
      </c>
      <c r="F15" s="29"/>
      <c r="G15" s="30">
        <f>H15+AC15+AT15</f>
        <v>19795.21</v>
      </c>
      <c r="H15" s="17">
        <f>SUMIF(I$12:AB$12,"总值",I15:AB15)</f>
        <v>19500.29</v>
      </c>
      <c r="I15" s="1626">
        <v>17658.11</v>
      </c>
      <c r="J15" s="1626"/>
      <c r="K15" s="1626">
        <v>1842.18</v>
      </c>
      <c r="L15" s="1626"/>
      <c r="M15" s="1626"/>
      <c r="N15" s="1626"/>
      <c r="O15" s="1626"/>
      <c r="P15" s="1626"/>
      <c r="Q15" s="1626"/>
      <c r="R15" s="1626"/>
      <c r="S15" s="1626"/>
      <c r="T15" s="1626"/>
      <c r="U15" s="1626"/>
      <c r="V15" s="1626"/>
      <c r="W15" s="1626"/>
      <c r="X15" s="1626"/>
      <c r="Y15" s="1626"/>
      <c r="Z15" s="1626"/>
      <c r="AA15" s="1626"/>
      <c r="AB15" s="1626"/>
      <c r="AC15" s="13">
        <f>SUMIF(AD$12:AS$12,"总值",AD15:AS15)</f>
        <v>294.92</v>
      </c>
      <c r="AD15" s="1627"/>
      <c r="AE15" s="1627"/>
      <c r="AF15" s="1627"/>
      <c r="AG15" s="1627"/>
      <c r="AH15" s="1627"/>
      <c r="AI15" s="1627"/>
      <c r="AJ15" s="1627"/>
      <c r="AK15" s="1627"/>
      <c r="AL15" s="1627">
        <v>294.92</v>
      </c>
      <c r="AM15" s="1627"/>
      <c r="AN15" s="1627"/>
      <c r="AO15" s="1627"/>
      <c r="AP15" s="1627"/>
      <c r="AQ15" s="1627"/>
      <c r="AR15" s="1627"/>
      <c r="AS15" s="1627"/>
      <c r="AT15" s="1628"/>
      <c r="AU15" s="1629"/>
      <c r="AV15" s="8">
        <f t="shared" si="6"/>
        <v>0</v>
      </c>
      <c r="AW15" s="8" t="str">
        <f t="shared" si="6"/>
        <v>现房</v>
      </c>
      <c r="AX15" s="8" t="str">
        <f t="shared" si="6"/>
        <v>3#</v>
      </c>
      <c r="AY15" s="1349">
        <f>ROUND($AY$6*AZ15/$AZ$5,2)</f>
        <v>6489.91</v>
      </c>
      <c r="AZ15" s="13">
        <f>BA15+BL15</f>
        <v>19795.21</v>
      </c>
      <c r="BA15" s="13">
        <f>SUM(BB15:BK15)</f>
        <v>19500.29</v>
      </c>
      <c r="BB15" s="13">
        <f>IF($D15="是",I15-J15,0)</f>
        <v>17658.11</v>
      </c>
      <c r="BC15" s="13">
        <f>IF($D15="是",K15-L15,0)</f>
        <v>1842.18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294.92</v>
      </c>
      <c r="BM15" s="13">
        <f>IF($D15="是",AD15-AE15,0)</f>
        <v>0</v>
      </c>
      <c r="BN15" s="13">
        <f>IF($D15="是",AF15-AG15,0)</f>
        <v>0</v>
      </c>
      <c r="BO15" s="13">
        <f>IF($D15="是",AH15-AI15,0)</f>
        <v>0</v>
      </c>
      <c r="BP15" s="13">
        <f>IF($D15="是",AJ15-AK15,0)</f>
        <v>0</v>
      </c>
      <c r="BQ15" s="13">
        <f>IF($D15="是",AL15-AM15,0)</f>
        <v>294.92</v>
      </c>
      <c r="BR15" s="13">
        <f>IF($D15="是",AN15-AO15,0)</f>
        <v>0</v>
      </c>
      <c r="BS15" s="13">
        <f>IF($D15="是",AP15-AQ15,0)</f>
        <v>0</v>
      </c>
      <c r="BT15" s="19">
        <f>IF($D15="是",AR15-AS15,0)</f>
        <v>0</v>
      </c>
    </row>
    <row r="16" spans="1:72" s="1579" customFormat="1" ht="12.75">
      <c r="A16" s="1051"/>
      <c r="B16" s="1051" t="s">
        <v>3394</v>
      </c>
      <c r="C16" s="1570" t="s">
        <v>3398</v>
      </c>
      <c r="D16" s="1625" t="s">
        <v>3416</v>
      </c>
      <c r="E16" s="13">
        <f>IF($C$3="是",ROUND($A$3*G16/$B$3,2),ROUND($A$3*(G16-AT16)/$B$3,2))</f>
        <v>4434.99</v>
      </c>
      <c r="F16" s="29"/>
      <c r="G16" s="30">
        <f>H16+AC16+AT16</f>
        <v>13428.19</v>
      </c>
      <c r="H16" s="17">
        <f>SUMIF(I$12:AB$12,"总值",I16:AB16)</f>
        <v>13135.75</v>
      </c>
      <c r="I16" s="1626">
        <v>11307.49</v>
      </c>
      <c r="J16" s="1626"/>
      <c r="K16" s="1626">
        <v>1828.26</v>
      </c>
      <c r="L16" s="1626"/>
      <c r="M16" s="1626"/>
      <c r="N16" s="1626"/>
      <c r="O16" s="1626"/>
      <c r="P16" s="1626"/>
      <c r="Q16" s="1626"/>
      <c r="R16" s="1626"/>
      <c r="S16" s="1626"/>
      <c r="T16" s="1626"/>
      <c r="U16" s="1626"/>
      <c r="V16" s="1626"/>
      <c r="W16" s="1626"/>
      <c r="X16" s="1626"/>
      <c r="Y16" s="1626"/>
      <c r="Z16" s="1626"/>
      <c r="AA16" s="1626"/>
      <c r="AB16" s="1626"/>
      <c r="AC16" s="13">
        <f>SUMIF(AD$12:AS$12,"总值",AD16:AS16)</f>
        <v>292.44</v>
      </c>
      <c r="AD16" s="1627"/>
      <c r="AE16" s="1627"/>
      <c r="AF16" s="1627"/>
      <c r="AG16" s="1627"/>
      <c r="AH16" s="1627"/>
      <c r="AI16" s="1627"/>
      <c r="AJ16" s="1627"/>
      <c r="AK16" s="1627"/>
      <c r="AL16" s="1627">
        <v>292.44</v>
      </c>
      <c r="AM16" s="1627"/>
      <c r="AN16" s="1627"/>
      <c r="AO16" s="1627"/>
      <c r="AP16" s="1627"/>
      <c r="AQ16" s="1627"/>
      <c r="AR16" s="1627"/>
      <c r="AS16" s="1627"/>
      <c r="AT16" s="1628"/>
      <c r="AU16" s="1629"/>
      <c r="AV16" s="8">
        <f t="shared" si="6"/>
        <v>0</v>
      </c>
      <c r="AW16" s="8" t="str">
        <f t="shared" si="6"/>
        <v>现房</v>
      </c>
      <c r="AX16" s="8" t="str">
        <f t="shared" si="6"/>
        <v>4#</v>
      </c>
      <c r="AY16" s="1349">
        <f>ROUND($AY$6*AZ16/$AZ$5,2)</f>
        <v>4402.47</v>
      </c>
      <c r="AZ16" s="13">
        <f>BA16+BL16</f>
        <v>13428.19</v>
      </c>
      <c r="BA16" s="13">
        <f>SUM(BB16:BK16)</f>
        <v>13135.75</v>
      </c>
      <c r="BB16" s="13">
        <f>IF($D16="是",I16-J16,0)</f>
        <v>11307.49</v>
      </c>
      <c r="BC16" s="13">
        <f>IF($D16="是",K16-L16,0)</f>
        <v>1828.26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292.44</v>
      </c>
      <c r="BM16" s="13">
        <f>IF($D16="是",AD16-AE16,0)</f>
        <v>0</v>
      </c>
      <c r="BN16" s="13">
        <f>IF($D16="是",AF16-AG16,0)</f>
        <v>0</v>
      </c>
      <c r="BO16" s="13">
        <f>IF($D16="是",AH16-AI16,0)</f>
        <v>0</v>
      </c>
      <c r="BP16" s="13">
        <f>IF($D16="是",AJ16-AK16,0)</f>
        <v>0</v>
      </c>
      <c r="BQ16" s="13">
        <f>IF($D16="是",AL16-AM16,0)</f>
        <v>292.44</v>
      </c>
      <c r="BR16" s="13">
        <f>IF($D16="是",AN16-AO16,0)</f>
        <v>0</v>
      </c>
      <c r="BS16" s="13">
        <f>IF($D16="是",AP16-AQ16,0)</f>
        <v>0</v>
      </c>
      <c r="BT16" s="19">
        <f>IF($D16="是",AR16-AS16,0)</f>
        <v>0</v>
      </c>
    </row>
    <row r="17" spans="1:72" s="1579" customFormat="1" ht="12.75">
      <c r="A17" s="1051"/>
      <c r="B17" s="1051" t="s">
        <v>3394</v>
      </c>
      <c r="C17" s="1570" t="s">
        <v>3399</v>
      </c>
      <c r="D17" s="1625" t="s">
        <v>3416</v>
      </c>
      <c r="E17" s="13">
        <f>IF($C$3="是",ROUND($A$3*G17/$B$3,2),ROUND($A$3*(G17-AT17)/$B$3,2))</f>
        <v>6534.25</v>
      </c>
      <c r="F17" s="29"/>
      <c r="G17" s="30">
        <f>H17+AC17+AT17</f>
        <v>19784.27</v>
      </c>
      <c r="H17" s="17">
        <f>SUMIF(I$12:AB$12,"总值",I17:AB17)</f>
        <v>19489.350000000002</v>
      </c>
      <c r="I17" s="1626">
        <v>17658.11</v>
      </c>
      <c r="J17" s="1626"/>
      <c r="K17" s="1626">
        <v>1831.24</v>
      </c>
      <c r="L17" s="1626"/>
      <c r="M17" s="1626"/>
      <c r="N17" s="1626"/>
      <c r="O17" s="1626"/>
      <c r="P17" s="1626"/>
      <c r="Q17" s="1626"/>
      <c r="R17" s="1626"/>
      <c r="S17" s="1626"/>
      <c r="T17" s="1626"/>
      <c r="U17" s="1626"/>
      <c r="V17" s="1626"/>
      <c r="W17" s="1626"/>
      <c r="X17" s="1626"/>
      <c r="Y17" s="1626"/>
      <c r="Z17" s="1626"/>
      <c r="AA17" s="1626"/>
      <c r="AB17" s="1626"/>
      <c r="AC17" s="13">
        <f>SUMIF(AD$12:AS$12,"总值",AD17:AS17)</f>
        <v>294.92</v>
      </c>
      <c r="AD17" s="1627"/>
      <c r="AE17" s="1627"/>
      <c r="AF17" s="1627"/>
      <c r="AG17" s="1627"/>
      <c r="AH17" s="1627"/>
      <c r="AI17" s="1627"/>
      <c r="AJ17" s="1627"/>
      <c r="AK17" s="1627"/>
      <c r="AL17" s="1627">
        <v>294.92</v>
      </c>
      <c r="AM17" s="1627"/>
      <c r="AN17" s="1627"/>
      <c r="AO17" s="1627"/>
      <c r="AP17" s="1627"/>
      <c r="AQ17" s="1627"/>
      <c r="AR17" s="1627"/>
      <c r="AS17" s="1627"/>
      <c r="AT17" s="1628"/>
      <c r="AU17" s="1629"/>
      <c r="AV17" s="8">
        <f t="shared" si="6"/>
        <v>0</v>
      </c>
      <c r="AW17" s="8" t="str">
        <f t="shared" si="6"/>
        <v>现房</v>
      </c>
      <c r="AX17" s="8" t="str">
        <f t="shared" si="6"/>
        <v>5#</v>
      </c>
      <c r="AY17" s="1349">
        <f>ROUND($AY$6*AZ17/$AZ$5,2)</f>
        <v>6486.33</v>
      </c>
      <c r="AZ17" s="13">
        <f>BA17+BL17</f>
        <v>19784.27</v>
      </c>
      <c r="BA17" s="13">
        <f>SUM(BB17:BK17)</f>
        <v>19489.350000000002</v>
      </c>
      <c r="BB17" s="13">
        <f>IF($D17="是",I17-J17,0)</f>
        <v>17658.11</v>
      </c>
      <c r="BC17" s="13">
        <f>IF($D17="是",K17-L17,0)</f>
        <v>1831.24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294.92</v>
      </c>
      <c r="BM17" s="13">
        <f>IF($D17="是",AD17-AE17,0)</f>
        <v>0</v>
      </c>
      <c r="BN17" s="13">
        <f>IF($D17="是",AF17-AG17,0)</f>
        <v>0</v>
      </c>
      <c r="BO17" s="13">
        <f>IF($D17="是",AH17-AI17,0)</f>
        <v>0</v>
      </c>
      <c r="BP17" s="13">
        <f>IF($D17="是",AJ17-AK17,0)</f>
        <v>0</v>
      </c>
      <c r="BQ17" s="13">
        <f>IF($D17="是",AL17-AM17,0)</f>
        <v>294.92</v>
      </c>
      <c r="BR17" s="13">
        <f>IF($D17="是",AN17-AO17,0)</f>
        <v>0</v>
      </c>
      <c r="BS17" s="13">
        <f>IF($D17="是",AP17-AQ17,0)</f>
        <v>0</v>
      </c>
      <c r="BT17" s="19">
        <f>IF($D17="是",AR17-AS17,0)</f>
        <v>0</v>
      </c>
    </row>
    <row r="18" spans="1:72">
      <c r="A18" s="6"/>
      <c r="B18" s="3449" t="s">
        <v>3400</v>
      </c>
      <c r="C18" s="31" t="s">
        <v>3401</v>
      </c>
      <c r="D18" s="1630" t="s">
        <v>3417</v>
      </c>
      <c r="E18" s="32">
        <f t="shared" ref="E18:E112" si="7">IF($C$3="是",ROUND($A$3*G18/$B$3,2),ROUND($A$3*(G18-AT18)/$B$3,2))</f>
        <v>6535.31</v>
      </c>
      <c r="F18" s="33"/>
      <c r="G18" s="34">
        <f t="shared" ref="G18:G109" si="8">H18+AC18+AT18</f>
        <v>19787.48</v>
      </c>
      <c r="H18" s="35">
        <f t="shared" ref="H18:H109" si="9">SUMIF(I$12:AB$12,"总值",I18:AB18)</f>
        <v>19492.560000000001</v>
      </c>
      <c r="I18" s="36">
        <v>17658.11</v>
      </c>
      <c r="J18" s="36"/>
      <c r="K18" s="36">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37">
        <v>294.92</v>
      </c>
      <c r="AM18" s="37"/>
      <c r="AN18" s="37"/>
      <c r="AO18" s="37"/>
      <c r="AP18" s="37"/>
      <c r="AQ18" s="37"/>
      <c r="AR18" s="37"/>
      <c r="AS18" s="37"/>
      <c r="AT18" s="38"/>
      <c r="AU18" s="1631"/>
      <c r="AV18" s="1343">
        <f t="shared" ref="AV18:AV112" si="11">A18</f>
        <v>0</v>
      </c>
      <c r="AW18" s="1343" t="str">
        <f t="shared" ref="AW18:AW112" si="12">B18</f>
        <v>在建</v>
      </c>
      <c r="AX18" s="1343" t="str">
        <f t="shared" ref="AX18:AX112" si="13">C18</f>
        <v>6#</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t="s">
        <v>3394</v>
      </c>
      <c r="C19" s="31" t="s">
        <v>3402</v>
      </c>
      <c r="D19" s="1625" t="s">
        <v>3416</v>
      </c>
      <c r="E19" s="32">
        <f t="shared" si="7"/>
        <v>4647.8900000000003</v>
      </c>
      <c r="F19" s="33"/>
      <c r="G19" s="34">
        <f t="shared" si="8"/>
        <v>14072.79</v>
      </c>
      <c r="H19" s="35">
        <f t="shared" si="9"/>
        <v>13780.35</v>
      </c>
      <c r="I19" s="36">
        <v>11958.17</v>
      </c>
      <c r="J19" s="36"/>
      <c r="K19" s="36">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37">
        <v>292.44</v>
      </c>
      <c r="AM19" s="37"/>
      <c r="AN19" s="37"/>
      <c r="AO19" s="37"/>
      <c r="AP19" s="37"/>
      <c r="AQ19" s="37"/>
      <c r="AR19" s="37"/>
      <c r="AS19" s="37"/>
      <c r="AT19" s="38"/>
      <c r="AU19" s="1631"/>
      <c r="AV19" s="1343">
        <f t="shared" si="11"/>
        <v>0</v>
      </c>
      <c r="AW19" s="1343" t="str">
        <f t="shared" si="12"/>
        <v>现房</v>
      </c>
      <c r="AX19" s="1343" t="str">
        <f t="shared" si="13"/>
        <v>7#</v>
      </c>
      <c r="AY19" s="39">
        <f t="shared" si="14"/>
        <v>4613.8</v>
      </c>
      <c r="AZ19" s="32">
        <f t="shared" si="15"/>
        <v>14072.79</v>
      </c>
      <c r="BA19" s="32">
        <f t="shared" si="16"/>
        <v>13780.35</v>
      </c>
      <c r="BB19" s="32">
        <f t="shared" si="17"/>
        <v>11958.17</v>
      </c>
      <c r="BC19" s="32">
        <f t="shared" si="18"/>
        <v>1822.18</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292.44</v>
      </c>
      <c r="BM19" s="32">
        <f t="shared" si="28"/>
        <v>0</v>
      </c>
      <c r="BN19" s="32">
        <f t="shared" si="29"/>
        <v>0</v>
      </c>
      <c r="BO19" s="32">
        <f t="shared" si="30"/>
        <v>0</v>
      </c>
      <c r="BP19" s="32">
        <f t="shared" si="31"/>
        <v>0</v>
      </c>
      <c r="BQ19" s="32">
        <f t="shared" si="32"/>
        <v>292.44</v>
      </c>
      <c r="BR19" s="32">
        <f t="shared" si="33"/>
        <v>0</v>
      </c>
      <c r="BS19" s="32">
        <f t="shared" si="34"/>
        <v>0</v>
      </c>
      <c r="BT19" s="40">
        <f t="shared" si="35"/>
        <v>0</v>
      </c>
    </row>
    <row r="20" spans="1:72">
      <c r="A20" s="3450" t="s">
        <v>3415</v>
      </c>
      <c r="B20" s="3449" t="s">
        <v>3394</v>
      </c>
      <c r="C20" s="31" t="s">
        <v>3403</v>
      </c>
      <c r="D20" s="1625" t="s">
        <v>3417</v>
      </c>
      <c r="E20" s="32">
        <f t="shared" si="7"/>
        <v>6657.14</v>
      </c>
      <c r="F20" s="33"/>
      <c r="G20" s="34">
        <f t="shared" si="8"/>
        <v>20156.37</v>
      </c>
      <c r="H20" s="35">
        <f t="shared" si="9"/>
        <v>19861.53</v>
      </c>
      <c r="I20" s="36">
        <v>18018.59</v>
      </c>
      <c r="J20" s="36"/>
      <c r="K20" s="36">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37">
        <v>294.83999999999997</v>
      </c>
      <c r="AM20" s="37"/>
      <c r="AN20" s="37"/>
      <c r="AO20" s="37"/>
      <c r="AP20" s="37"/>
      <c r="AQ20" s="37"/>
      <c r="AR20" s="37"/>
      <c r="AS20" s="37"/>
      <c r="AT20" s="38"/>
      <c r="AU20" s="1631"/>
      <c r="AV20" s="1343" t="str">
        <f t="shared" si="11"/>
        <v>已售</v>
      </c>
      <c r="AW20" s="1343" t="str">
        <f t="shared" si="12"/>
        <v>现房</v>
      </c>
      <c r="AX20" s="1343"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t="s">
        <v>3394</v>
      </c>
      <c r="C21" s="31" t="s">
        <v>3404</v>
      </c>
      <c r="D21" s="1625" t="s">
        <v>3416</v>
      </c>
      <c r="E21" s="32">
        <f t="shared" si="7"/>
        <v>6535.95</v>
      </c>
      <c r="F21" s="33"/>
      <c r="G21" s="34">
        <f t="shared" si="8"/>
        <v>19789.43</v>
      </c>
      <c r="H21" s="35">
        <f t="shared" si="9"/>
        <v>19494.510000000002</v>
      </c>
      <c r="I21" s="36">
        <v>17658.11</v>
      </c>
      <c r="J21" s="36"/>
      <c r="K21" s="36">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37">
        <v>294.92</v>
      </c>
      <c r="AM21" s="37"/>
      <c r="AN21" s="37"/>
      <c r="AO21" s="37"/>
      <c r="AP21" s="37"/>
      <c r="AQ21" s="37"/>
      <c r="AR21" s="37"/>
      <c r="AS21" s="37"/>
      <c r="AT21" s="38"/>
      <c r="AU21" s="1631"/>
      <c r="AV21" s="1343">
        <f t="shared" si="11"/>
        <v>0</v>
      </c>
      <c r="AW21" s="1343" t="str">
        <f t="shared" si="12"/>
        <v>现房</v>
      </c>
      <c r="AX21" s="1343" t="str">
        <f t="shared" si="13"/>
        <v>9#</v>
      </c>
      <c r="AY21" s="39">
        <f t="shared" si="14"/>
        <v>6488.02</v>
      </c>
      <c r="AZ21" s="32">
        <f t="shared" si="15"/>
        <v>19789.43</v>
      </c>
      <c r="BA21" s="32">
        <f t="shared" si="16"/>
        <v>19494.510000000002</v>
      </c>
      <c r="BB21" s="32">
        <f t="shared" si="17"/>
        <v>17658.11</v>
      </c>
      <c r="BC21" s="32">
        <f t="shared" si="18"/>
        <v>1836.4</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294.92</v>
      </c>
      <c r="BM21" s="32">
        <f t="shared" si="28"/>
        <v>0</v>
      </c>
      <c r="BN21" s="32">
        <f t="shared" si="29"/>
        <v>0</v>
      </c>
      <c r="BO21" s="32">
        <f t="shared" si="30"/>
        <v>0</v>
      </c>
      <c r="BP21" s="32">
        <f t="shared" si="31"/>
        <v>0</v>
      </c>
      <c r="BQ21" s="32">
        <f t="shared" si="32"/>
        <v>294.92</v>
      </c>
      <c r="BR21" s="32">
        <f t="shared" si="33"/>
        <v>0</v>
      </c>
      <c r="BS21" s="32">
        <f t="shared" si="34"/>
        <v>0</v>
      </c>
      <c r="BT21" s="40">
        <f t="shared" si="35"/>
        <v>0</v>
      </c>
    </row>
    <row r="22" spans="1:72">
      <c r="A22" s="6"/>
      <c r="B22" s="3449" t="s">
        <v>3400</v>
      </c>
      <c r="C22" s="31" t="s">
        <v>3405</v>
      </c>
      <c r="D22" s="1630" t="s">
        <v>3417</v>
      </c>
      <c r="E22" s="32">
        <f t="shared" si="7"/>
        <v>6556.88</v>
      </c>
      <c r="F22" s="33"/>
      <c r="G22" s="34">
        <f t="shared" si="8"/>
        <v>19852.79</v>
      </c>
      <c r="H22" s="35">
        <f t="shared" si="9"/>
        <v>19491.59</v>
      </c>
      <c r="I22" s="36">
        <v>17658.11</v>
      </c>
      <c r="J22" s="36"/>
      <c r="K22" s="36">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37">
        <v>361.2</v>
      </c>
      <c r="AM22" s="37"/>
      <c r="AN22" s="37"/>
      <c r="AO22" s="37"/>
      <c r="AP22" s="37"/>
      <c r="AQ22" s="37"/>
      <c r="AR22" s="37"/>
      <c r="AS22" s="37"/>
      <c r="AT22" s="38"/>
      <c r="AU22" s="1631"/>
      <c r="AV22" s="1343">
        <f t="shared" si="11"/>
        <v>0</v>
      </c>
      <c r="AW22" s="1343" t="str">
        <f t="shared" si="12"/>
        <v>在建</v>
      </c>
      <c r="AX22" s="1343" t="str">
        <f t="shared" si="13"/>
        <v>10#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t="s">
        <v>3394</v>
      </c>
      <c r="C23" s="31" t="s">
        <v>3406</v>
      </c>
      <c r="D23" s="1625" t="s">
        <v>3416</v>
      </c>
      <c r="E23" s="32">
        <f t="shared" si="7"/>
        <v>6659.63</v>
      </c>
      <c r="F23" s="33"/>
      <c r="G23" s="34">
        <f t="shared" si="8"/>
        <v>20163.89</v>
      </c>
      <c r="H23" s="35">
        <f t="shared" si="9"/>
        <v>19866.98</v>
      </c>
      <c r="I23" s="36">
        <v>18018.59</v>
      </c>
      <c r="J23" s="36"/>
      <c r="K23" s="36">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37">
        <v>296.91000000000003</v>
      </c>
      <c r="AM23" s="37"/>
      <c r="AN23" s="37"/>
      <c r="AO23" s="37"/>
      <c r="AP23" s="37"/>
      <c r="AQ23" s="37"/>
      <c r="AR23" s="37"/>
      <c r="AS23" s="37"/>
      <c r="AT23" s="38"/>
      <c r="AU23" s="1631"/>
      <c r="AV23" s="1343">
        <f t="shared" si="11"/>
        <v>0</v>
      </c>
      <c r="AW23" s="1343" t="str">
        <f t="shared" si="12"/>
        <v>现房</v>
      </c>
      <c r="AX23" s="1343" t="str">
        <f t="shared" si="13"/>
        <v>11#</v>
      </c>
      <c r="AY23" s="39">
        <f t="shared" si="14"/>
        <v>6610.79</v>
      </c>
      <c r="AZ23" s="32">
        <f t="shared" si="15"/>
        <v>20163.89</v>
      </c>
      <c r="BA23" s="32">
        <f t="shared" si="16"/>
        <v>19866.98</v>
      </c>
      <c r="BB23" s="32">
        <f t="shared" si="17"/>
        <v>18018.59</v>
      </c>
      <c r="BC23" s="32">
        <f t="shared" si="18"/>
        <v>1848.39</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296.91000000000003</v>
      </c>
      <c r="BM23" s="32">
        <f t="shared" si="28"/>
        <v>0</v>
      </c>
      <c r="BN23" s="32">
        <f t="shared" si="29"/>
        <v>0</v>
      </c>
      <c r="BO23" s="32">
        <f t="shared" si="30"/>
        <v>0</v>
      </c>
      <c r="BP23" s="32">
        <f t="shared" si="31"/>
        <v>0</v>
      </c>
      <c r="BQ23" s="32">
        <f t="shared" si="32"/>
        <v>296.91000000000003</v>
      </c>
      <c r="BR23" s="32">
        <f t="shared" si="33"/>
        <v>0</v>
      </c>
      <c r="BS23" s="32">
        <f t="shared" si="34"/>
        <v>0</v>
      </c>
      <c r="BT23" s="40">
        <f t="shared" si="35"/>
        <v>0</v>
      </c>
    </row>
    <row r="24" spans="1:72">
      <c r="A24" s="6"/>
      <c r="B24" s="31" t="s">
        <v>3394</v>
      </c>
      <c r="C24" s="31" t="s">
        <v>3407</v>
      </c>
      <c r="D24" s="1625" t="s">
        <v>3416</v>
      </c>
      <c r="E24" s="32">
        <f t="shared" si="7"/>
        <v>6534.23</v>
      </c>
      <c r="F24" s="33"/>
      <c r="G24" s="34">
        <f t="shared" si="8"/>
        <v>19784.219999999998</v>
      </c>
      <c r="H24" s="35">
        <f t="shared" si="9"/>
        <v>19489.3</v>
      </c>
      <c r="I24" s="36">
        <v>17658.11</v>
      </c>
      <c r="J24" s="36"/>
      <c r="K24" s="36">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37">
        <v>294.92</v>
      </c>
      <c r="AM24" s="37"/>
      <c r="AN24" s="37"/>
      <c r="AO24" s="37"/>
      <c r="AP24" s="37"/>
      <c r="AQ24" s="37"/>
      <c r="AR24" s="37"/>
      <c r="AS24" s="37"/>
      <c r="AT24" s="38"/>
      <c r="AU24" s="1631"/>
      <c r="AV24" s="1343">
        <f t="shared" si="11"/>
        <v>0</v>
      </c>
      <c r="AW24" s="1343" t="str">
        <f t="shared" si="12"/>
        <v>现房</v>
      </c>
      <c r="AX24" s="1343" t="str">
        <f t="shared" si="13"/>
        <v>12#</v>
      </c>
      <c r="AY24" s="39">
        <f t="shared" si="14"/>
        <v>6486.31</v>
      </c>
      <c r="AZ24" s="32">
        <f t="shared" si="15"/>
        <v>19784.219999999998</v>
      </c>
      <c r="BA24" s="32">
        <f t="shared" si="16"/>
        <v>19489.3</v>
      </c>
      <c r="BB24" s="32">
        <f t="shared" si="17"/>
        <v>17658.11</v>
      </c>
      <c r="BC24" s="32">
        <f t="shared" si="18"/>
        <v>1831.19</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294.92</v>
      </c>
      <c r="BM24" s="32">
        <f t="shared" si="28"/>
        <v>0</v>
      </c>
      <c r="BN24" s="32">
        <f t="shared" si="29"/>
        <v>0</v>
      </c>
      <c r="BO24" s="32">
        <f t="shared" si="30"/>
        <v>0</v>
      </c>
      <c r="BP24" s="32">
        <f t="shared" si="31"/>
        <v>0</v>
      </c>
      <c r="BQ24" s="32">
        <f t="shared" si="32"/>
        <v>294.92</v>
      </c>
      <c r="BR24" s="32">
        <f t="shared" si="33"/>
        <v>0</v>
      </c>
      <c r="BS24" s="32">
        <f t="shared" si="34"/>
        <v>0</v>
      </c>
      <c r="BT24" s="40">
        <f t="shared" si="35"/>
        <v>0</v>
      </c>
    </row>
    <row r="25" spans="1:72">
      <c r="A25" s="6"/>
      <c r="B25" s="31" t="s">
        <v>3394</v>
      </c>
      <c r="C25" s="31" t="s">
        <v>3408</v>
      </c>
      <c r="D25" s="1625" t="s">
        <v>3416</v>
      </c>
      <c r="E25" s="32">
        <f t="shared" si="7"/>
        <v>4647.88</v>
      </c>
      <c r="F25" s="33"/>
      <c r="G25" s="34">
        <f t="shared" si="8"/>
        <v>14072.76</v>
      </c>
      <c r="H25" s="35">
        <f t="shared" si="9"/>
        <v>13780.32</v>
      </c>
      <c r="I25" s="36">
        <v>11958.17</v>
      </c>
      <c r="J25" s="36"/>
      <c r="K25" s="36">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37">
        <v>292.44</v>
      </c>
      <c r="AM25" s="37"/>
      <c r="AN25" s="37"/>
      <c r="AO25" s="37"/>
      <c r="AP25" s="37"/>
      <c r="AQ25" s="37"/>
      <c r="AR25" s="37"/>
      <c r="AS25" s="37"/>
      <c r="AT25" s="38"/>
      <c r="AU25" s="1631"/>
      <c r="AV25" s="1343">
        <f t="shared" si="11"/>
        <v>0</v>
      </c>
      <c r="AW25" s="1343" t="str">
        <f t="shared" si="12"/>
        <v>现房</v>
      </c>
      <c r="AX25" s="1343" t="str">
        <f t="shared" si="13"/>
        <v>13#</v>
      </c>
      <c r="AY25" s="39">
        <f t="shared" si="14"/>
        <v>4613.79</v>
      </c>
      <c r="AZ25" s="32">
        <f t="shared" si="15"/>
        <v>14072.76</v>
      </c>
      <c r="BA25" s="32">
        <f t="shared" si="16"/>
        <v>13780.32</v>
      </c>
      <c r="BB25" s="32">
        <f t="shared" si="17"/>
        <v>11958.17</v>
      </c>
      <c r="BC25" s="32">
        <f t="shared" si="18"/>
        <v>1822.15</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292.44</v>
      </c>
      <c r="BM25" s="32">
        <f t="shared" si="28"/>
        <v>0</v>
      </c>
      <c r="BN25" s="32">
        <f t="shared" si="29"/>
        <v>0</v>
      </c>
      <c r="BO25" s="32">
        <f t="shared" si="30"/>
        <v>0</v>
      </c>
      <c r="BP25" s="32">
        <f t="shared" si="31"/>
        <v>0</v>
      </c>
      <c r="BQ25" s="32">
        <f t="shared" si="32"/>
        <v>292.44</v>
      </c>
      <c r="BR25" s="32">
        <f t="shared" si="33"/>
        <v>0</v>
      </c>
      <c r="BS25" s="32">
        <f t="shared" si="34"/>
        <v>0</v>
      </c>
      <c r="BT25" s="40">
        <f t="shared" si="35"/>
        <v>0</v>
      </c>
    </row>
    <row r="26" spans="1:72">
      <c r="A26" s="6"/>
      <c r="B26" s="31" t="s">
        <v>3394</v>
      </c>
      <c r="C26" s="31" t="s">
        <v>3409</v>
      </c>
      <c r="D26" s="1625" t="s">
        <v>3416</v>
      </c>
      <c r="E26" s="32">
        <f t="shared" si="7"/>
        <v>6655.48</v>
      </c>
      <c r="F26" s="33"/>
      <c r="G26" s="34">
        <f t="shared" si="8"/>
        <v>20151.350000000002</v>
      </c>
      <c r="H26" s="35">
        <f t="shared" si="9"/>
        <v>19856.510000000002</v>
      </c>
      <c r="I26" s="36">
        <v>18018.59</v>
      </c>
      <c r="J26" s="36"/>
      <c r="K26" s="36">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37">
        <v>294.83999999999997</v>
      </c>
      <c r="AM26" s="37"/>
      <c r="AN26" s="37"/>
      <c r="AO26" s="37"/>
      <c r="AP26" s="37"/>
      <c r="AQ26" s="37"/>
      <c r="AR26" s="37"/>
      <c r="AS26" s="37"/>
      <c r="AT26" s="38"/>
      <c r="AU26" s="1631"/>
      <c r="AV26" s="1343">
        <f t="shared" si="11"/>
        <v>0</v>
      </c>
      <c r="AW26" s="1343" t="str">
        <f t="shared" si="12"/>
        <v>现房</v>
      </c>
      <c r="AX26" s="1343" t="str">
        <f t="shared" si="13"/>
        <v>14#</v>
      </c>
      <c r="AY26" s="39">
        <f t="shared" si="14"/>
        <v>6606.68</v>
      </c>
      <c r="AZ26" s="32">
        <f t="shared" si="15"/>
        <v>20151.350000000002</v>
      </c>
      <c r="BA26" s="32">
        <f t="shared" si="16"/>
        <v>19856.510000000002</v>
      </c>
      <c r="BB26" s="32">
        <f t="shared" si="17"/>
        <v>18018.59</v>
      </c>
      <c r="BC26" s="32">
        <f t="shared" si="18"/>
        <v>1837.92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294.83999999999997</v>
      </c>
      <c r="BM26" s="32">
        <f t="shared" si="28"/>
        <v>0</v>
      </c>
      <c r="BN26" s="32">
        <f t="shared" si="29"/>
        <v>0</v>
      </c>
      <c r="BO26" s="32">
        <f t="shared" si="30"/>
        <v>0</v>
      </c>
      <c r="BP26" s="32">
        <f t="shared" si="31"/>
        <v>0</v>
      </c>
      <c r="BQ26" s="32">
        <f t="shared" si="32"/>
        <v>294.83999999999997</v>
      </c>
      <c r="BR26" s="32">
        <f t="shared" si="33"/>
        <v>0</v>
      </c>
      <c r="BS26" s="32">
        <f t="shared" si="34"/>
        <v>0</v>
      </c>
      <c r="BT26" s="40">
        <f t="shared" si="35"/>
        <v>0</v>
      </c>
    </row>
    <row r="27" spans="1:72">
      <c r="A27" s="6"/>
      <c r="B27" s="31" t="s">
        <v>3394</v>
      </c>
      <c r="C27" s="31" t="s">
        <v>3410</v>
      </c>
      <c r="D27" s="1625" t="s">
        <v>3416</v>
      </c>
      <c r="E27" s="32">
        <f t="shared" si="7"/>
        <v>4572.3999999999996</v>
      </c>
      <c r="F27" s="33"/>
      <c r="G27" s="34">
        <f t="shared" si="8"/>
        <v>13844.220000000001</v>
      </c>
      <c r="H27" s="35">
        <f t="shared" si="9"/>
        <v>13551.78</v>
      </c>
      <c r="I27" s="36">
        <v>11728.85</v>
      </c>
      <c r="J27" s="36"/>
      <c r="K27" s="36">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37">
        <v>292.44</v>
      </c>
      <c r="AM27" s="37"/>
      <c r="AN27" s="37"/>
      <c r="AO27" s="37"/>
      <c r="AP27" s="37"/>
      <c r="AQ27" s="37"/>
      <c r="AR27" s="37"/>
      <c r="AS27" s="37"/>
      <c r="AT27" s="38"/>
      <c r="AU27" s="1631"/>
      <c r="AV27" s="1343">
        <f t="shared" si="11"/>
        <v>0</v>
      </c>
      <c r="AW27" s="1343" t="str">
        <f t="shared" si="12"/>
        <v>现房</v>
      </c>
      <c r="AX27" s="1343" t="str">
        <f t="shared" si="13"/>
        <v>15#</v>
      </c>
      <c r="AY27" s="39">
        <f t="shared" si="14"/>
        <v>4538.87</v>
      </c>
      <c r="AZ27" s="32">
        <f t="shared" si="15"/>
        <v>13844.220000000001</v>
      </c>
      <c r="BA27" s="32">
        <f t="shared" si="16"/>
        <v>13551.78</v>
      </c>
      <c r="BB27" s="32">
        <f t="shared" si="17"/>
        <v>11728.85</v>
      </c>
      <c r="BC27" s="32">
        <f t="shared" si="18"/>
        <v>1822.93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292.44</v>
      </c>
      <c r="BM27" s="32">
        <f t="shared" si="28"/>
        <v>0</v>
      </c>
      <c r="BN27" s="32">
        <f t="shared" si="29"/>
        <v>0</v>
      </c>
      <c r="BO27" s="32">
        <f t="shared" si="30"/>
        <v>0</v>
      </c>
      <c r="BP27" s="32">
        <f t="shared" si="31"/>
        <v>0</v>
      </c>
      <c r="BQ27" s="32">
        <f t="shared" si="32"/>
        <v>292.44</v>
      </c>
      <c r="BR27" s="32">
        <f t="shared" si="33"/>
        <v>0</v>
      </c>
      <c r="BS27" s="32">
        <f t="shared" si="34"/>
        <v>0</v>
      </c>
      <c r="BT27" s="40">
        <f t="shared" si="35"/>
        <v>0</v>
      </c>
    </row>
    <row r="28" spans="1:72">
      <c r="A28" s="6"/>
      <c r="B28" s="3449" t="s">
        <v>3400</v>
      </c>
      <c r="C28" s="31" t="s">
        <v>3411</v>
      </c>
      <c r="D28" s="1630" t="s">
        <v>3417</v>
      </c>
      <c r="E28" s="32">
        <f t="shared" si="7"/>
        <v>6535.36</v>
      </c>
      <c r="F28" s="33"/>
      <c r="G28" s="34">
        <f t="shared" si="8"/>
        <v>19787.64</v>
      </c>
      <c r="H28" s="35">
        <f t="shared" si="9"/>
        <v>19492.72</v>
      </c>
      <c r="I28" s="36">
        <v>17658.11</v>
      </c>
      <c r="J28" s="36"/>
      <c r="K28" s="36">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37">
        <v>294.92</v>
      </c>
      <c r="AM28" s="37"/>
      <c r="AN28" s="37"/>
      <c r="AO28" s="37"/>
      <c r="AP28" s="37"/>
      <c r="AQ28" s="37"/>
      <c r="AR28" s="37"/>
      <c r="AS28" s="37"/>
      <c r="AT28" s="38"/>
      <c r="AU28" s="1631"/>
      <c r="AV28" s="1343">
        <f t="shared" si="11"/>
        <v>0</v>
      </c>
      <c r="AW28" s="1343" t="str">
        <f t="shared" si="12"/>
        <v>在建</v>
      </c>
      <c r="AX28" s="1343" t="str">
        <f t="shared" si="13"/>
        <v>16#</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t="s">
        <v>3394</v>
      </c>
      <c r="C29" s="31" t="s">
        <v>3412</v>
      </c>
      <c r="D29" s="1625" t="s">
        <v>3416</v>
      </c>
      <c r="E29" s="32">
        <f t="shared" si="7"/>
        <v>4649.9799999999996</v>
      </c>
      <c r="F29" s="33"/>
      <c r="G29" s="34">
        <f t="shared" si="8"/>
        <v>14079.11</v>
      </c>
      <c r="H29" s="35">
        <f t="shared" si="9"/>
        <v>13786.67</v>
      </c>
      <c r="I29" s="36">
        <v>11958.17</v>
      </c>
      <c r="J29" s="36"/>
      <c r="K29" s="36">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37">
        <v>292.44</v>
      </c>
      <c r="AM29" s="37"/>
      <c r="AN29" s="37"/>
      <c r="AO29" s="37"/>
      <c r="AP29" s="37"/>
      <c r="AQ29" s="37"/>
      <c r="AR29" s="37"/>
      <c r="AS29" s="37"/>
      <c r="AT29" s="38"/>
      <c r="AU29" s="1631"/>
      <c r="AV29" s="1343">
        <f t="shared" si="11"/>
        <v>0</v>
      </c>
      <c r="AW29" s="1343" t="str">
        <f t="shared" si="12"/>
        <v>现房</v>
      </c>
      <c r="AX29" s="1343" t="str">
        <f t="shared" si="13"/>
        <v>17#</v>
      </c>
      <c r="AY29" s="39">
        <f t="shared" si="14"/>
        <v>4615.87</v>
      </c>
      <c r="AZ29" s="32">
        <f t="shared" si="15"/>
        <v>14079.11</v>
      </c>
      <c r="BA29" s="32">
        <f t="shared" si="16"/>
        <v>13786.67</v>
      </c>
      <c r="BB29" s="32">
        <f t="shared" si="17"/>
        <v>11958.17</v>
      </c>
      <c r="BC29" s="32">
        <f t="shared" si="18"/>
        <v>1828.5</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292.44</v>
      </c>
      <c r="BM29" s="32">
        <f t="shared" si="28"/>
        <v>0</v>
      </c>
      <c r="BN29" s="32">
        <f t="shared" si="29"/>
        <v>0</v>
      </c>
      <c r="BO29" s="32">
        <f t="shared" si="30"/>
        <v>0</v>
      </c>
      <c r="BP29" s="32">
        <f t="shared" si="31"/>
        <v>0</v>
      </c>
      <c r="BQ29" s="32">
        <f t="shared" si="32"/>
        <v>292.44</v>
      </c>
      <c r="BR29" s="32">
        <f t="shared" si="33"/>
        <v>0</v>
      </c>
      <c r="BS29" s="32">
        <f t="shared" si="34"/>
        <v>0</v>
      </c>
      <c r="BT29" s="40">
        <f t="shared" si="35"/>
        <v>0</v>
      </c>
    </row>
    <row r="30" spans="1:72">
      <c r="A30" s="6"/>
      <c r="B30" s="31" t="s">
        <v>3394</v>
      </c>
      <c r="C30" s="31" t="s">
        <v>3413</v>
      </c>
      <c r="D30" s="1625" t="s">
        <v>3416</v>
      </c>
      <c r="E30" s="32">
        <f t="shared" si="7"/>
        <v>4611.6499999999996</v>
      </c>
      <c r="F30" s="33"/>
      <c r="G30" s="34">
        <f t="shared" si="8"/>
        <v>13963.08</v>
      </c>
      <c r="H30" s="35">
        <f t="shared" si="9"/>
        <v>13670.64</v>
      </c>
      <c r="I30" s="36">
        <v>11836</v>
      </c>
      <c r="J30" s="36"/>
      <c r="K30" s="36">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37">
        <v>292.44</v>
      </c>
      <c r="AM30" s="37"/>
      <c r="AN30" s="37"/>
      <c r="AO30" s="37"/>
      <c r="AP30" s="37"/>
      <c r="AQ30" s="37"/>
      <c r="AR30" s="37"/>
      <c r="AS30" s="37"/>
      <c r="AT30" s="38"/>
      <c r="AU30" s="1631"/>
      <c r="AV30" s="1343">
        <f t="shared" si="11"/>
        <v>0</v>
      </c>
      <c r="AW30" s="1343" t="str">
        <f t="shared" si="12"/>
        <v>现房</v>
      </c>
      <c r="AX30" s="1343" t="str">
        <f t="shared" si="13"/>
        <v>18#</v>
      </c>
      <c r="AY30" s="39">
        <f t="shared" si="14"/>
        <v>4577.83</v>
      </c>
      <c r="AZ30" s="32">
        <f t="shared" si="15"/>
        <v>13963.08</v>
      </c>
      <c r="BA30" s="32">
        <f t="shared" si="16"/>
        <v>13670.64</v>
      </c>
      <c r="BB30" s="32">
        <f t="shared" si="17"/>
        <v>11836</v>
      </c>
      <c r="BC30" s="32">
        <f t="shared" si="18"/>
        <v>1834.64</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292.44</v>
      </c>
      <c r="BM30" s="32">
        <f t="shared" si="28"/>
        <v>0</v>
      </c>
      <c r="BN30" s="32">
        <f t="shared" si="29"/>
        <v>0</v>
      </c>
      <c r="BO30" s="32">
        <f t="shared" si="30"/>
        <v>0</v>
      </c>
      <c r="BP30" s="32">
        <f t="shared" si="31"/>
        <v>0</v>
      </c>
      <c r="BQ30" s="32">
        <f t="shared" si="32"/>
        <v>292.44</v>
      </c>
      <c r="BR30" s="32">
        <f t="shared" si="33"/>
        <v>0</v>
      </c>
      <c r="BS30" s="32">
        <f t="shared" si="34"/>
        <v>0</v>
      </c>
      <c r="BT30" s="40">
        <f t="shared" si="35"/>
        <v>0</v>
      </c>
    </row>
    <row r="31" spans="1:72">
      <c r="A31" s="6"/>
      <c r="B31" s="31" t="s">
        <v>3394</v>
      </c>
      <c r="C31" s="31" t="s">
        <v>3414</v>
      </c>
      <c r="D31" s="1625" t="s">
        <v>3416</v>
      </c>
      <c r="E31" s="32">
        <f t="shared" si="7"/>
        <v>26738</v>
      </c>
      <c r="F31" s="33"/>
      <c r="G31" s="34">
        <f t="shared" si="8"/>
        <v>80956.81</v>
      </c>
      <c r="H31" s="35">
        <f t="shared" si="9"/>
        <v>46158.36</v>
      </c>
      <c r="I31" s="36"/>
      <c r="J31" s="36"/>
      <c r="K31" s="36">
        <v>6948.57</v>
      </c>
      <c r="L31" s="36"/>
      <c r="M31" s="36">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v>3474.28</v>
      </c>
      <c r="AO31" s="37"/>
      <c r="AP31" s="37"/>
      <c r="AQ31" s="37"/>
      <c r="AR31" s="37"/>
      <c r="AS31" s="37"/>
      <c r="AT31" s="38">
        <v>31324.17</v>
      </c>
      <c r="AU31" s="1631"/>
      <c r="AV31" s="1343">
        <f t="shared" si="11"/>
        <v>0</v>
      </c>
      <c r="AW31" s="1343" t="str">
        <f t="shared" si="12"/>
        <v>现房</v>
      </c>
      <c r="AX31" s="1343" t="str">
        <f t="shared" si="13"/>
        <v>地下车库</v>
      </c>
      <c r="AY31" s="39">
        <f t="shared" si="14"/>
        <v>16272.2</v>
      </c>
      <c r="AZ31" s="32">
        <f t="shared" si="15"/>
        <v>49632.639999999999</v>
      </c>
      <c r="BA31" s="32">
        <f t="shared" si="16"/>
        <v>46158.36</v>
      </c>
      <c r="BB31" s="32">
        <f t="shared" si="17"/>
        <v>0</v>
      </c>
      <c r="BC31" s="32">
        <f t="shared" si="18"/>
        <v>6948.57</v>
      </c>
      <c r="BD31" s="32">
        <f t="shared" si="19"/>
        <v>39209.79</v>
      </c>
      <c r="BE31" s="32">
        <f t="shared" si="20"/>
        <v>0</v>
      </c>
      <c r="BF31" s="32">
        <f t="shared" si="21"/>
        <v>0</v>
      </c>
      <c r="BG31" s="32">
        <f t="shared" si="22"/>
        <v>0</v>
      </c>
      <c r="BH31" s="32">
        <f t="shared" si="23"/>
        <v>0</v>
      </c>
      <c r="BI31" s="32">
        <f t="shared" si="24"/>
        <v>0</v>
      </c>
      <c r="BJ31" s="32">
        <f t="shared" si="25"/>
        <v>0</v>
      </c>
      <c r="BK31" s="32">
        <f t="shared" si="26"/>
        <v>0</v>
      </c>
      <c r="BL31" s="32">
        <f t="shared" si="27"/>
        <v>3474.28</v>
      </c>
      <c r="BM31" s="32">
        <f t="shared" si="28"/>
        <v>0</v>
      </c>
      <c r="BN31" s="32">
        <f t="shared" si="29"/>
        <v>0</v>
      </c>
      <c r="BO31" s="32">
        <f t="shared" si="30"/>
        <v>0</v>
      </c>
      <c r="BP31" s="32">
        <f t="shared" si="31"/>
        <v>0</v>
      </c>
      <c r="BQ31" s="32">
        <f t="shared" si="32"/>
        <v>0</v>
      </c>
      <c r="BR31" s="32">
        <f t="shared" si="33"/>
        <v>3474.28</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54"/>
  <sheetViews>
    <sheetView workbookViewId="0">
      <selection activeCell="I38" sqref="I38"/>
    </sheetView>
  </sheetViews>
  <sheetFormatPr defaultRowHeight="13.5"/>
  <cols>
    <col min="2" max="2" width="12.25" customWidth="1"/>
    <col min="5" max="5" width="9" customWidth="1"/>
    <col min="6" max="6" width="12.875" customWidth="1"/>
    <col min="7" max="7" width="11.625" bestFit="1" customWidth="1"/>
    <col min="9" max="9" width="11.75" customWidth="1"/>
    <col min="11" max="11" width="9" customWidth="1"/>
    <col min="13" max="13" width="10.5" bestFit="1" customWidth="1"/>
  </cols>
  <sheetData>
    <row r="2" spans="1:13">
      <c r="A2" s="3451"/>
      <c r="B2" s="3452" t="s">
        <v>3424</v>
      </c>
      <c r="C2" s="3452" t="s">
        <v>3425</v>
      </c>
      <c r="D2" s="3452" t="s">
        <v>3426</v>
      </c>
      <c r="E2" s="3451" t="s">
        <v>3427</v>
      </c>
      <c r="F2" s="3453" t="s">
        <v>3428</v>
      </c>
      <c r="G2" s="3452" t="s">
        <v>3429</v>
      </c>
      <c r="H2" s="3452" t="s">
        <v>3430</v>
      </c>
      <c r="I2" s="3452" t="s">
        <v>3431</v>
      </c>
      <c r="J2" s="3452" t="s">
        <v>3432</v>
      </c>
    </row>
    <row r="3" spans="1:13">
      <c r="A3" s="3452" t="s">
        <v>3433</v>
      </c>
      <c r="B3">
        <v>17658.11</v>
      </c>
      <c r="C3">
        <v>1837.58</v>
      </c>
      <c r="D3">
        <v>294.92</v>
      </c>
      <c r="F3">
        <f t="shared" ref="F3:F20" si="0">SUM(B3:E3)</f>
        <v>19790.61</v>
      </c>
      <c r="H3" s="3454" t="s">
        <v>3434</v>
      </c>
      <c r="I3" s="3454" t="s">
        <v>3436</v>
      </c>
      <c r="J3">
        <v>9</v>
      </c>
    </row>
    <row r="4" spans="1:13">
      <c r="A4" s="3452" t="s">
        <v>3437</v>
      </c>
      <c r="B4">
        <v>17658.11</v>
      </c>
      <c r="C4">
        <v>1832.56</v>
      </c>
      <c r="D4">
        <v>294.92</v>
      </c>
      <c r="F4">
        <f t="shared" si="0"/>
        <v>19785.59</v>
      </c>
      <c r="H4" s="3454" t="s">
        <v>3434</v>
      </c>
      <c r="I4" s="3454" t="s">
        <v>3436</v>
      </c>
      <c r="J4">
        <v>9</v>
      </c>
    </row>
    <row r="5" spans="1:13">
      <c r="A5" s="3455" t="s">
        <v>3438</v>
      </c>
      <c r="B5">
        <v>17658.11</v>
      </c>
      <c r="C5">
        <v>1842.18</v>
      </c>
      <c r="D5">
        <v>294.92</v>
      </c>
      <c r="F5">
        <f t="shared" si="0"/>
        <v>19795.21</v>
      </c>
      <c r="H5" s="3454" t="s">
        <v>3434</v>
      </c>
      <c r="I5" s="3454" t="s">
        <v>3440</v>
      </c>
      <c r="J5">
        <v>9</v>
      </c>
    </row>
    <row r="6" spans="1:13">
      <c r="A6" s="3456" t="s">
        <v>3441</v>
      </c>
      <c r="B6">
        <v>11307.49</v>
      </c>
      <c r="C6">
        <v>1828.26</v>
      </c>
      <c r="D6">
        <v>292.44</v>
      </c>
      <c r="F6">
        <f t="shared" si="0"/>
        <v>13428.19</v>
      </c>
      <c r="H6" s="3454" t="s">
        <v>3434</v>
      </c>
      <c r="I6" s="3454" t="s">
        <v>3440</v>
      </c>
      <c r="J6">
        <v>6</v>
      </c>
    </row>
    <row r="7" spans="1:13">
      <c r="A7" s="3452" t="s">
        <v>3442</v>
      </c>
      <c r="B7">
        <v>17658.11</v>
      </c>
      <c r="C7">
        <v>1831.24</v>
      </c>
      <c r="D7">
        <v>294.92</v>
      </c>
      <c r="F7">
        <f t="shared" si="0"/>
        <v>19784.27</v>
      </c>
      <c r="H7" s="3454" t="s">
        <v>3434</v>
      </c>
      <c r="I7" s="3454" t="s">
        <v>3440</v>
      </c>
      <c r="J7">
        <v>9</v>
      </c>
      <c r="M7">
        <f>F7*15000</f>
        <v>296764050</v>
      </c>
    </row>
    <row r="8" spans="1:13">
      <c r="A8" s="3457" t="s">
        <v>3443</v>
      </c>
      <c r="B8" s="3458">
        <v>17658.11</v>
      </c>
      <c r="C8" s="3458">
        <v>1834.45</v>
      </c>
      <c r="D8" s="3458">
        <v>294.92</v>
      </c>
      <c r="E8" s="3458"/>
      <c r="F8" s="3458">
        <f t="shared" si="0"/>
        <v>19787.48</v>
      </c>
      <c r="G8" s="3458"/>
      <c r="H8" s="3459" t="s">
        <v>3444</v>
      </c>
      <c r="I8" s="3459" t="s">
        <v>3440</v>
      </c>
      <c r="J8">
        <v>9</v>
      </c>
    </row>
    <row r="9" spans="1:13">
      <c r="A9" s="3456" t="s">
        <v>3445</v>
      </c>
      <c r="B9">
        <v>11958.17</v>
      </c>
      <c r="C9">
        <v>1822.18</v>
      </c>
      <c r="D9">
        <v>292.44</v>
      </c>
      <c r="F9">
        <f t="shared" si="0"/>
        <v>14072.79</v>
      </c>
      <c r="H9" s="3454" t="s">
        <v>3434</v>
      </c>
      <c r="I9" s="3454" t="s">
        <v>3440</v>
      </c>
      <c r="J9">
        <v>6</v>
      </c>
    </row>
    <row r="10" spans="1:13">
      <c r="A10" s="3460" t="s">
        <v>3446</v>
      </c>
      <c r="B10" s="3461">
        <v>18018.59</v>
      </c>
      <c r="C10" s="3461">
        <v>1842.94</v>
      </c>
      <c r="D10" s="3461">
        <v>294.83999999999997</v>
      </c>
      <c r="E10" s="3461"/>
      <c r="F10" s="3461">
        <f t="shared" si="0"/>
        <v>20156.37</v>
      </c>
      <c r="G10" s="3461"/>
      <c r="H10" s="3462" t="s">
        <v>3434</v>
      </c>
      <c r="I10" s="3462" t="s">
        <v>3447</v>
      </c>
      <c r="J10">
        <v>9</v>
      </c>
    </row>
    <row r="11" spans="1:13">
      <c r="A11" s="3452" t="s">
        <v>3448</v>
      </c>
      <c r="B11">
        <v>17658.11</v>
      </c>
      <c r="C11">
        <v>1836.4</v>
      </c>
      <c r="D11">
        <v>294.92</v>
      </c>
      <c r="F11">
        <f t="shared" si="0"/>
        <v>19789.43</v>
      </c>
      <c r="H11" s="3454" t="s">
        <v>3434</v>
      </c>
      <c r="I11" s="3454" t="s">
        <v>3440</v>
      </c>
      <c r="J11">
        <v>9</v>
      </c>
      <c r="M11">
        <f>F11*15000</f>
        <v>296841450</v>
      </c>
    </row>
    <row r="12" spans="1:13">
      <c r="A12" s="3457" t="s">
        <v>3449</v>
      </c>
      <c r="B12" s="3458">
        <v>17658.11</v>
      </c>
      <c r="C12" s="3458">
        <v>1833.48</v>
      </c>
      <c r="D12" s="3458">
        <v>361.2</v>
      </c>
      <c r="E12" s="3458"/>
      <c r="F12" s="3458">
        <f t="shared" si="0"/>
        <v>19852.79</v>
      </c>
      <c r="G12" s="3458"/>
      <c r="H12" s="3459" t="s">
        <v>3450</v>
      </c>
      <c r="I12" s="3454" t="s">
        <v>3452</v>
      </c>
      <c r="J12">
        <v>9</v>
      </c>
    </row>
    <row r="13" spans="1:13">
      <c r="A13" s="3455" t="s">
        <v>3453</v>
      </c>
      <c r="B13">
        <v>18018.59</v>
      </c>
      <c r="C13">
        <v>1848.39</v>
      </c>
      <c r="D13">
        <v>296.91000000000003</v>
      </c>
      <c r="F13">
        <f t="shared" si="0"/>
        <v>20163.89</v>
      </c>
      <c r="H13" s="3454" t="s">
        <v>3454</v>
      </c>
      <c r="I13" s="3454" t="s">
        <v>3455</v>
      </c>
      <c r="J13">
        <v>9</v>
      </c>
    </row>
    <row r="14" spans="1:13">
      <c r="A14" s="3455" t="s">
        <v>3456</v>
      </c>
      <c r="B14" s="3463">
        <v>17658.11</v>
      </c>
      <c r="C14" s="3463">
        <v>1831.19</v>
      </c>
      <c r="D14" s="3463">
        <v>294.92</v>
      </c>
      <c r="E14" s="3463"/>
      <c r="F14" s="3463">
        <f t="shared" si="0"/>
        <v>19784.219999999998</v>
      </c>
      <c r="G14" s="3463"/>
      <c r="H14" s="3454" t="s">
        <v>3454</v>
      </c>
      <c r="I14" s="3454" t="s">
        <v>3455</v>
      </c>
      <c r="J14">
        <v>9</v>
      </c>
      <c r="L14" s="3464" t="s">
        <v>3457</v>
      </c>
    </row>
    <row r="15" spans="1:13">
      <c r="A15" s="3456" t="s">
        <v>3458</v>
      </c>
      <c r="B15">
        <v>11958.17</v>
      </c>
      <c r="C15">
        <v>1822.15</v>
      </c>
      <c r="D15">
        <v>292.44</v>
      </c>
      <c r="F15">
        <f t="shared" si="0"/>
        <v>14072.76</v>
      </c>
      <c r="H15" s="3454" t="s">
        <v>3454</v>
      </c>
      <c r="I15" s="3454" t="s">
        <v>3455</v>
      </c>
      <c r="J15">
        <v>6</v>
      </c>
    </row>
    <row r="16" spans="1:13">
      <c r="A16" s="3456" t="s">
        <v>3459</v>
      </c>
      <c r="B16">
        <v>18018.59</v>
      </c>
      <c r="C16">
        <v>1837.92</v>
      </c>
      <c r="D16">
        <v>294.83999999999997</v>
      </c>
      <c r="F16">
        <f t="shared" si="0"/>
        <v>20151.350000000002</v>
      </c>
      <c r="H16" s="3454" t="s">
        <v>3454</v>
      </c>
      <c r="I16" s="3454" t="s">
        <v>3455</v>
      </c>
      <c r="J16">
        <v>9</v>
      </c>
    </row>
    <row r="17" spans="1:11">
      <c r="A17" s="3465" t="s">
        <v>3460</v>
      </c>
      <c r="B17">
        <v>11728.85</v>
      </c>
      <c r="C17">
        <v>1822.93</v>
      </c>
      <c r="D17">
        <v>292.44</v>
      </c>
      <c r="F17">
        <f t="shared" si="0"/>
        <v>13844.220000000001</v>
      </c>
      <c r="H17" s="3454" t="s">
        <v>3434</v>
      </c>
      <c r="I17" s="3454" t="s">
        <v>3461</v>
      </c>
      <c r="J17">
        <v>6</v>
      </c>
    </row>
    <row r="18" spans="1:11">
      <c r="A18" s="3457" t="s">
        <v>3462</v>
      </c>
      <c r="B18" s="3458">
        <v>17658.11</v>
      </c>
      <c r="C18" s="3458">
        <v>1834.61</v>
      </c>
      <c r="D18" s="3458">
        <v>294.92</v>
      </c>
      <c r="E18" s="3458"/>
      <c r="F18" s="3458">
        <f t="shared" si="0"/>
        <v>19787.64</v>
      </c>
      <c r="G18" s="3458"/>
      <c r="H18" s="3459" t="s">
        <v>3444</v>
      </c>
      <c r="I18" s="3454" t="s">
        <v>3463</v>
      </c>
      <c r="J18">
        <v>9</v>
      </c>
    </row>
    <row r="19" spans="1:11">
      <c r="A19" s="3456" t="s">
        <v>3464</v>
      </c>
      <c r="B19">
        <v>11958.17</v>
      </c>
      <c r="C19">
        <v>1828.5</v>
      </c>
      <c r="D19">
        <v>292.44</v>
      </c>
      <c r="F19">
        <f t="shared" si="0"/>
        <v>14079.11</v>
      </c>
      <c r="H19" s="3454" t="s">
        <v>3434</v>
      </c>
      <c r="I19" s="3454" t="s">
        <v>3440</v>
      </c>
      <c r="J19">
        <v>6</v>
      </c>
    </row>
    <row r="20" spans="1:11">
      <c r="A20" s="3465" t="s">
        <v>3465</v>
      </c>
      <c r="B20">
        <v>11836</v>
      </c>
      <c r="C20">
        <v>1834.64</v>
      </c>
      <c r="D20">
        <v>292.44</v>
      </c>
      <c r="F20">
        <f t="shared" si="0"/>
        <v>13963.08</v>
      </c>
      <c r="H20" s="3454" t="s">
        <v>3434</v>
      </c>
      <c r="I20" s="3454" t="s">
        <v>3461</v>
      </c>
      <c r="J20">
        <v>6</v>
      </c>
    </row>
    <row r="21" spans="1:11">
      <c r="A21" s="3452" t="s">
        <v>3466</v>
      </c>
      <c r="C21">
        <f>ROUND(F21*C23,2)</f>
        <v>6948.57</v>
      </c>
      <c r="D21">
        <f>ROUND(F21*D23,2)</f>
        <v>3474.28</v>
      </c>
      <c r="E21">
        <f>ROUND(F21*E23,2)</f>
        <v>39209.79</v>
      </c>
      <c r="F21">
        <v>49632.639999999999</v>
      </c>
      <c r="G21">
        <v>31324.17</v>
      </c>
      <c r="H21" s="3454" t="s">
        <v>3434</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459" t="s">
        <v>3467</v>
      </c>
    </row>
    <row r="25" spans="1:11">
      <c r="A25" s="3454" t="s">
        <v>3468</v>
      </c>
      <c r="B25" s="3454" t="s">
        <v>3469</v>
      </c>
    </row>
    <row r="26" spans="1:11">
      <c r="C26" s="3454" t="s">
        <v>3470</v>
      </c>
      <c r="D26" s="3454" t="s">
        <v>3471</v>
      </c>
      <c r="E26" s="3454" t="s">
        <v>3472</v>
      </c>
      <c r="F26" s="3466" t="s">
        <v>3473</v>
      </c>
      <c r="I26" s="3454" t="s">
        <v>3474</v>
      </c>
    </row>
    <row r="27" spans="1:11">
      <c r="A27" s="3454">
        <v>10</v>
      </c>
      <c r="B27" s="3454" t="s">
        <v>3455</v>
      </c>
      <c r="C27">
        <f>B5+B6+B7+B9+B11+B13+B14+B15+B16+B19</f>
        <v>153851.62</v>
      </c>
      <c r="D27">
        <f>C5+C6+C7+C9+C11+C13+C14+C15+C16+C19</f>
        <v>18328.41</v>
      </c>
      <c r="E27">
        <f>SUM(C27:D27)</f>
        <v>172180.03</v>
      </c>
      <c r="F27" s="3467">
        <v>14000</v>
      </c>
      <c r="G27">
        <f>F27*E27</f>
        <v>2410520420</v>
      </c>
      <c r="I27">
        <f>ROUND(F38*0.5,1)</f>
        <v>13.2</v>
      </c>
      <c r="J27">
        <f>I27*E27</f>
        <v>2272776.3959999997</v>
      </c>
    </row>
    <row r="28" spans="1:11">
      <c r="A28">
        <v>2</v>
      </c>
      <c r="B28" s="3454" t="s">
        <v>3475</v>
      </c>
      <c r="C28">
        <f>B3+B4</f>
        <v>35316.22</v>
      </c>
      <c r="D28">
        <f>C3+C4</f>
        <v>3670.14</v>
      </c>
      <c r="E28">
        <f>SUM(C28:D28)</f>
        <v>38986.36</v>
      </c>
      <c r="F28" s="3467">
        <v>5500</v>
      </c>
      <c r="G28">
        <f t="shared" ref="G28:G31" si="1">F28*E28</f>
        <v>214424980</v>
      </c>
      <c r="I28">
        <v>3</v>
      </c>
      <c r="J28">
        <f t="shared" ref="J28:J31" si="2">I28*E28</f>
        <v>116959.08</v>
      </c>
    </row>
    <row r="29" spans="1:11">
      <c r="A29">
        <v>2</v>
      </c>
      <c r="B29" s="3454" t="s">
        <v>3476</v>
      </c>
      <c r="C29">
        <f>B17+B20</f>
        <v>23564.85</v>
      </c>
      <c r="D29">
        <f>C17+C20</f>
        <v>3657.57</v>
      </c>
      <c r="E29">
        <f>SUM(C29:D29)</f>
        <v>27222.42</v>
      </c>
      <c r="F29" s="3467">
        <f>F28</f>
        <v>5500</v>
      </c>
      <c r="G29">
        <f t="shared" si="1"/>
        <v>149723310</v>
      </c>
      <c r="I29">
        <f>I28</f>
        <v>3</v>
      </c>
      <c r="J29">
        <f t="shared" si="2"/>
        <v>81667.259999999995</v>
      </c>
    </row>
    <row r="30" spans="1:11">
      <c r="B30" s="3454" t="s">
        <v>3463</v>
      </c>
      <c r="E30">
        <f>SUM(C30:D30)</f>
        <v>0</v>
      </c>
      <c r="F30" s="3467">
        <f>F28</f>
        <v>5500</v>
      </c>
      <c r="G30">
        <f t="shared" si="1"/>
        <v>0</v>
      </c>
      <c r="I30">
        <f>I28</f>
        <v>3</v>
      </c>
      <c r="J30">
        <f t="shared" si="2"/>
        <v>0</v>
      </c>
    </row>
    <row r="31" spans="1:11">
      <c r="B31" s="3454" t="s">
        <v>3477</v>
      </c>
      <c r="D31">
        <f>C21+E21</f>
        <v>46158.36</v>
      </c>
      <c r="E31">
        <f>SUM(C31:D31)</f>
        <v>46158.36</v>
      </c>
      <c r="F31" s="3467">
        <f>F28</f>
        <v>5500</v>
      </c>
      <c r="G31">
        <f t="shared" si="1"/>
        <v>253870980</v>
      </c>
      <c r="J31">
        <f t="shared" si="2"/>
        <v>0</v>
      </c>
    </row>
    <row r="32" spans="1:11">
      <c r="A32">
        <f>SUM(A27:A31)</f>
        <v>14</v>
      </c>
      <c r="E32">
        <f>SUM(E27:E31)</f>
        <v>284547.17</v>
      </c>
      <c r="F32" s="3464">
        <f>ROUND(G32/E32,0)</f>
        <v>10643</v>
      </c>
      <c r="G32">
        <f>SUM(G27:G31)</f>
        <v>3028539690</v>
      </c>
      <c r="J32">
        <f>SUM(J27:J31)</f>
        <v>2471402.7359999996</v>
      </c>
      <c r="K32" s="3467">
        <f>J32/E32</f>
        <v>8.6853885631686296</v>
      </c>
    </row>
    <row r="33" spans="2:7">
      <c r="F33" s="3464"/>
    </row>
    <row r="35" spans="2:7">
      <c r="B35" s="3454" t="s">
        <v>3478</v>
      </c>
      <c r="E35" s="3454" t="s">
        <v>3479</v>
      </c>
    </row>
    <row r="36" spans="2:7">
      <c r="B36" s="3454" t="s">
        <v>3480</v>
      </c>
      <c r="C36" s="3458">
        <v>6000</v>
      </c>
      <c r="D36" s="3454" t="s">
        <v>3481</v>
      </c>
      <c r="E36" s="3454" t="s">
        <v>3482</v>
      </c>
      <c r="F36" s="3458">
        <v>23000</v>
      </c>
    </row>
    <row r="37" spans="2:7">
      <c r="B37" s="3454" t="s">
        <v>3483</v>
      </c>
      <c r="C37">
        <v>2800</v>
      </c>
      <c r="D37" s="3454" t="s">
        <v>3484</v>
      </c>
      <c r="E37" s="3454" t="s">
        <v>3485</v>
      </c>
      <c r="F37">
        <f>F36*C36*12</f>
        <v>1656000000</v>
      </c>
    </row>
    <row r="38" spans="2:7">
      <c r="B38" s="3454" t="s">
        <v>3486</v>
      </c>
      <c r="C38">
        <v>1800</v>
      </c>
      <c r="D38" s="3454" t="s">
        <v>3484</v>
      </c>
      <c r="E38" s="3454" t="s">
        <v>3487</v>
      </c>
      <c r="F38">
        <f>F37/365/E27</f>
        <v>26.350246897795653</v>
      </c>
    </row>
    <row r="39" spans="2:7">
      <c r="B39" s="3454" t="s">
        <v>3488</v>
      </c>
      <c r="C39">
        <v>10</v>
      </c>
    </row>
    <row r="42" spans="2:7">
      <c r="B42" s="3454"/>
      <c r="E42" s="3468" t="s">
        <v>3489</v>
      </c>
      <c r="F42" s="3468" t="s">
        <v>3490</v>
      </c>
      <c r="G42" s="3469" t="s">
        <v>3491</v>
      </c>
    </row>
    <row r="43" spans="2:7">
      <c r="B43" s="3454"/>
      <c r="E43" s="3468" t="s">
        <v>3397</v>
      </c>
      <c r="F43" s="3468">
        <v>2627</v>
      </c>
      <c r="G43" s="3470">
        <v>2361</v>
      </c>
    </row>
    <row r="44" spans="2:7">
      <c r="E44" s="3468" t="s">
        <v>3492</v>
      </c>
      <c r="F44" s="3468">
        <v>1869</v>
      </c>
      <c r="G44" s="3470">
        <v>1736</v>
      </c>
    </row>
    <row r="45" spans="2:7">
      <c r="E45" s="3468" t="s">
        <v>3493</v>
      </c>
      <c r="F45" s="3468">
        <v>2604</v>
      </c>
      <c r="G45" s="3470">
        <v>211</v>
      </c>
    </row>
    <row r="46" spans="2:7">
      <c r="E46" s="3468" t="s">
        <v>3402</v>
      </c>
      <c r="F46" s="3468">
        <v>1890</v>
      </c>
      <c r="G46" s="3470">
        <v>1824</v>
      </c>
    </row>
    <row r="47" spans="2:7">
      <c r="E47" s="3468" t="s">
        <v>3406</v>
      </c>
      <c r="F47" s="3468">
        <v>2614</v>
      </c>
      <c r="G47" s="3470">
        <v>2359</v>
      </c>
    </row>
    <row r="48" spans="2:7">
      <c r="E48" s="3468" t="s">
        <v>3407</v>
      </c>
      <c r="F48" s="3468">
        <v>2551</v>
      </c>
      <c r="G48" s="3470">
        <v>2219</v>
      </c>
    </row>
    <row r="49" spans="5:8">
      <c r="E49" s="3468" t="s">
        <v>3408</v>
      </c>
      <c r="F49" s="3468">
        <v>1788</v>
      </c>
      <c r="G49" s="3470">
        <v>1709</v>
      </c>
    </row>
    <row r="50" spans="5:8">
      <c r="E50" s="3468" t="s">
        <v>3409</v>
      </c>
      <c r="F50" s="3468">
        <v>2664</v>
      </c>
      <c r="G50" s="3470">
        <v>2397</v>
      </c>
    </row>
    <row r="51" spans="5:8">
      <c r="E51" s="3468" t="s">
        <v>3412</v>
      </c>
      <c r="F51" s="3468">
        <v>1787</v>
      </c>
      <c r="G51" s="3470">
        <v>1610</v>
      </c>
    </row>
    <row r="52" spans="5:8">
      <c r="E52" s="3468" t="s">
        <v>3494</v>
      </c>
      <c r="F52" s="3468">
        <f>SUM(F43:F51)</f>
        <v>20394</v>
      </c>
      <c r="G52" s="3468">
        <f>SUM(G43:G51)</f>
        <v>16426</v>
      </c>
    </row>
    <row r="53" spans="5:8">
      <c r="E53" s="3471" t="s">
        <v>3495</v>
      </c>
      <c r="F53" s="3472">
        <v>2600</v>
      </c>
      <c r="H53" s="3454" t="s">
        <v>3496</v>
      </c>
    </row>
    <row r="54" spans="5:8">
      <c r="E54" s="3471" t="s">
        <v>3497</v>
      </c>
      <c r="F54" s="3473">
        <f>SUM(F52:F53)</f>
        <v>22994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84" t="s">
        <v>1130</v>
      </c>
      <c r="B2" s="3584"/>
      <c r="C2" s="3584"/>
      <c r="D2" s="796" t="s">
        <v>1106</v>
      </c>
      <c r="E2" s="1639" t="s">
        <v>1107</v>
      </c>
      <c r="F2" s="2658"/>
      <c r="G2" s="2649"/>
      <c r="H2" s="2650"/>
      <c r="I2" s="2325" t="s">
        <v>1131</v>
      </c>
      <c r="J2" s="2658"/>
      <c r="K2" s="2658"/>
      <c r="L2" s="2658"/>
      <c r="M2" s="2658"/>
      <c r="N2" s="2660"/>
      <c r="O2" s="2658"/>
      <c r="P2" s="2658"/>
    </row>
    <row r="3" spans="1:16" ht="15.75" thickBot="1">
      <c r="A3" s="3585" t="s">
        <v>1104</v>
      </c>
      <c r="B3" s="3585"/>
      <c r="C3" s="3585"/>
      <c r="D3" s="43">
        <f>'数据-基础表'!AY6</f>
        <v>95778.03</v>
      </c>
      <c r="E3" s="43">
        <f>'数据-基础表'!AZ5</f>
        <v>292137.36</v>
      </c>
      <c r="F3" s="2658"/>
      <c r="G3" s="1145"/>
      <c r="H3" s="1026" t="s">
        <v>1105</v>
      </c>
      <c r="I3" s="855">
        <f>ROUND('数据-基础表'!B3/'数据-基础表'!A3,2)</f>
        <v>3.03</v>
      </c>
      <c r="J3" s="2658"/>
      <c r="K3" s="2658"/>
      <c r="L3" s="2658"/>
      <c r="M3" s="2658"/>
      <c r="N3" s="2660"/>
      <c r="O3" s="2658"/>
      <c r="P3" s="2658"/>
    </row>
    <row r="4" spans="1:16" ht="15">
      <c r="A4" s="3586"/>
      <c r="B4" s="3587"/>
      <c r="C4" s="3588"/>
      <c r="D4" s="1641" t="s">
        <v>1106</v>
      </c>
      <c r="E4" s="1642" t="s">
        <v>1107</v>
      </c>
      <c r="F4" s="2658"/>
      <c r="G4" s="2651" t="s">
        <v>1132</v>
      </c>
      <c r="H4" s="1026" t="s">
        <v>1112</v>
      </c>
      <c r="I4" s="855">
        <f>ROUND(SUMIF('数据-基础表'!I9:AS9,"地上",'数据-基础表'!I5:AS5)/'数据-基础表'!A3,2)</f>
        <v>2.17</v>
      </c>
      <c r="J4" s="2658"/>
      <c r="K4" s="2658"/>
      <c r="L4" s="2658"/>
      <c r="M4" s="2658"/>
      <c r="N4" s="2660"/>
      <c r="O4" s="2658"/>
      <c r="P4" s="2658"/>
    </row>
    <row r="5" spans="1:16">
      <c r="A5" s="44" t="s">
        <v>1108</v>
      </c>
      <c r="B5" s="3589" t="s">
        <v>1109</v>
      </c>
      <c r="C5" s="3589"/>
      <c r="D5" s="45">
        <f>ROUND($D$3*E5/$E$3,2)</f>
        <v>0</v>
      </c>
      <c r="E5" s="46">
        <f>SUMIF('数据-基础表'!$11:$11,"住宅",'数据-基础表'!$5:$5)</f>
        <v>0</v>
      </c>
      <c r="F5" s="2658"/>
      <c r="G5" s="1145"/>
      <c r="H5" s="1026" t="s">
        <v>1105</v>
      </c>
      <c r="I5" s="855">
        <f>ROUND(E31/D31,2)</f>
        <v>3.05</v>
      </c>
      <c r="J5" s="2658"/>
      <c r="K5" s="2658"/>
      <c r="L5" s="2658"/>
      <c r="M5" s="2658"/>
      <c r="N5" s="2658"/>
      <c r="O5" s="2658"/>
      <c r="P5" s="2658"/>
    </row>
    <row r="6" spans="1:16" ht="15" thickBot="1">
      <c r="A6" s="1644"/>
      <c r="B6" s="3589" t="s">
        <v>1110</v>
      </c>
      <c r="C6" s="3589"/>
      <c r="D6" s="45">
        <f>ROUND($D$3*E6/$E$3,2)</f>
        <v>95778.03</v>
      </c>
      <c r="E6" s="46">
        <f>E3-E5</f>
        <v>292137.36</v>
      </c>
      <c r="F6" s="2658"/>
      <c r="G6" s="2652" t="s">
        <v>1111</v>
      </c>
      <c r="H6" s="1146" t="s">
        <v>1112</v>
      </c>
      <c r="I6" s="2653">
        <f>ROUND(F31/D31,2)</f>
        <v>2.2599999999999998</v>
      </c>
      <c r="J6" s="2658"/>
      <c r="K6" s="2658"/>
      <c r="L6" s="2658"/>
      <c r="M6" s="2658"/>
      <c r="N6" s="2658"/>
      <c r="O6" s="2658"/>
      <c r="P6" s="2658"/>
    </row>
    <row r="7" spans="1:16" ht="15.75" thickBot="1">
      <c r="A7" s="3581"/>
      <c r="B7" s="3582"/>
      <c r="C7" s="3583"/>
      <c r="D7" s="1641" t="s">
        <v>1106</v>
      </c>
      <c r="E7" s="1645"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69744.990000000005</v>
      </c>
      <c r="E8" s="48">
        <f>SUMIF('数据-基础表'!BB10:BK10,"地上",'数据-基础表'!BB5:BK5)</f>
        <v>212732.69</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12855.04</v>
      </c>
      <c r="E13" s="48">
        <f>SUMPRODUCT(('数据-基础表'!BB10:BK10="地下")*('数据-基础表'!BB11:BK11="车库")*('数据-基础表'!BB5:BK5))</f>
        <v>39209.79</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82600.03</v>
      </c>
      <c r="E16" s="50">
        <f>SUM(E8:E15)</f>
        <v>251942.48</v>
      </c>
      <c r="F16" s="2658"/>
      <c r="G16" s="2659"/>
      <c r="H16" s="1648" t="s">
        <v>1134</v>
      </c>
      <c r="I16" s="1649"/>
      <c r="J16" s="1139"/>
      <c r="K16" s="3578" t="s">
        <v>1134</v>
      </c>
      <c r="L16" s="3579"/>
      <c r="M16" s="3579"/>
      <c r="N16" s="3579"/>
      <c r="O16" s="3579"/>
      <c r="P16" s="3580"/>
    </row>
    <row r="17" spans="1:19" ht="15">
      <c r="A17" s="1650" t="s">
        <v>1135</v>
      </c>
      <c r="B17" s="1651" t="s">
        <v>1136</v>
      </c>
      <c r="C17" s="1652" t="s">
        <v>1137</v>
      </c>
      <c r="D17" s="1653" t="s">
        <v>1125</v>
      </c>
      <c r="E17" s="1654" t="s">
        <v>1126</v>
      </c>
      <c r="F17" s="1655"/>
      <c r="G17" s="1656"/>
      <c r="H17" s="1657" t="s">
        <v>1138</v>
      </c>
      <c r="I17" s="1658" t="s">
        <v>1123</v>
      </c>
      <c r="J17" s="1139"/>
      <c r="K17" s="3575" t="s">
        <v>1139</v>
      </c>
      <c r="L17" s="3576"/>
      <c r="M17" s="3577"/>
      <c r="N17" s="3575" t="s">
        <v>1140</v>
      </c>
      <c r="O17" s="3576"/>
      <c r="P17" s="3577"/>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3423</v>
      </c>
      <c r="D19" s="45">
        <f>ROUND($D$3*E19/$E$3,2)</f>
        <v>93289.57</v>
      </c>
      <c r="E19" s="53">
        <f t="shared" ref="E19:E26" si="1">SUM(F19:G19)</f>
        <v>284547.17</v>
      </c>
      <c r="F19" s="2793">
        <f>'数据-基础表'!I5-'数据-基础表'!I18-'数据-基础表'!I20-'数据-基础表'!I22-'数据-基础表'!I28</f>
        <v>212732.69</v>
      </c>
      <c r="G19" s="2794">
        <f>'数据-基础表'!K5-'数据-基础表'!K18-'数据-基础表'!K20-'数据-基础表'!K22-'数据-基础表'!K28+'数据-基础表'!M31</f>
        <v>71814.48</v>
      </c>
      <c r="H19" s="670">
        <f>ROUND($D$3*I19/$E$3,2)</f>
        <v>2488.46</v>
      </c>
      <c r="I19" s="48">
        <f t="shared" ref="I19:I26" si="2">IF($I$17="自定义",P19,M19)</f>
        <v>7590.19</v>
      </c>
      <c r="J19" s="1139"/>
      <c r="K19" s="1138">
        <f t="shared" ref="K19:K26" si="3">ROUND(E$28*E19/E$27,2)</f>
        <v>7590.19</v>
      </c>
      <c r="L19" s="1026">
        <f t="shared" ref="L19:L26" si="4">ROUND(IF(COUNTIF(C19,"*住宅*")&gt;0,E$29*E19/E$32,0),2)</f>
        <v>0</v>
      </c>
      <c r="M19" s="1150">
        <f>K19+L19</f>
        <v>7590.19</v>
      </c>
      <c r="N19" s="1668"/>
      <c r="O19" s="1669"/>
      <c r="P19" s="1150">
        <f>N19+O19</f>
        <v>0</v>
      </c>
      <c r="R19" s="1026">
        <f t="shared" ref="R19:S26" si="5">D19+H19</f>
        <v>95778.030000000013</v>
      </c>
      <c r="S19" s="1027">
        <f t="shared" si="5"/>
        <v>292137.36</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93289.57</v>
      </c>
      <c r="E27" s="1141">
        <f>IF(SUM(E19:E26)='数据-基础表'!BA5,SUM(E19:E26),IF(F27="地上面积有误","面积有误","地下面积有误"))</f>
        <v>284547.17</v>
      </c>
      <c r="F27" s="1140">
        <f>IF(SUM(F19:F26)=E8,SUM(F19:F26),"地上面积有误")</f>
        <v>212732.69</v>
      </c>
      <c r="G27" s="1142">
        <f>SUM(G19:G26)</f>
        <v>71814.48</v>
      </c>
      <c r="H27" s="1143">
        <f>SUM(H19:H26)</f>
        <v>2488.46</v>
      </c>
      <c r="I27" s="1144">
        <f>SUM(I19:I26)</f>
        <v>7590.19</v>
      </c>
      <c r="J27" s="1139"/>
      <c r="K27" s="1147">
        <f>SUM(K19:K26)</f>
        <v>7590.19</v>
      </c>
      <c r="L27" s="1148">
        <f>SUM(L19:L26)</f>
        <v>0</v>
      </c>
      <c r="M27" s="1151">
        <f>SUM(M19:M26)</f>
        <v>7590.19</v>
      </c>
      <c r="N27" s="1147">
        <f t="shared" ref="N27:O27" si="10">SUM(N19:N26)</f>
        <v>0</v>
      </c>
      <c r="O27" s="1148">
        <f t="shared" si="10"/>
        <v>0</v>
      </c>
      <c r="P27" s="1149">
        <f>SUM(P19:P26)</f>
        <v>0</v>
      </c>
      <c r="R27" s="1028">
        <f>IF(SUM(R19:R26)=$D$3,SUM(R19:R26),SUM(R19:R26)&amp;"误差"&amp;ROUND(SUM(R19:R26)-$D$3,2))</f>
        <v>95778.030000000013</v>
      </c>
      <c r="S27" s="1026">
        <f>IF(SUM(S19:S26)=$E$3,SUM(S19:S26),SUM(S19:S26)&amp;"误差"&amp;ROUND(SUM(S19:S26)-E3,2))</f>
        <v>292137.36</v>
      </c>
    </row>
    <row r="28" spans="1:19">
      <c r="A28" s="1670"/>
      <c r="B28" s="47" t="s">
        <v>1154</v>
      </c>
      <c r="C28" s="1038" t="s">
        <v>1155</v>
      </c>
      <c r="D28" s="45">
        <f>ROUND($D$3*E28/$E$3,2)</f>
        <v>2488.46</v>
      </c>
      <c r="E28" s="53">
        <f>SUM(F28:G28)</f>
        <v>7590.1900000000005</v>
      </c>
      <c r="F28" s="56">
        <f>'数据-基础表'!BQ5+'数据-基础表'!BS5</f>
        <v>4115.91</v>
      </c>
      <c r="G28" s="57">
        <f>'数据-基础表'!BR5+'数据-基础表'!BT5</f>
        <v>3474.28</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2488.46</v>
      </c>
      <c r="E30" s="1140">
        <f>SUM(E28:E29)</f>
        <v>7590.1900000000005</v>
      </c>
      <c r="F30" s="1140">
        <f>SUM(F28:F29)</f>
        <v>4115.91</v>
      </c>
      <c r="G30" s="1142">
        <f>SUM(G28:G29)</f>
        <v>3474.28</v>
      </c>
      <c r="H30" s="2658"/>
      <c r="I30" s="2658"/>
      <c r="J30" s="2658"/>
      <c r="K30" s="2658"/>
      <c r="L30" s="2658"/>
      <c r="M30" s="2658"/>
      <c r="N30" s="2658"/>
      <c r="O30" s="2658"/>
      <c r="P30" s="2658"/>
    </row>
    <row r="31" spans="1:19" ht="15.75" thickBot="1">
      <c r="A31" s="1676"/>
      <c r="B31" s="1677"/>
      <c r="C31" s="835" t="s">
        <v>1157</v>
      </c>
      <c r="D31" s="676">
        <f>D27+D30</f>
        <v>95778.030000000013</v>
      </c>
      <c r="E31" s="676">
        <f>E27+E30</f>
        <v>292137.36</v>
      </c>
      <c r="F31" s="677">
        <f>F27+F30</f>
        <v>216848.6</v>
      </c>
      <c r="G31" s="678">
        <f>G27+G30</f>
        <v>75288.759999999995</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24" sqref="L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45631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3498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3422</v>
      </c>
      <c r="D6" s="858">
        <f>SUMIF(项目基本情况!C$12:I$12,C6,项目基本情况!C$14:I$14)</f>
        <v>50</v>
      </c>
      <c r="E6" s="857">
        <f>IF(B6="","",SUMIF(项目基本情况!C$12:I$12,C6,项目基本情况!C$13:I$13))</f>
        <v>59165</v>
      </c>
      <c r="F6" s="64">
        <f>SUMIF(项目基本情况!C$12:I$12,C6,项目基本情况!C$15:I$15)</f>
        <v>37.07</v>
      </c>
      <c r="G6" s="65">
        <f>IF(ISERROR(ROUND(POWER(1+H6,D6-F6)*(POWER(1+H6,F6)-1)/(POWER(1+H6,D6)-1),3)),0,ROUND(POWER(1+H6,D6-F6)*(POWER(1+H6,F6)-1)/(POWER(1+H6,D6)-1),3))</f>
        <v>0.91600000000000004</v>
      </c>
      <c r="H6" s="732">
        <v>0.05</v>
      </c>
      <c r="I6" s="732">
        <v>0.06</v>
      </c>
      <c r="J6" s="66">
        <v>7.4999999999999997E-2</v>
      </c>
      <c r="K6" s="1030">
        <f>SUMIF('数据-汇总表'!C$19:C$33,A6,'数据-汇总表'!E$19:E$33)</f>
        <v>284547.17</v>
      </c>
      <c r="L6" s="733">
        <f>面积表!F32</f>
        <v>10643</v>
      </c>
      <c r="M6" s="67">
        <f t="shared" ref="M6:M14" si="0">ROUND(K6*L6/10000,0)</f>
        <v>302844</v>
      </c>
      <c r="N6" s="731">
        <f>ROUND(1-(2024-2017)/60,2)</f>
        <v>0.88</v>
      </c>
      <c r="O6" s="67" t="str">
        <f>IF($N$5="成新度","——",ROUND(M6*N6,0))</f>
        <v>——</v>
      </c>
      <c r="P6" s="68" t="str">
        <f>IF($N$5="成新度","——",M6-O6)</f>
        <v>——</v>
      </c>
      <c r="Q6" s="734">
        <v>0.2</v>
      </c>
      <c r="R6" s="69">
        <f ca="1">SUMIF('数据-汇总表'!C$19:C$33,A6,'数据-汇总表'!R$19:R$27)</f>
        <v>95778.030000000013</v>
      </c>
      <c r="S6" s="51">
        <f>IF('数据-汇总表'!$I$17="按面积比例",SUMIF('数据-汇总表'!C$19:C$33,A6,'数据-汇总表'!K$19:K$33),SUMIF('数据-汇总表'!C$19:C$33,A6,'数据-汇总表'!N$19:N$33))</f>
        <v>7590.19</v>
      </c>
      <c r="T6" s="1172">
        <f>ROUND($L$14*S6/10000,0)</f>
        <v>4175</v>
      </c>
      <c r="U6" s="3426">
        <f>ROUND(面积表!K32,1)</f>
        <v>8.6999999999999993</v>
      </c>
      <c r="V6" s="70">
        <v>0</v>
      </c>
      <c r="W6" s="70">
        <v>0.15</v>
      </c>
      <c r="X6" s="1040"/>
      <c r="Y6" s="71">
        <f>N6</f>
        <v>0.88</v>
      </c>
      <c r="Z6" s="72"/>
      <c r="AA6" s="66"/>
      <c r="AB6" s="66"/>
      <c r="AC6" s="1040"/>
      <c r="AD6" s="73"/>
      <c r="AE6" s="1041">
        <f ca="1">IF(AN6="",0,SUMIF(INDIRECT("'"&amp;AN6&amp;"'"&amp;"!E:E"),$AE$5,INDIRECT("'"&amp;AN6&amp;"'"&amp;"!F:F")))</f>
        <v>37.07</v>
      </c>
      <c r="AF6" s="1348"/>
      <c r="AG6" s="138">
        <f>IF(AF6="",0,AE6-AF6)</f>
        <v>0</v>
      </c>
      <c r="AH6" s="74"/>
      <c r="AI6" s="76">
        <v>365</v>
      </c>
      <c r="AJ6" s="77"/>
      <c r="AK6" s="78">
        <v>1.4999999999999999E-2</v>
      </c>
      <c r="AL6" s="79">
        <v>1.5E-3</v>
      </c>
      <c r="AM6" s="80">
        <v>1.4999999999999999E-2</v>
      </c>
      <c r="AN6" s="1715" t="s">
        <v>3500</v>
      </c>
      <c r="AO6" s="52">
        <f ca="1">SUMIF(INDIRECT("'"&amp;AN6&amp;"'"&amp;"!A:A"),"总价",INDIRECT("'"&amp;AN6&amp;"'"&amp;"!B:B"))</f>
        <v>819607</v>
      </c>
      <c r="AP6" s="1716">
        <f>IF(C6="住宅",K6*L6,0)</f>
        <v>0</v>
      </c>
      <c r="AQ6" s="52">
        <f>ROUND($L$14*$N$14*S6/10000,0)</f>
        <v>3674</v>
      </c>
      <c r="AR6" s="52">
        <f>ROUND($L$14*(1-$N$14)*S6/10000,0)</f>
        <v>501</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7590.1900000000005</v>
      </c>
      <c r="L14" s="82">
        <f>面积表!F31</f>
        <v>5500</v>
      </c>
      <c r="M14" s="67">
        <f t="shared" si="0"/>
        <v>4175</v>
      </c>
      <c r="N14" s="83">
        <f>N6</f>
        <v>0.88</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0.91600000000000004</v>
      </c>
      <c r="H16" s="90">
        <f>ROUND(SUMPRODUCT(H6:H13,K6:K13)/SUMPRODUCT((H6:H13&gt;0)*(K6:K13)),3)</f>
        <v>0.05</v>
      </c>
      <c r="I16" s="91"/>
      <c r="J16" s="91"/>
      <c r="K16" s="92">
        <f>SUM(K6:K15)</f>
        <v>292137.36</v>
      </c>
      <c r="L16" s="93">
        <f>ROUND(M16*10000/SUM(K6:K14),0)</f>
        <v>10509</v>
      </c>
      <c r="M16" s="93">
        <f>SUM(M6:M14)</f>
        <v>307019</v>
      </c>
      <c r="N16" s="94">
        <f>ROUND(SUMPRODUCT(M6:M14,N6:N14)/M16,3)</f>
        <v>0.88</v>
      </c>
      <c r="O16" s="93">
        <f>SUM(O6:O14)</f>
        <v>0</v>
      </c>
      <c r="P16" s="93">
        <f>SUM(P6:P14)</f>
        <v>0</v>
      </c>
      <c r="Q16" s="95">
        <f>ROUND(SUMPRODUCT(Q6:Q13,K6:K13)/SUMPRODUCT((Q6:Q13&gt;0)*(K6:K13)),2)</f>
        <v>0.2</v>
      </c>
      <c r="R16" s="1034">
        <f ca="1">SUM(R6:R13)</f>
        <v>95778.030000000013</v>
      </c>
      <c r="S16" s="96">
        <f>SUM(S6:S13)</f>
        <v>7590.19</v>
      </c>
      <c r="T16" s="97">
        <f>IF(SUMIF(T6:T13,"&lt;9E307")=M14,SUMIF(T6:T13,"&lt;9E307"),"有误，请检查")</f>
        <v>4175</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t="s">
        <v>3499</v>
      </c>
      <c r="U18" s="2669">
        <v>8.9</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3</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f>B20</f>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170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4966</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0.1</v>
      </c>
      <c r="C33" s="2801" t="s">
        <v>3376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0.03</v>
      </c>
      <c r="C36" s="2801" t="s">
        <v>3377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0.03</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0.03</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90" t="s">
        <v>2285</v>
      </c>
      <c r="B1" s="3591"/>
      <c r="C1" s="3591"/>
      <c r="D1" s="3591"/>
      <c r="E1" s="3591"/>
      <c r="F1" s="3591"/>
      <c r="G1" s="359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zoomScaleSheetLayoutView="80" workbookViewId="0">
      <selection activeCell="K21" sqref="K21"/>
    </sheetView>
  </sheetViews>
  <sheetFormatPr defaultColWidth="9" defaultRowHeight="13.5"/>
  <cols>
    <col min="1" max="1" width="25" style="2512" customWidth="1"/>
    <col min="2" max="9" width="15.75" style="2512" customWidth="1"/>
    <col min="10" max="16384" width="9" style="2512"/>
  </cols>
  <sheetData>
    <row r="1" spans="1:13" ht="16.5">
      <c r="A1" s="2511" t="s">
        <v>665</v>
      </c>
      <c r="B1" s="2511">
        <f>SUM(B14:B23)</f>
        <v>351565.27</v>
      </c>
      <c r="C1" s="2684"/>
      <c r="D1" s="2684"/>
      <c r="E1" s="2684"/>
      <c r="F1" s="2684"/>
      <c r="G1" s="2685"/>
      <c r="H1" s="2686"/>
      <c r="I1" s="2686"/>
      <c r="J1" s="2686"/>
      <c r="K1" s="2686"/>
    </row>
    <row r="2" spans="1:13" ht="16.5">
      <c r="A2" s="2511" t="s">
        <v>653</v>
      </c>
      <c r="B2" s="2511">
        <f>SUM(C14:C23)</f>
        <v>116233.68</v>
      </c>
      <c r="C2" s="2684"/>
      <c r="D2" s="2684"/>
      <c r="E2" s="2684"/>
      <c r="F2" s="2684"/>
      <c r="G2" s="2685"/>
      <c r="H2" s="2686"/>
      <c r="I2" s="2686"/>
      <c r="J2" s="2686"/>
      <c r="K2" s="2686"/>
    </row>
    <row r="3" spans="1:13" ht="16.5">
      <c r="A3" s="2511" t="s">
        <v>662</v>
      </c>
      <c r="B3" s="2513">
        <f>项目基本情况!D3</f>
        <v>45631</v>
      </c>
      <c r="C3" s="2684"/>
      <c r="D3" s="2684"/>
      <c r="E3" s="2684"/>
      <c r="F3" s="2684"/>
      <c r="G3" s="2685"/>
      <c r="H3" s="2686"/>
      <c r="I3" s="2686"/>
      <c r="J3" s="2686"/>
      <c r="K3" s="2686"/>
    </row>
    <row r="4" spans="1:13" ht="33">
      <c r="A4" s="2511" t="s">
        <v>661</v>
      </c>
      <c r="B4" s="2511" t="s">
        <v>660</v>
      </c>
      <c r="C4" s="2511" t="s">
        <v>659</v>
      </c>
      <c r="D4" s="2511" t="s">
        <v>658</v>
      </c>
      <c r="E4" s="2684"/>
      <c r="F4" s="2685"/>
      <c r="G4" s="2685"/>
      <c r="H4" s="2686"/>
      <c r="I4" s="2686"/>
      <c r="J4" s="2686"/>
      <c r="K4" s="2686"/>
    </row>
    <row r="5" spans="1:13" ht="16.5">
      <c r="A5" s="2511" t="s">
        <v>657</v>
      </c>
      <c r="B5" s="2511">
        <f ca="1">SUM(D14:D23)</f>
        <v>833534</v>
      </c>
      <c r="C5" s="2511">
        <f ca="1">IF(B5=D14,结果表!H102,ROUND(B5*10000/$B$1,0))</f>
        <v>23709</v>
      </c>
      <c r="D5" s="2511">
        <f ca="1">ROUND(B5*10000/$B$2,0)</f>
        <v>71712</v>
      </c>
      <c r="E5" s="2684"/>
      <c r="F5" s="2685"/>
      <c r="G5" s="2685"/>
      <c r="H5" s="2686"/>
      <c r="I5" s="2686"/>
      <c r="J5" s="2686"/>
      <c r="K5" s="2686"/>
    </row>
    <row r="6" spans="1:13" ht="16.5">
      <c r="A6" s="2511" t="s">
        <v>656</v>
      </c>
      <c r="B6" s="2511">
        <f ca="1">SUM(G14:G23)</f>
        <v>833534</v>
      </c>
      <c r="C6" s="2511">
        <f ca="1">IF(B6=G14,结果表!H108,ROUND(B6*10000/$B$1,0))</f>
        <v>23709</v>
      </c>
      <c r="D6" s="2511">
        <f ca="1">ROUND(B6*10000/$B$2,0)</f>
        <v>71712</v>
      </c>
      <c r="E6" s="2684"/>
      <c r="F6" s="2685"/>
      <c r="G6" s="2685"/>
      <c r="H6" s="2686"/>
      <c r="I6" s="2686"/>
      <c r="J6" s="2686"/>
      <c r="K6" s="2686"/>
    </row>
    <row r="7" spans="1:13" ht="16.5">
      <c r="A7" s="2511" t="s">
        <v>664</v>
      </c>
      <c r="B7" s="2511">
        <f>SUM(H14:H23)</f>
        <v>0</v>
      </c>
      <c r="C7" s="2511" t="str">
        <f>IF(B7=H14,结果表!H110,ROUND(B7*10000/$B$1,0))</f>
        <v>——</v>
      </c>
      <c r="D7" s="2511">
        <f>ROUND(B7*10000/$B$2,0)</f>
        <v>0</v>
      </c>
      <c r="E7" s="2684"/>
      <c r="F7" s="2685"/>
      <c r="G7" s="2685"/>
      <c r="H7" s="2686"/>
      <c r="I7" s="2686"/>
      <c r="J7" s="2686"/>
      <c r="K7" s="2686"/>
    </row>
    <row r="8" spans="1:13" ht="16.5">
      <c r="A8" s="2511" t="s">
        <v>587</v>
      </c>
      <c r="B8" s="2511">
        <f>SUM(I14:I23)</f>
        <v>0</v>
      </c>
      <c r="C8" s="2511" t="str">
        <f>IF(B8=I14,结果表!H112,ROUND(B8*10000/$B$1,0))</f>
        <v>——</v>
      </c>
      <c r="D8" s="2511">
        <f>ROUND(B8*10000/$B$2,0)</f>
        <v>0</v>
      </c>
      <c r="E8" s="2684"/>
      <c r="F8" s="2685"/>
      <c r="G8" s="2685"/>
      <c r="H8" s="2686"/>
      <c r="I8" s="2686"/>
      <c r="J8" s="2686"/>
      <c r="K8" s="2686"/>
    </row>
    <row r="9" spans="1:13" ht="16.5">
      <c r="A9" s="2511" t="s">
        <v>655</v>
      </c>
      <c r="B9" s="2519"/>
      <c r="C9" s="2684"/>
      <c r="D9" s="2684"/>
      <c r="E9" s="2684"/>
      <c r="F9" s="2685"/>
      <c r="G9" s="2685"/>
      <c r="H9" s="2686"/>
      <c r="I9" s="2686"/>
      <c r="J9" s="2686"/>
      <c r="K9" s="2686"/>
    </row>
    <row r="10" spans="1:13" ht="16.5">
      <c r="A10" s="2511" t="s">
        <v>654</v>
      </c>
      <c r="B10" s="2511">
        <f>IF(E10="",0,ROUND(B1*(E10*365/G10)/10000,0))</f>
        <v>0</v>
      </c>
      <c r="C10" s="2511" t="s">
        <v>3356</v>
      </c>
      <c r="D10" s="2511" t="s">
        <v>3357</v>
      </c>
      <c r="E10" s="3439"/>
      <c r="F10" s="3443" t="s">
        <v>3358</v>
      </c>
      <c r="G10" s="3440"/>
      <c r="H10" s="2686"/>
      <c r="I10" s="2686"/>
      <c r="J10" s="2686"/>
      <c r="K10" s="2686"/>
    </row>
    <row r="11" spans="1:13" ht="16.5">
      <c r="A11" s="2511" t="s">
        <v>670</v>
      </c>
      <c r="B11" s="2519"/>
      <c r="C11" s="2684"/>
      <c r="D11" s="2684"/>
      <c r="E11" s="2684"/>
      <c r="F11" s="2685"/>
      <c r="G11" s="2685"/>
      <c r="H11" s="2686"/>
      <c r="I11" s="2686"/>
      <c r="J11" s="2686"/>
      <c r="K11" s="2686"/>
    </row>
    <row r="12" spans="1:13" ht="16.5">
      <c r="A12" s="2684"/>
      <c r="B12" s="2684"/>
      <c r="C12" s="2684"/>
      <c r="D12" s="2684"/>
      <c r="E12" s="2684"/>
      <c r="F12" s="2685"/>
      <c r="G12" s="2685"/>
      <c r="H12" s="2686"/>
      <c r="I12" s="2686"/>
      <c r="J12" s="2686"/>
      <c r="K12" s="2686"/>
    </row>
    <row r="13" spans="1:13" ht="33">
      <c r="A13" s="2514" t="s">
        <v>669</v>
      </c>
      <c r="B13" s="2515" t="s">
        <v>666</v>
      </c>
      <c r="C13" s="2515" t="s">
        <v>668</v>
      </c>
      <c r="D13" s="2515" t="s">
        <v>667</v>
      </c>
      <c r="E13" s="2511" t="s">
        <v>659</v>
      </c>
      <c r="F13" s="2511" t="s">
        <v>658</v>
      </c>
      <c r="G13" s="2515" t="s">
        <v>652</v>
      </c>
      <c r="H13" s="2515" t="s">
        <v>663</v>
      </c>
      <c r="I13" s="2515" t="s">
        <v>651</v>
      </c>
      <c r="J13" s="2685" t="s">
        <v>3524</v>
      </c>
      <c r="K13" s="2686"/>
      <c r="L13" s="2512" t="s">
        <v>3523</v>
      </c>
    </row>
    <row r="14" spans="1:13" ht="16.5">
      <c r="A14" s="2516" t="s">
        <v>650</v>
      </c>
      <c r="B14" s="2517">
        <f>结果表!B118</f>
        <v>292137.36</v>
      </c>
      <c r="C14" s="2517">
        <f>结果表!C118</f>
        <v>95778.03</v>
      </c>
      <c r="D14" s="2517">
        <f ca="1">结果表!H118</f>
        <v>721702</v>
      </c>
      <c r="E14" s="2517">
        <f ca="1">ROUND(D14*10000/B14,0)</f>
        <v>24704</v>
      </c>
      <c r="F14" s="2517">
        <f ca="1">ROUND(D14*10000/C14,0)</f>
        <v>75352</v>
      </c>
      <c r="G14" s="2517">
        <f ca="1">结果表!D122</f>
        <v>721702</v>
      </c>
      <c r="H14" s="2517"/>
      <c r="I14" s="2517"/>
      <c r="J14" s="2685">
        <v>775881</v>
      </c>
      <c r="K14" s="2686">
        <f ca="1">(D14-J14)/J14</f>
        <v>-6.9829007283333397E-2</v>
      </c>
      <c r="L14" s="2685">
        <v>784569</v>
      </c>
      <c r="M14" s="2512">
        <f>(J14-L14)/L14</f>
        <v>-1.107359582140003E-2</v>
      </c>
    </row>
    <row r="15" spans="1:13" ht="16.5">
      <c r="A15" s="2516" t="s">
        <v>649</v>
      </c>
      <c r="B15" s="2518">
        <f>[2]系统读取表!$B$14</f>
        <v>59427.91</v>
      </c>
      <c r="C15" s="2518">
        <f>[2]系统读取表!$C$14</f>
        <v>20455.650000000001</v>
      </c>
      <c r="D15" s="2518">
        <f>[2]系统读取表!$D$14</f>
        <v>111832</v>
      </c>
      <c r="E15" s="2517">
        <f t="shared" ref="E15:E23" si="0">ROUND(D15*10000/B15,0)</f>
        <v>18818</v>
      </c>
      <c r="F15" s="2517">
        <f t="shared" ref="F15:F23" si="1">ROUND(D15*10000/C15,0)</f>
        <v>54670</v>
      </c>
      <c r="G15" s="1331">
        <f>[2]系统读取表!$G$14</f>
        <v>111832</v>
      </c>
      <c r="H15" s="1331"/>
      <c r="I15" s="2518"/>
      <c r="J15" s="2685">
        <v>117217</v>
      </c>
      <c r="K15" s="2686">
        <f>(D15-J15)/J15</f>
        <v>-4.5940435261096937E-2</v>
      </c>
      <c r="L15" s="2685">
        <v>127807</v>
      </c>
      <c r="M15" s="2512">
        <f t="shared" ref="M15:M16" si="2">(J15-L15)/L15</f>
        <v>-8.285931130532756E-2</v>
      </c>
    </row>
    <row r="16" spans="1:13" ht="16.5">
      <c r="A16" s="2516" t="s">
        <v>648</v>
      </c>
      <c r="B16" s="2518"/>
      <c r="C16" s="2518"/>
      <c r="D16" s="2518"/>
      <c r="E16" s="2517" t="e">
        <f t="shared" si="0"/>
        <v>#DIV/0!</v>
      </c>
      <c r="F16" s="2517" t="e">
        <f t="shared" si="1"/>
        <v>#DIV/0!</v>
      </c>
      <c r="G16" s="1331"/>
      <c r="H16" s="1331"/>
      <c r="I16" s="2518"/>
      <c r="J16" s="2686">
        <f>J14+J15</f>
        <v>893098</v>
      </c>
      <c r="K16" s="2686">
        <f ca="1">(B5-J16)/J16</f>
        <v>-6.6693688710533452E-2</v>
      </c>
      <c r="L16" s="2686">
        <f>L14+L15</f>
        <v>912376</v>
      </c>
      <c r="M16" s="2512">
        <f t="shared" si="2"/>
        <v>-2.1129446631651862E-2</v>
      </c>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4" sqref="J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59" t="str">
        <f>项目基本情况!S2</f>
        <v>北京市通州区宋庄镇尹各庄村新建科研用地房地产</v>
      </c>
      <c r="B2" s="3660"/>
      <c r="C2" s="3660"/>
      <c r="D2" s="3660"/>
      <c r="E2" s="3660"/>
      <c r="F2" s="3660"/>
      <c r="G2" s="3660"/>
      <c r="H2" s="3660"/>
      <c r="I2" s="3661"/>
    </row>
    <row r="3" spans="1:12" ht="12.75">
      <c r="A3" s="3663" t="s">
        <v>1263</v>
      </c>
      <c r="B3" s="3664"/>
      <c r="C3" s="3664"/>
      <c r="D3" s="3664"/>
      <c r="E3" s="3664"/>
      <c r="F3" s="3664"/>
      <c r="G3" s="3664"/>
      <c r="H3" s="3664"/>
      <c r="I3" s="3664"/>
    </row>
    <row r="4" spans="1:12" ht="14.25">
      <c r="A4" s="1754" t="s">
        <v>1264</v>
      </c>
      <c r="B4" s="1755" t="s">
        <v>1265</v>
      </c>
      <c r="C4" s="1756" t="s">
        <v>3504</v>
      </c>
      <c r="D4" s="1756" t="s">
        <v>3500</v>
      </c>
      <c r="E4" s="3668" t="s">
        <v>1266</v>
      </c>
      <c r="F4" s="3669"/>
      <c r="G4" s="3669"/>
      <c r="H4" s="3669"/>
      <c r="I4" s="367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1267</v>
      </c>
      <c r="B5" s="3662">
        <v>25</v>
      </c>
      <c r="C5" s="3665"/>
      <c r="D5" s="3653"/>
      <c r="E5" s="131" t="s">
        <v>1268</v>
      </c>
      <c r="F5" s="1757"/>
      <c r="G5" s="1757"/>
      <c r="H5" s="1757"/>
      <c r="I5" s="1373"/>
    </row>
    <row r="6" spans="1:12" ht="12.75">
      <c r="A6" s="3607"/>
      <c r="B6" s="3662"/>
      <c r="C6" s="3667"/>
      <c r="D6" s="3653"/>
      <c r="E6" s="131" t="s">
        <v>1269</v>
      </c>
      <c r="F6" s="1757"/>
      <c r="G6" s="1757"/>
      <c r="H6" s="1757"/>
      <c r="I6" s="1373"/>
    </row>
    <row r="7" spans="1:12" ht="12.75">
      <c r="A7" s="3607"/>
      <c r="B7" s="3662"/>
      <c r="C7" s="3666"/>
      <c r="D7" s="3653"/>
      <c r="E7" s="131" t="s">
        <v>1270</v>
      </c>
      <c r="F7" s="1757"/>
      <c r="G7" s="1757"/>
      <c r="H7" s="1757"/>
      <c r="I7" s="1373"/>
    </row>
    <row r="8" spans="1:12" ht="12.75">
      <c r="A8" s="3607" t="s">
        <v>1271</v>
      </c>
      <c r="B8" s="3662">
        <v>15</v>
      </c>
      <c r="C8" s="3665"/>
      <c r="D8" s="3653"/>
      <c r="E8" s="131" t="s">
        <v>1272</v>
      </c>
      <c r="F8" s="1757"/>
      <c r="G8" s="1757"/>
      <c r="H8" s="1757"/>
      <c r="I8" s="1373"/>
    </row>
    <row r="9" spans="1:12" ht="12.75">
      <c r="A9" s="3607"/>
      <c r="B9" s="3662"/>
      <c r="C9" s="3666"/>
      <c r="D9" s="3653"/>
      <c r="E9" s="131" t="s">
        <v>1273</v>
      </c>
      <c r="F9" s="1757"/>
      <c r="G9" s="1757"/>
      <c r="H9" s="1757"/>
      <c r="I9" s="1373"/>
    </row>
    <row r="10" spans="1:12" ht="12.75">
      <c r="A10" s="3607" t="s">
        <v>1274</v>
      </c>
      <c r="B10" s="3662">
        <v>15</v>
      </c>
      <c r="C10" s="3665"/>
      <c r="D10" s="3653"/>
      <c r="E10" s="131" t="s">
        <v>1275</v>
      </c>
      <c r="F10" s="1757"/>
      <c r="G10" s="1757"/>
      <c r="H10" s="1757"/>
      <c r="I10" s="1373"/>
    </row>
    <row r="11" spans="1:12" ht="12.75">
      <c r="A11" s="3607"/>
      <c r="B11" s="3662"/>
      <c r="C11" s="3666"/>
      <c r="D11" s="3653"/>
      <c r="E11" s="131" t="s">
        <v>1276</v>
      </c>
      <c r="F11" s="1757"/>
      <c r="G11" s="1757"/>
      <c r="H11" s="1757"/>
      <c r="I11" s="1373"/>
    </row>
    <row r="12" spans="1:12" ht="12.75">
      <c r="A12" s="3607" t="s">
        <v>1277</v>
      </c>
      <c r="B12" s="3662">
        <v>15</v>
      </c>
      <c r="C12" s="3665"/>
      <c r="D12" s="3653"/>
      <c r="E12" s="131" t="s">
        <v>1278</v>
      </c>
      <c r="F12" s="1757"/>
      <c r="G12" s="1757"/>
      <c r="H12" s="1757"/>
      <c r="I12" s="1373"/>
    </row>
    <row r="13" spans="1:12" ht="12.75">
      <c r="A13" s="3607"/>
      <c r="B13" s="3662"/>
      <c r="C13" s="3666"/>
      <c r="D13" s="3653"/>
      <c r="E13" s="131" t="s">
        <v>1279</v>
      </c>
      <c r="F13" s="1757"/>
      <c r="G13" s="1757"/>
      <c r="H13" s="1757"/>
      <c r="I13" s="1373"/>
    </row>
    <row r="14" spans="1:12" ht="12.75">
      <c r="A14" s="3607" t="s">
        <v>1280</v>
      </c>
      <c r="B14" s="3662">
        <v>30</v>
      </c>
      <c r="C14" s="3665">
        <v>4</v>
      </c>
      <c r="D14" s="3653">
        <v>6</v>
      </c>
      <c r="E14" s="131" t="s">
        <v>1281</v>
      </c>
      <c r="F14" s="1757"/>
      <c r="G14" s="1757"/>
      <c r="H14" s="1757"/>
      <c r="I14" s="1373"/>
    </row>
    <row r="15" spans="1:12" ht="12.75">
      <c r="A15" s="3607"/>
      <c r="B15" s="3662"/>
      <c r="C15" s="3667"/>
      <c r="D15" s="3653"/>
      <c r="E15" s="131" t="s">
        <v>1282</v>
      </c>
      <c r="F15" s="1757"/>
      <c r="G15" s="1757"/>
      <c r="H15" s="1757"/>
      <c r="I15" s="1373"/>
    </row>
    <row r="16" spans="1:12" ht="12.75">
      <c r="A16" s="3607"/>
      <c r="B16" s="3662"/>
      <c r="C16" s="3666"/>
      <c r="D16" s="3653"/>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84" t="s">
        <v>2130</v>
      </c>
      <c r="F18" s="3685"/>
      <c r="G18" s="3685"/>
      <c r="H18" s="3685"/>
      <c r="I18" s="3685"/>
      <c r="K18" s="302" t="s">
        <v>1288</v>
      </c>
      <c r="L18" s="302">
        <f>IF(C1="",'数据-汇总表'!E3,SUMIF(项目类型,C1,'数据-汇总表'!E17:E26)+SUMIF(项目类型,C1,'数据-汇总表'!I17:I26))</f>
        <v>292137.36</v>
      </c>
      <c r="M18" s="302">
        <f>IF(C1="",'数据-汇总表'!E3,SUMIF(项目类型,C1,'数据-汇总表'!E17:E26))</f>
        <v>292137.36</v>
      </c>
    </row>
    <row r="19" spans="1:36" ht="15">
      <c r="A19" s="1761" t="s">
        <v>1289</v>
      </c>
      <c r="B19" s="1762" t="s">
        <v>1290</v>
      </c>
      <c r="C19" s="134">
        <f ca="1">SUMIF(INDIRECT("'"&amp;C4&amp;"'"&amp;"!A:A"),结果表!B19,INDIRECT("'"&amp;C4&amp;"'"&amp;"!B:B"))</f>
        <v>574844</v>
      </c>
      <c r="D19" s="135">
        <f ca="1">SUMIF(INDIRECT("'"&amp;D4&amp;"'"&amp;"!A:A"),结果表!B19,INDIRECT("'"&amp;D4&amp;"'"&amp;"!B:B"))</f>
        <v>819607</v>
      </c>
      <c r="E19" s="1761" t="s">
        <v>1291</v>
      </c>
      <c r="F19" s="1762" t="s">
        <v>1290</v>
      </c>
      <c r="G19" s="136">
        <f ca="1">ROUND(C19*$C$18+D19*$D$18,0)</f>
        <v>721702</v>
      </c>
      <c r="H19" s="1763" t="s">
        <v>1292</v>
      </c>
      <c r="I19" s="129"/>
      <c r="K19" s="302" t="s">
        <v>1293</v>
      </c>
      <c r="L19" s="302">
        <f>IF(C1="",'数据-汇总表'!D3,SUMIF(项目类型,C1,'数据-汇总表'!D17:D26)+SUMIF(项目类型,C1,'数据-汇总表'!H17:H27))</f>
        <v>95778.03</v>
      </c>
      <c r="M19" s="302">
        <f>IF(C1="",'数据-汇总表'!D3,SUMIF(项目类型,C1,'数据-汇总表'!D17:D26))</f>
        <v>95778.03</v>
      </c>
    </row>
    <row r="20" spans="1:36" ht="15">
      <c r="A20" s="1764"/>
      <c r="B20" s="1026" t="s">
        <v>1294</v>
      </c>
      <c r="C20" s="137">
        <f ca="1">SUMIF(INDIRECT("'"&amp;C4&amp;"'"&amp;"!A:A"),结果表!B20,INDIRECT("'"&amp;C4&amp;"'"&amp;"!B:B"))</f>
        <v>19677</v>
      </c>
      <c r="D20" s="138">
        <f ca="1">SUMIF(INDIRECT("'"&amp;D4&amp;"'"&amp;"!A:A"),结果表!B20,INDIRECT("'"&amp;D4&amp;"'"&amp;"!B:B"))</f>
        <v>28804</v>
      </c>
      <c r="E20" s="1764"/>
      <c r="F20" s="1026" t="s">
        <v>1294</v>
      </c>
      <c r="G20" s="139">
        <f ca="1">ROUND(C20*$C$18+D20*$D$18,0)</f>
        <v>25153</v>
      </c>
      <c r="H20" s="808" t="s">
        <v>1295</v>
      </c>
      <c r="I20" s="129"/>
      <c r="J20" s="725" t="s">
        <v>3499</v>
      </c>
    </row>
    <row r="21" spans="1:36" ht="15" customHeight="1" thickBot="1">
      <c r="A21" s="828"/>
      <c r="B21" s="1765" t="s">
        <v>1296</v>
      </c>
      <c r="C21" s="719">
        <f ca="1">ROUND(C19*10000/L19,0)</f>
        <v>60018</v>
      </c>
      <c r="D21" s="720">
        <f ca="1">ROUND(D19*10000/L19,0)</f>
        <v>85574</v>
      </c>
      <c r="E21" s="828"/>
      <c r="F21" s="1765" t="s">
        <v>1296</v>
      </c>
      <c r="G21" s="140">
        <f ca="1">ROUND(G19*10000/L19,0)</f>
        <v>75352</v>
      </c>
      <c r="H21" s="1766" t="s">
        <v>1295</v>
      </c>
      <c r="I21" s="129"/>
      <c r="J21" s="725">
        <v>775881</v>
      </c>
    </row>
    <row r="22" spans="1:36" ht="15" thickBot="1">
      <c r="A22" s="1688" t="s">
        <v>1297</v>
      </c>
      <c r="B22" s="1767"/>
      <c r="C22" s="1768"/>
      <c r="D22" s="721">
        <f ca="1">IF(C19&lt;D19,D19/C19-1,C19/D19-1)</f>
        <v>0.4257903013687192</v>
      </c>
      <c r="E22" s="129"/>
      <c r="F22" s="129"/>
      <c r="G22" s="129"/>
      <c r="H22" s="129"/>
      <c r="I22" s="129"/>
      <c r="J22" s="725">
        <v>26559</v>
      </c>
    </row>
    <row r="23" spans="1:36" ht="13.5" thickBot="1">
      <c r="A23" s="1747"/>
      <c r="B23" s="1747"/>
      <c r="C23" s="1747"/>
      <c r="D23" s="1747"/>
      <c r="E23" s="129"/>
      <c r="F23" s="129"/>
      <c r="G23" s="129"/>
      <c r="H23" s="129"/>
      <c r="I23" s="129"/>
    </row>
    <row r="24" spans="1:36" ht="14.25">
      <c r="A24" s="3677" t="s">
        <v>1298</v>
      </c>
      <c r="B24" s="1762" t="s">
        <v>1290</v>
      </c>
      <c r="C24" s="136">
        <f>IF(B30=0,0,D30)</f>
        <v>0</v>
      </c>
      <c r="D24" s="1769"/>
      <c r="E24" s="129"/>
      <c r="F24" s="129"/>
      <c r="G24" s="129"/>
      <c r="H24" s="129"/>
      <c r="I24" s="129"/>
      <c r="J24" s="725">
        <f ca="1">(J21-H118)/J21</f>
        <v>6.9829007283333397E-2</v>
      </c>
    </row>
    <row r="25" spans="1:36" ht="14.25">
      <c r="A25" s="367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3.3281376960699767</v>
      </c>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721702</v>
      </c>
      <c r="D32" s="1775" t="s">
        <v>3520</v>
      </c>
      <c r="E32" s="129"/>
      <c r="F32" s="129"/>
      <c r="G32" s="129"/>
      <c r="H32" s="129"/>
      <c r="I32" s="129"/>
    </row>
    <row r="33" spans="1:15" ht="15">
      <c r="A33" s="786" t="s">
        <v>1305</v>
      </c>
      <c r="B33" s="1776"/>
      <c r="C33" s="1777" t="s">
        <v>3521</v>
      </c>
      <c r="D33" s="1778" t="s">
        <v>3504</v>
      </c>
      <c r="E33" s="1779" t="s">
        <v>1306</v>
      </c>
      <c r="F33" s="1780" t="str">
        <f>IF(D32="楼面单价","取值（单价）","取值（总价）")</f>
        <v>取值（总价）</v>
      </c>
      <c r="G33" s="129"/>
      <c r="H33" s="129"/>
      <c r="I33" s="129"/>
    </row>
    <row r="34" spans="1:15" ht="15">
      <c r="A34" s="1781"/>
      <c r="B34" s="1782" t="s">
        <v>1307</v>
      </c>
      <c r="C34" s="148">
        <f ca="1">IF(C33="自定义",F34,C32-C35)</f>
        <v>171765</v>
      </c>
      <c r="D34" s="861">
        <f ca="1">IF(C33="自定义",ROUND(C34/C32,3),IF(C33="收益比率",SUMIF(INDIRECT("'"&amp;D33&amp;"'"&amp;"!b:b"),"土地收益比率",INDIRECT("'"&amp;D33&amp;"'"&amp;"!c:c")),SUMIF(INDIRECT("'"&amp;D33&amp;"'"&amp;"!b:b"),"土地成本比率",INDIRECT("'"&amp;D33&amp;"'"&amp;"!c:c"))))</f>
        <v>0.23799999999999999</v>
      </c>
      <c r="E34" s="1783" t="s">
        <v>1308</v>
      </c>
      <c r="F34" s="1330"/>
      <c r="G34" s="129"/>
      <c r="H34" s="129"/>
      <c r="I34" s="129"/>
    </row>
    <row r="35" spans="1:15" ht="15.75" thickBot="1">
      <c r="A35" s="1784"/>
      <c r="B35" s="1785" t="s">
        <v>1309</v>
      </c>
      <c r="C35" s="1170">
        <f ca="1">IF(C33="自定义",F35,ROUND(C32*D35,0))</f>
        <v>549937</v>
      </c>
      <c r="D35" s="1171">
        <f ca="1">IF(C33="自定义",ROUND(C35/C32,3),IF(C33="收益比率",SUMIF(INDIRECT("'"&amp;D33&amp;"'"&amp;"!b:b"),"建筑物收益比率",INDIRECT("'"&amp;D33&amp;"'"&amp;"!c:c")),SUMIF(INDIRECT("'"&amp;D33&amp;"'"&amp;"!b:b"),"建筑物成本比率",INDIRECT("'"&amp;D33&amp;"'"&amp;"!c:c"))))</f>
        <v>0.76200000000000001</v>
      </c>
      <c r="E35" s="1786" t="s">
        <v>1310</v>
      </c>
      <c r="F35" s="154"/>
      <c r="G35" s="129"/>
      <c r="H35" s="129"/>
      <c r="I35" s="129"/>
    </row>
    <row r="36" spans="1:15" ht="15.75" thickBot="1">
      <c r="A36" s="3654" t="s">
        <v>1311</v>
      </c>
      <c r="B36" s="1787" t="s">
        <v>1312</v>
      </c>
      <c r="C36" s="145"/>
      <c r="D36" s="1788"/>
      <c r="E36" s="1789"/>
      <c r="F36" s="1790"/>
      <c r="G36" s="129"/>
      <c r="H36" s="129"/>
      <c r="I36" s="129"/>
    </row>
    <row r="37" spans="1:15" ht="15.75" thickBot="1">
      <c r="A37" s="3655"/>
      <c r="B37" s="1674" t="s">
        <v>1313</v>
      </c>
      <c r="C37" s="147"/>
      <c r="D37" s="1139"/>
      <c r="E37" s="1139"/>
      <c r="F37" s="1790"/>
      <c r="G37" s="129"/>
      <c r="H37" s="129"/>
      <c r="I37" s="129"/>
    </row>
    <row r="38" spans="1:15" ht="15.75" thickBot="1">
      <c r="A38" s="365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74" t="s">
        <v>1325</v>
      </c>
      <c r="B45" s="3675"/>
      <c r="C45" s="3676"/>
      <c r="D45" s="155">
        <f ca="1">ROUND(H101*F45,0)</f>
        <v>721702</v>
      </c>
      <c r="E45" s="156" t="s">
        <v>1326</v>
      </c>
      <c r="F45" s="157">
        <v>1</v>
      </c>
      <c r="G45" s="158" t="s">
        <v>1327</v>
      </c>
      <c r="H45" s="129"/>
      <c r="I45" s="129"/>
      <c r="J45" s="3594" t="s">
        <v>1328</v>
      </c>
      <c r="K45" s="3594"/>
      <c r="L45" s="3594"/>
      <c r="M45" s="3594"/>
      <c r="N45" s="3594"/>
      <c r="O45" s="3594"/>
    </row>
    <row r="46" spans="1:15" ht="14.25" customHeight="1">
      <c r="A46" s="3671" t="s">
        <v>1329</v>
      </c>
      <c r="B46" s="3672"/>
      <c r="C46" s="3672"/>
      <c r="D46" s="3672"/>
      <c r="E46" s="3672"/>
      <c r="F46" s="3672"/>
      <c r="G46" s="3673"/>
      <c r="H46" s="1806"/>
      <c r="I46" s="159"/>
      <c r="J46" s="2522">
        <v>1</v>
      </c>
      <c r="K46" s="3595" t="s">
        <v>1330</v>
      </c>
      <c r="L46" s="3595"/>
      <c r="M46" s="3596"/>
      <c r="N46" s="3596"/>
      <c r="O46" s="3596"/>
    </row>
    <row r="47" spans="1:15" ht="12" customHeight="1">
      <c r="A47" s="160" t="s">
        <v>1331</v>
      </c>
      <c r="B47" s="161"/>
      <c r="C47" s="162"/>
      <c r="D47" s="1087" t="s">
        <v>1332</v>
      </c>
      <c r="E47" s="302" t="s">
        <v>1333</v>
      </c>
      <c r="F47" s="163" t="s">
        <v>1334</v>
      </c>
      <c r="G47" s="2545" t="s">
        <v>1335</v>
      </c>
      <c r="H47" s="2546"/>
      <c r="I47" s="159"/>
      <c r="J47" s="2522">
        <v>2</v>
      </c>
      <c r="K47" s="3595" t="s">
        <v>1336</v>
      </c>
      <c r="L47" s="3595"/>
      <c r="M47" s="3597">
        <f>'数据-取费表'!B2</f>
        <v>45631</v>
      </c>
      <c r="N47" s="3597"/>
      <c r="O47" s="3597"/>
    </row>
    <row r="48" spans="1:15" ht="25.5">
      <c r="A48" s="3657" t="s">
        <v>1337</v>
      </c>
      <c r="B48" s="3658"/>
      <c r="C48" s="3658"/>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595" t="s">
        <v>1339</v>
      </c>
      <c r="L48" s="3595"/>
      <c r="M48" s="3598">
        <f ca="1">H101</f>
        <v>721702</v>
      </c>
      <c r="N48" s="3598"/>
      <c r="O48" s="3598"/>
    </row>
    <row r="49" spans="1:35" ht="25.5" customHeight="1">
      <c r="A49" s="2333" t="s">
        <v>1340</v>
      </c>
      <c r="B49" s="3643" t="s">
        <v>1341</v>
      </c>
      <c r="C49" s="3643"/>
      <c r="D49" s="1590">
        <v>0</v>
      </c>
      <c r="E49" s="324" t="s">
        <v>1342</v>
      </c>
      <c r="F49" s="2423" t="s">
        <v>28</v>
      </c>
      <c r="G49" s="3626"/>
      <c r="H49" s="2310" t="s">
        <v>2133</v>
      </c>
      <c r="I49" s="2311"/>
      <c r="J49" s="2522">
        <v>4</v>
      </c>
      <c r="K49" s="3595" t="str">
        <f>IF(项目基本情况!E8="房地产抵押价值","房地产抵押价值","抵押担保权已注销时的房地产抵押价值")</f>
        <v>房地产抵押价值</v>
      </c>
      <c r="L49" s="3595"/>
      <c r="M49" s="3598">
        <f ca="1">IF(项目基本情况!E8="房地产抵押价值",H107,H109)</f>
        <v>721702</v>
      </c>
      <c r="N49" s="3598"/>
      <c r="O49" s="3598"/>
    </row>
    <row r="50" spans="1:35" ht="25.5" customHeight="1">
      <c r="A50" s="2550"/>
      <c r="B50" s="3643" t="s">
        <v>1343</v>
      </c>
      <c r="C50" s="3643"/>
      <c r="D50" s="2551"/>
      <c r="E50" s="332"/>
      <c r="F50" s="2423"/>
      <c r="G50" s="3627"/>
      <c r="H50" s="2312" t="s">
        <v>2134</v>
      </c>
      <c r="I50" s="2311"/>
      <c r="J50" s="3594" t="s">
        <v>1344</v>
      </c>
      <c r="K50" s="3594"/>
      <c r="L50" s="3594"/>
      <c r="M50" s="3594"/>
      <c r="N50" s="3594"/>
      <c r="O50" s="3594"/>
    </row>
    <row r="51" spans="1:35" ht="20.45" customHeight="1">
      <c r="A51" s="2552"/>
      <c r="B51" s="3643" t="s">
        <v>1345</v>
      </c>
      <c r="C51" s="3643"/>
      <c r="D51" s="1087"/>
      <c r="E51" s="327"/>
      <c r="F51" s="2423"/>
      <c r="G51" s="3628"/>
      <c r="H51" s="2312" t="s">
        <v>2135</v>
      </c>
      <c r="I51" s="2311"/>
      <c r="J51" s="2523" t="s">
        <v>1346</v>
      </c>
      <c r="K51" s="3595" t="s">
        <v>1347</v>
      </c>
      <c r="L51" s="3595"/>
      <c r="M51" s="2523" t="s">
        <v>1348</v>
      </c>
      <c r="N51" s="2523" t="s">
        <v>1349</v>
      </c>
      <c r="O51" s="2523" t="s">
        <v>1350</v>
      </c>
    </row>
    <row r="52" spans="1:35" ht="24" customHeight="1">
      <c r="A52" s="2335" t="s">
        <v>1351</v>
      </c>
      <c r="B52" s="3643" t="s">
        <v>1352</v>
      </c>
      <c r="C52" s="3643"/>
      <c r="D52" s="1087">
        <f ca="1">ROUND(D45*'数据-取费表'!B41/(1+'数据-取费表'!C42),0)</f>
        <v>37803</v>
      </c>
      <c r="E52" s="2334" t="s">
        <v>1353</v>
      </c>
      <c r="F52" s="2553">
        <f>'数据-取费表'!B41</f>
        <v>5.5000000000000007E-2</v>
      </c>
      <c r="G52" s="2554"/>
      <c r="H52" s="2543"/>
      <c r="I52" s="1807"/>
      <c r="J52" s="2522">
        <v>1</v>
      </c>
      <c r="K52" s="3620" t="s">
        <v>1354</v>
      </c>
      <c r="L52" s="3620"/>
      <c r="M52" s="2524" t="b">
        <f>D48</f>
        <v>0</v>
      </c>
      <c r="N52" s="2522" t="str">
        <f>E48</f>
        <v>销售额×税（费）率</v>
      </c>
      <c r="O52" s="2525">
        <f>F48</f>
        <v>5.5000000000000007E-2</v>
      </c>
    </row>
    <row r="53" spans="1:35" ht="12" customHeight="1">
      <c r="A53" s="2335" t="s">
        <v>1355</v>
      </c>
      <c r="B53" s="3644" t="s">
        <v>2290</v>
      </c>
      <c r="C53" s="3645"/>
      <c r="D53" s="1087">
        <f ca="1">ROUND(D45*'数据-取费表'!B41/(1+'数据-取费表'!C42),0)</f>
        <v>37803</v>
      </c>
      <c r="E53" s="2334" t="s">
        <v>1353</v>
      </c>
      <c r="F53" s="2553">
        <f>'数据-取费表'!B41</f>
        <v>5.5000000000000007E-2</v>
      </c>
      <c r="G53" s="2554"/>
      <c r="H53" s="2543"/>
      <c r="I53" s="1807"/>
      <c r="J53" s="2522">
        <v>2</v>
      </c>
      <c r="K53" s="3620" t="s">
        <v>1356</v>
      </c>
      <c r="L53" s="3620"/>
      <c r="M53" s="2524">
        <f t="shared" ref="M53:O54" ca="1" si="0">D55</f>
        <v>361</v>
      </c>
      <c r="N53" s="2522" t="str">
        <f t="shared" si="0"/>
        <v>销售额×税（费）率</v>
      </c>
      <c r="O53" s="2525" t="str">
        <f t="shared" si="0"/>
        <v>免征</v>
      </c>
    </row>
    <row r="54" spans="1:35" ht="12" customHeight="1">
      <c r="A54" s="2335" t="s">
        <v>1357</v>
      </c>
      <c r="B54" s="3644" t="s">
        <v>2291</v>
      </c>
      <c r="C54" s="3645"/>
      <c r="D54" s="1087">
        <f ca="1">C68</f>
        <v>37803</v>
      </c>
      <c r="E54" s="327" t="s">
        <v>1358</v>
      </c>
      <c r="F54" s="2553">
        <f>'数据-取费表'!B41</f>
        <v>5.5000000000000007E-2</v>
      </c>
      <c r="G54" s="2554"/>
      <c r="H54" s="2555"/>
      <c r="I54" s="1807"/>
      <c r="J54" s="2522">
        <v>3</v>
      </c>
      <c r="K54" s="3620" t="s">
        <v>1359</v>
      </c>
      <c r="L54" s="3620"/>
      <c r="M54" s="2524">
        <f t="shared" ca="1" si="0"/>
        <v>409136</v>
      </c>
      <c r="N54" s="2522" t="str">
        <f t="shared" si="0"/>
        <v>增值额×税（费）率</v>
      </c>
      <c r="O54" s="2526" t="str">
        <f t="shared" si="0"/>
        <v>免征</v>
      </c>
    </row>
    <row r="55" spans="1:35" ht="24" customHeight="1">
      <c r="A55" s="3680" t="s">
        <v>1360</v>
      </c>
      <c r="B55" s="3658"/>
      <c r="C55" s="3658"/>
      <c r="D55" s="2324">
        <f ca="1">IF(H55="个人住宅",0,ROUND(D45*I55,0))</f>
        <v>361</v>
      </c>
      <c r="E55" s="2334" t="s">
        <v>1361</v>
      </c>
      <c r="F55" s="2553" t="str">
        <f>IF(H55="正常",I55,"免征")</f>
        <v>免征</v>
      </c>
      <c r="G55" s="2554"/>
      <c r="H55" s="2549"/>
      <c r="I55" s="165">
        <f>'数据-取费表'!B49</f>
        <v>5.0000000000000001E-4</v>
      </c>
      <c r="J55" s="2522">
        <f>IF(H59="非个人房产","",4)</f>
        <v>4</v>
      </c>
      <c r="K55" s="3620" t="str">
        <f>IF(H59="非个人房产","——","个人所得税")</f>
        <v>个人所得税</v>
      </c>
      <c r="L55" s="3620"/>
      <c r="M55" s="2527">
        <f ca="1">D59</f>
        <v>6873</v>
      </c>
      <c r="N55" s="2040" t="str">
        <f>E59</f>
        <v>差额计税</v>
      </c>
      <c r="O55" s="2528">
        <f>F59</f>
        <v>0.01</v>
      </c>
    </row>
    <row r="56" spans="1:35" ht="24.75">
      <c r="A56" s="3680" t="s">
        <v>1362</v>
      </c>
      <c r="B56" s="3658"/>
      <c r="C56" s="3658"/>
      <c r="D56" s="2324">
        <f ca="1">IF(H56="个人住宅",D57,D58)</f>
        <v>409136</v>
      </c>
      <c r="E56" s="2334" t="s">
        <v>1363</v>
      </c>
      <c r="F56" s="2553" t="str">
        <f>IF(H56="正常",F58,"免征")</f>
        <v>免征</v>
      </c>
      <c r="G56" s="2556" t="s">
        <v>1364</v>
      </c>
      <c r="H56" s="2557"/>
      <c r="I56" s="1808"/>
      <c r="J56" s="2522" t="str">
        <f>IF(项目基本情况!K6="上海银行",IF(J55="",4,J55+1),"")</f>
        <v/>
      </c>
      <c r="K56" s="3601" t="str">
        <f>IF(项目基本情况!K6="上海银行","其他处置费用","")</f>
        <v/>
      </c>
      <c r="L56" s="3602"/>
      <c r="M56" s="2524" t="str">
        <f>IF(项目基本情况!K6="上海银行",M69,"")</f>
        <v/>
      </c>
      <c r="N56" s="3601" t="str">
        <f>IF(项目基本情况!K6="上海银行","包含处置中涉及的律师、诉讼、拍卖、评估等费用","")</f>
        <v/>
      </c>
      <c r="O56" s="3604"/>
    </row>
    <row r="57" spans="1:35" ht="12.75">
      <c r="A57" s="2335" t="s">
        <v>1340</v>
      </c>
      <c r="B57" s="3644" t="s">
        <v>1365</v>
      </c>
      <c r="C57" s="3645"/>
      <c r="D57" s="1590">
        <v>0</v>
      </c>
      <c r="E57" s="324" t="s">
        <v>1342</v>
      </c>
      <c r="F57" s="302"/>
      <c r="G57" s="2554"/>
      <c r="H57" s="2558"/>
      <c r="I57" s="1808"/>
      <c r="J57" s="3620">
        <f>IF(AND(J55="",J56=""),4,IF(项目基本情况!K6="上海银行",结果表!J56+1,结果表!J55+1))</f>
        <v>5</v>
      </c>
      <c r="K57" s="3620" t="s">
        <v>1366</v>
      </c>
      <c r="L57" s="2529" t="s">
        <v>1367</v>
      </c>
      <c r="M57" s="2530"/>
      <c r="N57" s="2531">
        <f ca="1">SUMIF(M52:M56,"&lt;9e307")</f>
        <v>416370</v>
      </c>
      <c r="O57" s="2532"/>
      <c r="P57" s="2688">
        <f ca="1">N57/M49</f>
        <v>0.57692787327733608</v>
      </c>
    </row>
    <row r="58" spans="1:35" ht="24.75">
      <c r="A58" s="2335" t="s">
        <v>1351</v>
      </c>
      <c r="B58" s="3644" t="s">
        <v>1368</v>
      </c>
      <c r="C58" s="3643"/>
      <c r="D58" s="2324">
        <f ca="1">IF(H58="转让取得",C81,C97)</f>
        <v>409136</v>
      </c>
      <c r="E58" s="2334" t="s">
        <v>1363</v>
      </c>
      <c r="F58" s="302" t="s">
        <v>28</v>
      </c>
      <c r="G58" s="2554"/>
      <c r="H58" s="2557"/>
      <c r="I58" s="1808"/>
      <c r="J58" s="3620"/>
      <c r="K58" s="3620"/>
      <c r="L58" s="2529" t="s">
        <v>1369</v>
      </c>
      <c r="M58" s="2533"/>
      <c r="N58" s="2534" t="str">
        <f ca="1">NUMBERSTRING(INT(N57*10000),2)&amp;"元整"</f>
        <v>肆拾壹亿陆仟叁佰柒拾万元整</v>
      </c>
      <c r="O58" s="2535"/>
    </row>
    <row r="59" spans="1:35" ht="24.75" thickBot="1">
      <c r="A59" s="3624" t="s">
        <v>1370</v>
      </c>
      <c r="B59" s="3625"/>
      <c r="C59" s="3625"/>
      <c r="D59" s="2559">
        <f ca="1">IF(H59="非个人房产","——",IF(H59="个人住宅（满五唯一有凭证）",0,IF(H59="个人其他（无凭证）",ROUND(D45*F59,0),ROUND(C67*F59,0))))</f>
        <v>6873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2136</v>
      </c>
      <c r="J59" s="3622">
        <f>J57+1</f>
        <v>6</v>
      </c>
      <c r="K59" s="3620" t="s">
        <v>1371</v>
      </c>
      <c r="L59" s="2522" t="s">
        <v>1367</v>
      </c>
      <c r="M59" s="2536"/>
      <c r="N59" s="2537">
        <f ca="1">M49-N57</f>
        <v>305332</v>
      </c>
      <c r="O59" s="2538"/>
    </row>
    <row r="60" spans="1:35" ht="12" customHeight="1">
      <c r="A60" s="1809"/>
      <c r="B60" s="1747"/>
      <c r="C60" s="1747"/>
      <c r="D60" s="1747"/>
      <c r="E60" s="1578"/>
      <c r="F60" s="1808"/>
      <c r="G60" s="1808"/>
      <c r="H60" s="1810"/>
      <c r="I60" s="129"/>
      <c r="J60" s="3623"/>
      <c r="K60" s="3620"/>
      <c r="L60" s="2529" t="s">
        <v>1369</v>
      </c>
      <c r="M60" s="2533"/>
      <c r="N60" s="2534" t="str">
        <f ca="1">NUMBERSTRING(INT(N59*10000),2)&amp;"元整"</f>
        <v>叁拾亿伍仟叁佰叁拾贰万元整</v>
      </c>
      <c r="O60" s="2535"/>
    </row>
    <row r="61" spans="1:35" ht="13.5" thickBot="1">
      <c r="A61" s="3679" t="s">
        <v>1372</v>
      </c>
      <c r="B61" s="3679"/>
      <c r="C61" s="3679"/>
      <c r="D61" s="3679"/>
      <c r="E61" s="3679"/>
      <c r="F61" s="1808"/>
      <c r="G61" s="1808"/>
      <c r="H61" s="1810"/>
      <c r="I61" s="129"/>
      <c r="J61" s="2522">
        <f>J59+1</f>
        <v>7</v>
      </c>
      <c r="K61" s="3620" t="s">
        <v>1373</v>
      </c>
      <c r="L61" s="3620"/>
      <c r="M61" s="2539"/>
      <c r="N61" s="2540">
        <f ca="1">ROUND(N59*10000/'数据-汇总表'!E3,0)</f>
        <v>10452</v>
      </c>
      <c r="O61" s="2541"/>
    </row>
    <row r="62" spans="1:35" ht="12.75">
      <c r="A62" s="3639" t="s">
        <v>1374</v>
      </c>
      <c r="B62" s="3640"/>
      <c r="C62" s="2021"/>
      <c r="D62" s="2021" t="s">
        <v>1375</v>
      </c>
      <c r="E62" s="166" t="s">
        <v>1376</v>
      </c>
      <c r="F62" s="1808"/>
      <c r="G62" s="1808"/>
      <c r="H62" s="1810"/>
      <c r="I62" s="129"/>
    </row>
    <row r="63" spans="1:35" ht="12.75">
      <c r="A63" s="173" t="s">
        <v>330</v>
      </c>
      <c r="B63" s="167" t="s">
        <v>1377</v>
      </c>
      <c r="C63" s="2563">
        <f ca="1">ROUND((C64+C65)/(1+'数据-取费表'!C42),0)</f>
        <v>687335</v>
      </c>
      <c r="D63" s="167"/>
      <c r="E63" s="168"/>
      <c r="F63" s="1808"/>
      <c r="G63" s="1808"/>
      <c r="H63" s="1810"/>
      <c r="I63" s="129"/>
      <c r="J63" s="3603" t="s">
        <v>1378</v>
      </c>
      <c r="K63" s="1332" t="s">
        <v>1379</v>
      </c>
      <c r="L63" s="1332">
        <f ca="1">IF(M49&gt;10000,M49*0.5%,IF(AND(M49&gt;1000,M49&lt;=10000),M49*1%,IF(AND(M49&gt;100,M49&lt;=1000),M49*3%,IF(AND(M49&gt;10,M49&lt;=100),M49*5%,M49*8%))))</f>
        <v>3608.51</v>
      </c>
      <c r="M63" s="302">
        <f ca="1">ROUND(L63,1)</f>
        <v>3608.5</v>
      </c>
      <c r="N63" s="2542"/>
      <c r="Z63" s="1752"/>
      <c r="AI63" s="1753"/>
    </row>
    <row r="64" spans="1:35" ht="14.25" customHeight="1">
      <c r="A64" s="169" t="s">
        <v>325</v>
      </c>
      <c r="B64" s="170" t="s">
        <v>1380</v>
      </c>
      <c r="C64" s="2564">
        <f ca="1">D45</f>
        <v>721702</v>
      </c>
      <c r="D64" s="170" t="s">
        <v>26</v>
      </c>
      <c r="E64" s="172"/>
      <c r="F64" s="1808"/>
      <c r="G64" s="1808"/>
      <c r="H64" s="1810"/>
      <c r="I64" s="129"/>
      <c r="J64" s="3603"/>
      <c r="K64" s="1332" t="s">
        <v>1381</v>
      </c>
      <c r="L64" s="1332">
        <f ca="1">IF(M49&gt;2000,M49*0.5%,IF(AND(M49&gt;1000,M49&lt;=2000),M49*0.6%,IF(AND(M49&gt;500,M49&lt;=1000),M49*0.7%,IF(AND(M49&gt;200,M49&lt;=500),M49*0.8%,IF(AND(M49&gt;100,M49&lt;=200),M49*0.9%,IF(AND(M49&gt;50,M49&lt;=100),M49*1%,IF(AND(M49&gt;20,M49&lt;=50),M49*1.5%,IF(AND(M49&gt;10,M49&lt;=20),M49*2%,IF(AND(M49&gt;1,M49&lt;=10),M49*2.5%)))))))))</f>
        <v>3608.51</v>
      </c>
      <c r="M64" s="302">
        <f t="shared" ref="M64:M65" ca="1" si="1">ROUND(L64,1)</f>
        <v>3608.5</v>
      </c>
      <c r="N64" s="2543" t="s">
        <v>1382</v>
      </c>
      <c r="Z64" s="1752"/>
      <c r="AI64" s="1753"/>
    </row>
    <row r="65" spans="1:35" ht="14.25" customHeight="1">
      <c r="A65" s="169" t="s">
        <v>326</v>
      </c>
      <c r="B65" s="170" t="s">
        <v>1383</v>
      </c>
      <c r="C65" s="2565"/>
      <c r="D65" s="170"/>
      <c r="E65" s="172"/>
      <c r="F65" s="1808"/>
      <c r="G65" s="1808"/>
      <c r="H65" s="1810"/>
      <c r="I65" s="129"/>
      <c r="J65" s="3603"/>
      <c r="K65" s="1332" t="s">
        <v>1384</v>
      </c>
      <c r="L65" s="1332">
        <f ca="1">IF(M49&gt;1000,M49*0.1%,IF(AND(M49&gt;500,M49&lt;=1000),M49*0.5%,IF(AND(M49&gt;50,M49&lt;=500),M49*1%,IF(AND(M49&gt;1,M49&lt;=50),M49*1.5%))))</f>
        <v>721.702</v>
      </c>
      <c r="M65" s="302">
        <f t="shared" ca="1" si="1"/>
        <v>721.7</v>
      </c>
      <c r="N65" s="2543" t="s">
        <v>1382</v>
      </c>
      <c r="Z65" s="1752"/>
      <c r="AI65" s="1753"/>
    </row>
    <row r="66" spans="1:35" ht="14.25" customHeight="1">
      <c r="A66" s="173" t="s">
        <v>327</v>
      </c>
      <c r="B66" s="174" t="s">
        <v>1385</v>
      </c>
      <c r="C66" s="2566"/>
      <c r="D66" s="174" t="s">
        <v>26</v>
      </c>
      <c r="E66" s="1338" t="s">
        <v>671</v>
      </c>
      <c r="F66" s="1808"/>
      <c r="G66" s="1808"/>
      <c r="H66" s="1810"/>
      <c r="I66" s="129"/>
      <c r="J66" s="3603"/>
      <c r="K66" s="1332" t="s">
        <v>1386</v>
      </c>
      <c r="L66" s="1332">
        <f ca="1">M49*0.5%</f>
        <v>3608.51</v>
      </c>
      <c r="M66" s="302">
        <f ca="1">IF(L66&gt;0.5,0.5,ROUND(L66,0))</f>
        <v>0.5</v>
      </c>
      <c r="N66" s="2543" t="s">
        <v>1387</v>
      </c>
      <c r="Z66" s="1752"/>
      <c r="AI66" s="1753"/>
    </row>
    <row r="67" spans="1:35" ht="14.25" customHeight="1">
      <c r="A67" s="173" t="s">
        <v>328</v>
      </c>
      <c r="B67" s="174" t="s">
        <v>1388</v>
      </c>
      <c r="C67" s="2567">
        <f ca="1">C63-C66</f>
        <v>687335</v>
      </c>
      <c r="D67" s="170" t="s">
        <v>26</v>
      </c>
      <c r="E67" s="172"/>
      <c r="F67" s="1808"/>
      <c r="G67" s="1808"/>
      <c r="H67" s="1810"/>
      <c r="I67" s="129"/>
      <c r="J67" s="3603"/>
      <c r="K67" s="1332" t="s">
        <v>1389</v>
      </c>
      <c r="L67" s="1332">
        <f ca="1">IF(M49&gt;=10000,(8.25+(M49-10000)*0.01%),IF(AND(M49&gt;=8000,M49&lt;10000),(7.85+(M49-8000)*0.02%),IF(AND(M49&gt;=5000,M49&lt;8000),(6.65+(M49-5000)*0.04%),IF(AND(M49&gt;=2000,M49&lt;5000),(4.25+(PM49-2000)*0.08%),IF(AND(M49&gt;=1000,M49&lt;2000),(2.75+(M49-1000)*0.15%),IF(AND(M49&gt;=100,M49&lt;1000),(0.5+(M49-100)*0.25%),IF(AND(M49&gt;0,M49&lt;100),M49*0.5%)))))))</f>
        <v>79.420200000000008</v>
      </c>
      <c r="M67" s="302">
        <f ca="1">ROUND(L67*0.9,1)</f>
        <v>71.5</v>
      </c>
      <c r="N67" s="2542"/>
      <c r="Z67" s="1752"/>
      <c r="AI67" s="1753"/>
    </row>
    <row r="68" spans="1:35" ht="14.25" customHeight="1" thickBot="1">
      <c r="A68" s="176" t="s">
        <v>329</v>
      </c>
      <c r="B68" s="177" t="s">
        <v>1390</v>
      </c>
      <c r="C68" s="2568">
        <f ca="1">IF(C67&lt;=0,0,ROUND(C67*D68,0))</f>
        <v>37803</v>
      </c>
      <c r="D68" s="2569">
        <f>'数据-取费表'!B41</f>
        <v>5.5000000000000007E-2</v>
      </c>
      <c r="E68" s="178"/>
      <c r="F68" s="1808"/>
      <c r="G68" s="1808"/>
      <c r="H68" s="1810"/>
      <c r="I68" s="129"/>
      <c r="J68" s="3603"/>
      <c r="K68" s="1332" t="s">
        <v>1391</v>
      </c>
      <c r="L68" s="1332">
        <f ca="1">IF(M49&gt;10000,M49*0.5%,IF(AND(M49&gt;5000,M49&lt;=10000),M49*1%,IF(AND(M49&gt;1000,M49&lt;=5000),M49*2%,IF(AND(M49&gt;200,M49&lt;=1000),M49*3%,M49*5%))))</f>
        <v>3608.51</v>
      </c>
      <c r="M68" s="302">
        <f ca="1">ROUND(L68,1)</f>
        <v>3608.5</v>
      </c>
      <c r="N68" s="2542"/>
      <c r="Z68" s="1752"/>
      <c r="AI68" s="1753"/>
    </row>
    <row r="69" spans="1:35" s="1772" customFormat="1" ht="16.5" customHeight="1">
      <c r="A69" s="1811"/>
      <c r="B69" s="1812"/>
      <c r="C69" s="1813"/>
      <c r="D69" s="1814"/>
      <c r="E69" s="1815"/>
      <c r="F69" s="1578"/>
      <c r="G69" s="1578"/>
      <c r="H69" s="1577"/>
      <c r="I69" s="1747"/>
      <c r="J69" s="3603"/>
      <c r="K69" s="1332" t="s">
        <v>1392</v>
      </c>
      <c r="L69" s="1332"/>
      <c r="M69" s="302">
        <f ca="1">ROUND(SUM(M63:M68),0)</f>
        <v>11619</v>
      </c>
      <c r="N69" s="2544">
        <f ca="1">M69/M49</f>
        <v>1.6099442706269347E-2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7" t="s">
        <v>1393</v>
      </c>
      <c r="B70" s="3648"/>
      <c r="C70" s="3648"/>
      <c r="D70" s="3648"/>
      <c r="E70" s="3648"/>
      <c r="F70" s="3648"/>
      <c r="G70" s="3648"/>
      <c r="H70" s="364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9" t="s">
        <v>1374</v>
      </c>
      <c r="B71" s="3640"/>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687335</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3437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44" t="s">
        <v>1401</v>
      </c>
      <c r="F76" s="3643"/>
      <c r="G76" s="3643"/>
      <c r="H76" s="364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3437</v>
      </c>
      <c r="D78" s="2576">
        <f>'数据-取费表'!B43</f>
        <v>5.000000000000001E-3</v>
      </c>
      <c r="E78" s="3636" t="s">
        <v>1405</v>
      </c>
      <c r="F78" s="3637"/>
      <c r="G78" s="3637"/>
      <c r="H78" s="363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683898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198.98108815827757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409136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7" t="s">
        <v>1409</v>
      </c>
      <c r="B83" s="3648"/>
      <c r="C83" s="3648"/>
      <c r="D83" s="3648"/>
      <c r="E83" s="3648"/>
      <c r="F83" s="3648"/>
      <c r="G83" s="3648"/>
      <c r="H83" s="364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9" t="s">
        <v>1374</v>
      </c>
      <c r="B84" s="3640"/>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687335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3437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05" t="s">
        <v>2128</v>
      </c>
      <c r="H90" s="3606"/>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36" t="s">
        <v>1418</v>
      </c>
      <c r="F91" s="3637"/>
      <c r="G91" s="363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36" t="s">
        <v>1421</v>
      </c>
      <c r="F92" s="3637"/>
      <c r="G92" s="3637"/>
      <c r="H92" s="3638"/>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3437</v>
      </c>
      <c r="D93" s="2576">
        <f>'数据-取费表'!B43</f>
        <v>5.000000000000001E-3</v>
      </c>
      <c r="E93" s="3636" t="s">
        <v>1405</v>
      </c>
      <c r="F93" s="3637"/>
      <c r="G93" s="3637"/>
      <c r="H93" s="363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81" t="s">
        <v>1425</v>
      </c>
      <c r="F94" s="3682"/>
      <c r="G94" s="3682"/>
      <c r="H94" s="36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683898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198.98108815827757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409136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86" t="s">
        <v>1427</v>
      </c>
      <c r="B100" s="3587"/>
      <c r="C100" s="3587"/>
      <c r="D100" s="3621"/>
      <c r="E100" s="3587" t="s">
        <v>1428</v>
      </c>
      <c r="F100" s="3587"/>
      <c r="G100" s="3587"/>
      <c r="H100" s="3621"/>
      <c r="I100" s="129"/>
    </row>
    <row r="101" spans="1:35" ht="18.75" customHeight="1">
      <c r="A101" s="3629" t="s">
        <v>1429</v>
      </c>
      <c r="B101" s="3630"/>
      <c r="C101" s="2584" t="str">
        <f>C4</f>
        <v>成本法</v>
      </c>
      <c r="D101" s="2585" t="str">
        <f>D4</f>
        <v>收益法</v>
      </c>
      <c r="E101" s="3599" t="s">
        <v>1430</v>
      </c>
      <c r="F101" s="3600"/>
      <c r="G101" s="1827" t="s">
        <v>1431</v>
      </c>
      <c r="H101" s="2594">
        <f ca="1">H118</f>
        <v>721702</v>
      </c>
      <c r="I101" s="129"/>
    </row>
    <row r="102" spans="1:35" ht="18.75" customHeight="1">
      <c r="A102" s="3631" t="s">
        <v>1432</v>
      </c>
      <c r="B102" s="2583" t="s">
        <v>1431</v>
      </c>
      <c r="C102" s="2584">
        <f ca="1">IF(D32="楼面单价",ROUND(C19,0),C19)</f>
        <v>574844</v>
      </c>
      <c r="D102" s="2585">
        <f ca="1">IF(D32="楼面单价",ROUND(D19,0),D19)</f>
        <v>819607</v>
      </c>
      <c r="E102" s="3599"/>
      <c r="F102" s="3600"/>
      <c r="G102" s="1827" t="s">
        <v>1433</v>
      </c>
      <c r="H102" s="2554">
        <f ca="1">I118</f>
        <v>24704</v>
      </c>
      <c r="I102" s="129"/>
    </row>
    <row r="103" spans="1:35" ht="42.75" customHeight="1">
      <c r="A103" s="3631"/>
      <c r="B103" s="2583" t="s">
        <v>1433</v>
      </c>
      <c r="C103" s="2586">
        <f ca="1">C20</f>
        <v>19677</v>
      </c>
      <c r="D103" s="2587">
        <f ca="1">D20</f>
        <v>28804</v>
      </c>
      <c r="E103" s="3592" t="s">
        <v>1434</v>
      </c>
      <c r="F103" s="3593"/>
      <c r="G103" s="1828" t="s">
        <v>1435</v>
      </c>
      <c r="H103" s="2594">
        <f>IF(D36="正常操作",H104+H105+H106,H105+H106)</f>
        <v>0</v>
      </c>
      <c r="I103" s="129"/>
    </row>
    <row r="104" spans="1:35" ht="18.75" customHeight="1">
      <c r="A104" s="3631" t="s">
        <v>1436</v>
      </c>
      <c r="B104" s="2588" t="s">
        <v>1431</v>
      </c>
      <c r="C104" s="2589">
        <f ca="1">H118</f>
        <v>721702</v>
      </c>
      <c r="D104" s="2590"/>
      <c r="E104" s="1674" t="s">
        <v>1437</v>
      </c>
      <c r="F104" s="1666"/>
      <c r="G104" s="1828" t="s">
        <v>1435</v>
      </c>
      <c r="H104" s="2595">
        <f>IF(D36="同一抵押权人同一抵押物续贷",C36&amp;"（续贷，未扣减，详见特别提示）",C36)</f>
        <v>0</v>
      </c>
      <c r="I104" s="129"/>
    </row>
    <row r="105" spans="1:35" ht="18.75" customHeight="1" thickBot="1">
      <c r="A105" s="3641"/>
      <c r="B105" s="2591" t="s">
        <v>1433</v>
      </c>
      <c r="C105" s="2592">
        <f ca="1">I118</f>
        <v>24704</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32" t="str">
        <f>IF(项目基本情况!E8="已注销","——","3.房地产抵押价值")</f>
        <v>3.房地产抵押价值</v>
      </c>
      <c r="F107" s="3600"/>
      <c r="G107" s="1827" t="s">
        <v>1431</v>
      </c>
      <c r="H107" s="2594">
        <f ca="1">IF(E107="——","——",H101-H103)</f>
        <v>721702</v>
      </c>
      <c r="I107" s="129"/>
    </row>
    <row r="108" spans="1:35" ht="18.75" customHeight="1">
      <c r="A108" s="129"/>
      <c r="B108" s="129"/>
      <c r="C108" s="129"/>
      <c r="D108" s="129"/>
      <c r="E108" s="3632"/>
      <c r="F108" s="3600"/>
      <c r="G108" s="1827" t="s">
        <v>1433</v>
      </c>
      <c r="H108" s="2554">
        <f ca="1">IF(H107=H101,H102,ROUND(H107*10000/'数据-汇总表'!E3,0))</f>
        <v>24704</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00"/>
      <c r="G109" s="1827" t="s">
        <v>1431</v>
      </c>
      <c r="H109" s="2597" t="str">
        <f>IF(E109="——","——",H101-H105-H106)</f>
        <v>——</v>
      </c>
      <c r="I109" s="129"/>
    </row>
    <row r="110" spans="1:35" ht="18.75" customHeight="1">
      <c r="A110" s="129"/>
      <c r="B110" s="129"/>
      <c r="C110" s="129"/>
      <c r="D110" s="129"/>
      <c r="E110" s="3632"/>
      <c r="F110" s="3600"/>
      <c r="G110" s="1827" t="s">
        <v>1433</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19"/>
      <c r="G111" s="1827" t="s">
        <v>1431</v>
      </c>
      <c r="H111" s="2594" t="str">
        <f>IF(E111="——","——",N59)</f>
        <v>——</v>
      </c>
      <c r="I111" s="129"/>
    </row>
    <row r="112" spans="1:35" ht="18.75" customHeight="1" thickBot="1">
      <c r="A112" s="129"/>
      <c r="B112" s="129"/>
      <c r="C112" s="129"/>
      <c r="D112" s="129"/>
      <c r="E112" s="3634"/>
      <c r="F112" s="3635"/>
      <c r="G112" s="1830" t="s">
        <v>1433</v>
      </c>
      <c r="H112" s="2598" t="str">
        <f>IF(E111="——","——",N61)</f>
        <v>——</v>
      </c>
      <c r="I112" s="129"/>
    </row>
    <row r="113" spans="1:27" ht="18.75" customHeight="1">
      <c r="A113" s="129"/>
      <c r="B113" s="129"/>
      <c r="C113" s="129"/>
      <c r="D113" s="129"/>
      <c r="E113" s="3642" t="s">
        <v>1439</v>
      </c>
      <c r="F113" s="3642"/>
      <c r="G113" s="3642"/>
      <c r="H113" s="3642"/>
      <c r="I113" s="129"/>
    </row>
    <row r="114" spans="1:27" ht="3.75" customHeight="1">
      <c r="A114" s="1747"/>
      <c r="B114" s="1747"/>
      <c r="C114" s="1747"/>
      <c r="D114" s="1747"/>
      <c r="E114" s="1809"/>
      <c r="F114" s="1809"/>
      <c r="G114" s="1809"/>
      <c r="H114" s="1809"/>
      <c r="I114" s="1747"/>
    </row>
    <row r="115" spans="1:27" ht="18.75" customHeight="1">
      <c r="A115" s="3650" t="s">
        <v>1441</v>
      </c>
      <c r="B115" s="3651"/>
      <c r="C115" s="3651"/>
      <c r="D115" s="3651"/>
      <c r="E115" s="3651"/>
      <c r="F115" s="3651"/>
      <c r="G115" s="3651"/>
      <c r="H115" s="3651"/>
      <c r="I115" s="3652"/>
    </row>
    <row r="116" spans="1:27" ht="27" customHeight="1">
      <c r="A116" s="3607" t="s">
        <v>1442</v>
      </c>
      <c r="B116" s="3611" t="s">
        <v>1443</v>
      </c>
      <c r="C116" s="3611" t="s">
        <v>1444</v>
      </c>
      <c r="D116" s="3617" t="s">
        <v>1445</v>
      </c>
      <c r="E116" s="3618"/>
      <c r="F116" s="3649" t="s">
        <v>1446</v>
      </c>
      <c r="G116" s="3649"/>
      <c r="H116" s="3607" t="s">
        <v>1447</v>
      </c>
      <c r="I116" s="3607"/>
    </row>
    <row r="117" spans="1:27" ht="18.75" customHeight="1">
      <c r="A117" s="3607"/>
      <c r="B117" s="3612"/>
      <c r="C117" s="3612"/>
      <c r="D117" s="2329" t="s">
        <v>1448</v>
      </c>
      <c r="E117" s="2329" t="s">
        <v>1449</v>
      </c>
      <c r="F117" s="2329" t="s">
        <v>1448</v>
      </c>
      <c r="G117" s="2329" t="s">
        <v>1450</v>
      </c>
      <c r="H117" s="2329" t="s">
        <v>1448</v>
      </c>
      <c r="I117" s="2329" t="s">
        <v>1450</v>
      </c>
    </row>
    <row r="118" spans="1:27" ht="24.75" customHeight="1">
      <c r="A118" s="2599" t="str">
        <f>项目基本情况!S2</f>
        <v>北京市通州区宋庄镇尹各庄村新建科研用地房地产</v>
      </c>
      <c r="B118" s="2329">
        <f>M18</f>
        <v>292137.36</v>
      </c>
      <c r="C118" s="2329">
        <f>M19</f>
        <v>95778.03</v>
      </c>
      <c r="D118" s="2329">
        <f ca="1">ROUND(IF(D32="总价",C34,E118*B118/10000),0)</f>
        <v>171765</v>
      </c>
      <c r="E118" s="2329">
        <f ca="1">ROUND(IF(C33="自定义",IF(D32="楼面单价",C34,D118*10000/B118),I118-G118),0)</f>
        <v>5879</v>
      </c>
      <c r="F118" s="2329">
        <f ca="1">ROUND(IF(D32="总价",C35,G118*B118/10000),0)</f>
        <v>549937</v>
      </c>
      <c r="G118" s="2329">
        <f ca="1">ROUND(IF(D32="楼面单价",C35,F118*10000/B118),0)</f>
        <v>18825</v>
      </c>
      <c r="H118" s="2329">
        <f ca="1">ROUND(IF(D32="总价",C32,I118*B118/10000),0)</f>
        <v>721702</v>
      </c>
      <c r="I118" s="2329">
        <f ca="1">ROUND(IF(D32="楼面单价",C32,H118*10000/B118),0)</f>
        <v>24704</v>
      </c>
    </row>
    <row r="119" spans="1:27" ht="18.75" customHeight="1">
      <c r="A119" s="3607" t="s">
        <v>1451</v>
      </c>
      <c r="B119" s="3607"/>
      <c r="C119" s="3607"/>
      <c r="D119" s="3613" t="str">
        <f ca="1">NUMBERSTRING(INT(D118*10000),2)&amp;"元整"</f>
        <v>壹拾柒亿壹仟柒佰陆拾伍万元整</v>
      </c>
      <c r="E119" s="3614"/>
      <c r="F119" s="3613" t="str">
        <f ca="1">NUMBERSTRING(INT(F118*10000),2)&amp;"元整"</f>
        <v>伍拾肆亿玖仟玖佰叁拾柒万元整</v>
      </c>
      <c r="G119" s="3614"/>
      <c r="H119" s="3613" t="str">
        <f ca="1">NUMBERSTRING(INT(H118*10000),2)&amp;"元整"</f>
        <v>柒拾贰亿壹仟柒佰零贰万元整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1451</v>
      </c>
      <c r="B121" s="3615"/>
      <c r="C121" s="3614"/>
      <c r="D121" s="3613" t="str">
        <f>IF(D120=0,"零元整",NUMBERSTRING(INT(D120*10000),2)&amp;"元整")</f>
        <v>零元整</v>
      </c>
      <c r="E121" s="3615"/>
      <c r="F121" s="3615"/>
      <c r="G121" s="3615"/>
      <c r="H121" s="3615"/>
      <c r="I121" s="3614"/>
      <c r="AA121" s="725"/>
    </row>
    <row r="122" spans="1:27" ht="18.75" customHeight="1">
      <c r="A122" s="3619" t="str">
        <f>IF(项目基本情况!B9="房地产市场价值","",MID(E107,3,LEN(E107)-2))</f>
        <v>房地产抵押价值</v>
      </c>
      <c r="B122" s="3619"/>
      <c r="C122" s="3619"/>
      <c r="D122" s="3608">
        <f ca="1">H107</f>
        <v>721702</v>
      </c>
      <c r="E122" s="3609"/>
      <c r="F122" s="3609"/>
      <c r="G122" s="3609"/>
      <c r="H122" s="3609"/>
      <c r="I122" s="3610"/>
      <c r="AA122" s="725"/>
    </row>
    <row r="123" spans="1:27" ht="18.75" customHeight="1">
      <c r="A123" s="3607" t="s">
        <v>1451</v>
      </c>
      <c r="B123" s="3607"/>
      <c r="C123" s="3607"/>
      <c r="D123" s="3613" t="str">
        <f ca="1">NUMBERSTRING(INT(D122*10000),2)&amp;"元整"</f>
        <v>柒拾贰亿壹仟柒佰零贰万元整</v>
      </c>
      <c r="E123" s="3615"/>
      <c r="F123" s="3615"/>
      <c r="G123" s="3615"/>
      <c r="H123" s="3615"/>
      <c r="I123" s="3614"/>
      <c r="AA123" s="725"/>
    </row>
    <row r="124" spans="1:27" ht="18.75" customHeight="1">
      <c r="A124" s="3619" t="str">
        <f>IF(项目基本情况!B9="房地产市场价值","",MID(E109,3,LEN(E109)-2))</f>
        <v/>
      </c>
      <c r="B124" s="3619"/>
      <c r="C124" s="3619"/>
      <c r="D124" s="3608" t="str">
        <f>H109</f>
        <v>——</v>
      </c>
      <c r="E124" s="3609"/>
      <c r="F124" s="3609"/>
      <c r="G124" s="3609"/>
      <c r="H124" s="3609"/>
      <c r="I124" s="3610"/>
      <c r="AA124" s="725"/>
    </row>
    <row r="125" spans="1:27" ht="18.75" customHeight="1">
      <c r="A125" s="3607" t="s">
        <v>1451</v>
      </c>
      <c r="B125" s="3607"/>
      <c r="C125" s="3607"/>
      <c r="D125" s="3613" t="e">
        <f>NUMBERSTRING(INT(D124*10000),2)&amp;"元整"</f>
        <v>#VALUE!</v>
      </c>
      <c r="E125" s="3615"/>
      <c r="F125" s="3615"/>
      <c r="G125" s="3615"/>
      <c r="H125" s="3615"/>
      <c r="I125" s="3614"/>
      <c r="AA125" s="725"/>
    </row>
    <row r="126" spans="1:27" ht="18.75" customHeight="1">
      <c r="A126" s="3619" t="str">
        <f>IF(项目基本情况!B9="房地产市场价值","",MID(E111,3,LEN(E111)-2))</f>
        <v/>
      </c>
      <c r="B126" s="3619"/>
      <c r="C126" s="3619"/>
      <c r="D126" s="3608" t="str">
        <f>H111</f>
        <v>——</v>
      </c>
      <c r="E126" s="3609"/>
      <c r="F126" s="3609"/>
      <c r="G126" s="3609"/>
      <c r="H126" s="3609"/>
      <c r="I126" s="3610"/>
      <c r="AA126" s="725"/>
    </row>
    <row r="127" spans="1:27" ht="18.75" customHeight="1">
      <c r="A127" s="3607" t="s">
        <v>1451</v>
      </c>
      <c r="B127" s="3607"/>
      <c r="C127" s="3607"/>
      <c r="D127" s="3613" t="e">
        <f>NUMBERSTRING(INT(D126*10000),2)&amp;"元整"</f>
        <v>#VALUE!</v>
      </c>
      <c r="E127" s="3615"/>
      <c r="F127" s="3615"/>
      <c r="G127" s="3615"/>
      <c r="H127" s="3615"/>
      <c r="I127" s="3614"/>
      <c r="AA127" s="725"/>
    </row>
    <row r="128" spans="1:27" ht="21.75" customHeight="1">
      <c r="A128" s="3616" t="s">
        <v>1452</v>
      </c>
      <c r="B128" s="3616"/>
      <c r="C128" s="3616"/>
      <c r="D128" s="3616"/>
      <c r="E128" s="3616"/>
      <c r="F128" s="3616"/>
      <c r="G128" s="3616"/>
      <c r="H128" s="3616"/>
      <c r="I128" s="3616"/>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北京市通州区宋庄镇尹各庄村新建科研用地房地产抵押价值预评估</v>
      </c>
      <c r="C37" s="3503"/>
      <c r="D37" s="3503"/>
      <c r="E37" s="3503"/>
      <c r="F37" s="3503"/>
      <c r="G37" s="3503"/>
      <c r="H37" s="3503"/>
      <c r="I37" s="350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5"/>
  <sheetViews>
    <sheetView topLeftCell="A7" workbookViewId="0">
      <selection activeCell="N61" sqref="N61"/>
    </sheetView>
  </sheetViews>
  <sheetFormatPr defaultRowHeight="13.5"/>
  <cols>
    <col min="3" max="3" width="11.75" customWidth="1"/>
    <col min="4" max="4" width="10.625" customWidth="1"/>
    <col min="6" max="6" width="10.625" bestFit="1" customWidth="1"/>
    <col min="9" max="9" width="12.75" customWidth="1"/>
    <col min="12" max="12" width="9.25" customWidth="1"/>
    <col min="14" max="14" width="12.125" customWidth="1"/>
    <col min="16" max="17" width="10" customWidth="1"/>
    <col min="18" max="18" width="11.375" customWidth="1"/>
    <col min="21" max="22" width="10.25" customWidth="1"/>
    <col min="25" max="25" width="13.25" customWidth="1"/>
  </cols>
  <sheetData>
    <row r="1" spans="2:10" ht="14.25" thickBot="1"/>
    <row r="2" spans="2:10" ht="26.25" thickBot="1">
      <c r="B2" s="3696" t="s">
        <v>3525</v>
      </c>
      <c r="C2" s="3696" t="s">
        <v>3526</v>
      </c>
      <c r="D2" s="3698" t="s">
        <v>3527</v>
      </c>
      <c r="E2" s="3699"/>
      <c r="F2" s="3700"/>
      <c r="G2" s="3475" t="s">
        <v>3528</v>
      </c>
      <c r="H2" s="3696" t="s">
        <v>3529</v>
      </c>
      <c r="I2" s="3696" t="s">
        <v>3530</v>
      </c>
      <c r="J2" s="3696" t="s">
        <v>3531</v>
      </c>
    </row>
    <row r="3" spans="2:10" ht="14.25" thickBot="1">
      <c r="B3" s="3697"/>
      <c r="C3" s="3697"/>
      <c r="D3" s="3476" t="s">
        <v>3532</v>
      </c>
      <c r="E3" s="3476" t="s">
        <v>3533</v>
      </c>
      <c r="F3" s="3476" t="s">
        <v>3414</v>
      </c>
      <c r="G3" s="3476" t="s">
        <v>3534</v>
      </c>
      <c r="H3" s="3697"/>
      <c r="I3" s="3697"/>
      <c r="J3" s="3697"/>
    </row>
    <row r="4" spans="2:10" ht="14.25" thickBot="1">
      <c r="B4" s="3477" t="s">
        <v>3535</v>
      </c>
      <c r="C4" s="3707">
        <v>95778.03</v>
      </c>
      <c r="D4" s="3478">
        <v>17658.11</v>
      </c>
      <c r="E4" s="3478">
        <v>1837.58</v>
      </c>
      <c r="F4" s="3478">
        <v>0</v>
      </c>
      <c r="G4" s="3478">
        <v>294.92</v>
      </c>
      <c r="H4" s="3478">
        <v>19790.61</v>
      </c>
      <c r="I4" s="3710" t="s">
        <v>3394</v>
      </c>
      <c r="J4" s="3710" t="s">
        <v>3536</v>
      </c>
    </row>
    <row r="5" spans="2:10" ht="14.25" thickBot="1">
      <c r="B5" s="3477" t="s">
        <v>3537</v>
      </c>
      <c r="C5" s="3708"/>
      <c r="D5" s="3478">
        <v>17658.11</v>
      </c>
      <c r="E5" s="3478">
        <v>1832.56</v>
      </c>
      <c r="F5" s="3478">
        <v>0</v>
      </c>
      <c r="G5" s="3478">
        <v>294.92</v>
      </c>
      <c r="H5" s="3478">
        <v>19785.59</v>
      </c>
      <c r="I5" s="3711"/>
      <c r="J5" s="3711"/>
    </row>
    <row r="6" spans="2:10" ht="14.25" thickBot="1">
      <c r="B6" s="3477" t="s">
        <v>3538</v>
      </c>
      <c r="C6" s="3708"/>
      <c r="D6" s="3478">
        <v>17658.11</v>
      </c>
      <c r="E6" s="3478">
        <v>1842.18</v>
      </c>
      <c r="F6" s="3478">
        <v>0</v>
      </c>
      <c r="G6" s="3478">
        <v>294.92</v>
      </c>
      <c r="H6" s="3478">
        <v>19795.21</v>
      </c>
      <c r="I6" s="3711"/>
      <c r="J6" s="3711"/>
    </row>
    <row r="7" spans="2:10" ht="14.25" thickBot="1">
      <c r="B7" s="3477" t="s">
        <v>3539</v>
      </c>
      <c r="C7" s="3708"/>
      <c r="D7" s="3478">
        <v>11307.49</v>
      </c>
      <c r="E7" s="3478">
        <v>1828.26</v>
      </c>
      <c r="F7" s="3478">
        <v>0</v>
      </c>
      <c r="G7" s="3478">
        <v>292.44</v>
      </c>
      <c r="H7" s="3478">
        <v>13428.19</v>
      </c>
      <c r="I7" s="3711"/>
      <c r="J7" s="3711"/>
    </row>
    <row r="8" spans="2:10" ht="14.25" thickBot="1">
      <c r="B8" s="3477" t="s">
        <v>3540</v>
      </c>
      <c r="C8" s="3708"/>
      <c r="D8" s="3478">
        <v>17658.11</v>
      </c>
      <c r="E8" s="3478">
        <v>1831.24</v>
      </c>
      <c r="F8" s="3478">
        <v>0</v>
      </c>
      <c r="G8" s="3478">
        <v>294.92</v>
      </c>
      <c r="H8" s="3478">
        <v>19784.27</v>
      </c>
      <c r="I8" s="3711"/>
      <c r="J8" s="3711"/>
    </row>
    <row r="9" spans="2:10" ht="14.25" thickBot="1">
      <c r="B9" s="3477" t="s">
        <v>3541</v>
      </c>
      <c r="C9" s="3708"/>
      <c r="D9" s="3478">
        <v>11958.17</v>
      </c>
      <c r="E9" s="3478">
        <v>1822.18</v>
      </c>
      <c r="F9" s="3478">
        <v>0</v>
      </c>
      <c r="G9" s="3478">
        <v>292.44</v>
      </c>
      <c r="H9" s="3478">
        <v>14072.79</v>
      </c>
      <c r="I9" s="3711"/>
      <c r="J9" s="3711"/>
    </row>
    <row r="10" spans="2:10" ht="14.25" thickBot="1">
      <c r="B10" s="3477" t="s">
        <v>3542</v>
      </c>
      <c r="C10" s="3708"/>
      <c r="D10" s="3478">
        <v>17658.11</v>
      </c>
      <c r="E10" s="3478">
        <v>1836.4</v>
      </c>
      <c r="F10" s="3478">
        <v>0</v>
      </c>
      <c r="G10" s="3478">
        <v>294.92</v>
      </c>
      <c r="H10" s="3478">
        <v>19789.43</v>
      </c>
      <c r="I10" s="3711"/>
      <c r="J10" s="3711"/>
    </row>
    <row r="11" spans="2:10" ht="14.25" thickBot="1">
      <c r="B11" s="3477" t="s">
        <v>3543</v>
      </c>
      <c r="C11" s="3708"/>
      <c r="D11" s="3478">
        <v>18018.59</v>
      </c>
      <c r="E11" s="3478">
        <v>1848.39</v>
      </c>
      <c r="F11" s="3478">
        <v>0</v>
      </c>
      <c r="G11" s="3478">
        <v>296.91000000000003</v>
      </c>
      <c r="H11" s="3478">
        <v>20163.89</v>
      </c>
      <c r="I11" s="3711"/>
      <c r="J11" s="3711"/>
    </row>
    <row r="12" spans="2:10" ht="14.25" thickBot="1">
      <c r="B12" s="3477" t="s">
        <v>3544</v>
      </c>
      <c r="C12" s="3708"/>
      <c r="D12" s="3478">
        <v>17658.11</v>
      </c>
      <c r="E12" s="3478">
        <v>1831.19</v>
      </c>
      <c r="F12" s="3478">
        <v>0</v>
      </c>
      <c r="G12" s="3478">
        <v>294.92</v>
      </c>
      <c r="H12" s="3478">
        <v>19784.22</v>
      </c>
      <c r="I12" s="3711"/>
      <c r="J12" s="3711"/>
    </row>
    <row r="13" spans="2:10" ht="14.25" thickBot="1">
      <c r="B13" s="3477" t="s">
        <v>3545</v>
      </c>
      <c r="C13" s="3708"/>
      <c r="D13" s="3478">
        <v>11958.17</v>
      </c>
      <c r="E13" s="3478">
        <v>1822.15</v>
      </c>
      <c r="F13" s="3478">
        <v>0</v>
      </c>
      <c r="G13" s="3478">
        <v>292.44</v>
      </c>
      <c r="H13" s="3478">
        <v>14072.76</v>
      </c>
      <c r="I13" s="3711"/>
      <c r="J13" s="3711"/>
    </row>
    <row r="14" spans="2:10" ht="14.25" thickBot="1">
      <c r="B14" s="3477" t="s">
        <v>3546</v>
      </c>
      <c r="C14" s="3708"/>
      <c r="D14" s="3478">
        <v>18018.59</v>
      </c>
      <c r="E14" s="3478">
        <v>1837.92</v>
      </c>
      <c r="F14" s="3478">
        <v>0</v>
      </c>
      <c r="G14" s="3478">
        <v>294.83999999999997</v>
      </c>
      <c r="H14" s="3478">
        <v>20151.349999999999</v>
      </c>
      <c r="I14" s="3711"/>
      <c r="J14" s="3711"/>
    </row>
    <row r="15" spans="2:10" ht="14.25" thickBot="1">
      <c r="B15" s="3477" t="s">
        <v>3547</v>
      </c>
      <c r="C15" s="3708"/>
      <c r="D15" s="3478">
        <v>11728.85</v>
      </c>
      <c r="E15" s="3478">
        <v>1822.93</v>
      </c>
      <c r="F15" s="3478">
        <v>0</v>
      </c>
      <c r="G15" s="3478">
        <v>292.44</v>
      </c>
      <c r="H15" s="3478">
        <v>13844.22</v>
      </c>
      <c r="I15" s="3711"/>
      <c r="J15" s="3711"/>
    </row>
    <row r="16" spans="2:10" ht="14.25" thickBot="1">
      <c r="B16" s="3477" t="s">
        <v>3548</v>
      </c>
      <c r="C16" s="3708"/>
      <c r="D16" s="3478">
        <v>11958.17</v>
      </c>
      <c r="E16" s="3478">
        <v>1828.5</v>
      </c>
      <c r="F16" s="3478">
        <v>0</v>
      </c>
      <c r="G16" s="3478">
        <v>292.44</v>
      </c>
      <c r="H16" s="3478">
        <v>14079.11</v>
      </c>
      <c r="I16" s="3711"/>
      <c r="J16" s="3711"/>
    </row>
    <row r="17" spans="2:28" ht="14.25" thickBot="1">
      <c r="B17" s="3477" t="s">
        <v>3549</v>
      </c>
      <c r="C17" s="3708"/>
      <c r="D17" s="3478">
        <v>11836</v>
      </c>
      <c r="E17" s="3478">
        <v>1834.64</v>
      </c>
      <c r="F17" s="3478">
        <v>0</v>
      </c>
      <c r="G17" s="3478">
        <v>292.44</v>
      </c>
      <c r="H17" s="3478">
        <v>13963.08</v>
      </c>
      <c r="I17" s="3711"/>
      <c r="J17" s="3711"/>
    </row>
    <row r="18" spans="2:28" ht="14.25" thickBot="1">
      <c r="B18" s="3479" t="s">
        <v>3414</v>
      </c>
      <c r="C18" s="3709"/>
      <c r="D18" s="3478">
        <v>0</v>
      </c>
      <c r="E18" s="3478">
        <v>6948.57</v>
      </c>
      <c r="F18" s="3478">
        <v>39209.79</v>
      </c>
      <c r="G18" s="3478">
        <v>3474.28</v>
      </c>
      <c r="H18" s="3478">
        <v>49632.639999999999</v>
      </c>
      <c r="I18" s="3712"/>
      <c r="J18" s="3712"/>
    </row>
    <row r="19" spans="2:28" ht="14.25" customHeight="1" thickBot="1">
      <c r="B19" s="3480" t="s">
        <v>3550</v>
      </c>
      <c r="C19" s="3476" t="s">
        <v>43</v>
      </c>
      <c r="D19" s="3481">
        <f>SUM(D4:D18)</f>
        <v>212732.69</v>
      </c>
      <c r="E19" s="3481">
        <f>SUM(E4:E18)</f>
        <v>32604.690000000002</v>
      </c>
      <c r="F19" s="3481">
        <f>F18</f>
        <v>39209.79</v>
      </c>
      <c r="G19" s="3481">
        <f>SUM(G4:G18)</f>
        <v>7590.1900000000005</v>
      </c>
      <c r="H19" s="3481">
        <f>SUM(H4:H18)</f>
        <v>292137.36</v>
      </c>
      <c r="I19" s="3476" t="s">
        <v>43</v>
      </c>
      <c r="J19" s="3476" t="s">
        <v>43</v>
      </c>
    </row>
    <row r="20" spans="2:28" ht="14.25" thickBot="1">
      <c r="B20" s="3477" t="s">
        <v>3551</v>
      </c>
      <c r="C20" s="3707">
        <v>20455.650000000001</v>
      </c>
      <c r="D20" s="3478">
        <v>17658.11</v>
      </c>
      <c r="E20" s="3478">
        <v>1834.45</v>
      </c>
      <c r="F20" s="3478">
        <v>0</v>
      </c>
      <c r="G20" s="3478">
        <v>294.92</v>
      </c>
      <c r="H20" s="3478">
        <v>19787.48</v>
      </c>
      <c r="I20" s="3710" t="s">
        <v>3400</v>
      </c>
      <c r="J20" s="3710" t="s">
        <v>3552</v>
      </c>
    </row>
    <row r="21" spans="2:28" ht="14.25" thickBot="1">
      <c r="B21" s="3477" t="s">
        <v>3553</v>
      </c>
      <c r="C21" s="3708"/>
      <c r="D21" s="3478">
        <v>17658.11</v>
      </c>
      <c r="E21" s="3478">
        <v>1833.48</v>
      </c>
      <c r="F21" s="3478">
        <v>0</v>
      </c>
      <c r="G21" s="3478">
        <v>361.2</v>
      </c>
      <c r="H21" s="3478">
        <v>19852.79</v>
      </c>
      <c r="I21" s="3711"/>
      <c r="J21" s="3711"/>
    </row>
    <row r="22" spans="2:28" ht="14.25" thickBot="1">
      <c r="B22" s="3477" t="s">
        <v>3554</v>
      </c>
      <c r="C22" s="3709"/>
      <c r="D22" s="3478">
        <v>17658.11</v>
      </c>
      <c r="E22" s="3478">
        <v>1834.61</v>
      </c>
      <c r="F22" s="3478">
        <v>0</v>
      </c>
      <c r="G22" s="3478">
        <v>294.92</v>
      </c>
      <c r="H22" s="3478">
        <v>19787.64</v>
      </c>
      <c r="I22" s="3712"/>
      <c r="J22" s="3712"/>
    </row>
    <row r="23" spans="2:28" ht="14.25" thickBot="1">
      <c r="B23" s="3480" t="s">
        <v>3550</v>
      </c>
      <c r="C23" s="3476" t="s">
        <v>43</v>
      </c>
      <c r="D23" s="3481">
        <f>SUM(D20:D22)</f>
        <v>52974.33</v>
      </c>
      <c r="E23" s="3481">
        <f>SUM(E20:E22)</f>
        <v>5502.54</v>
      </c>
      <c r="F23" s="3481">
        <v>0</v>
      </c>
      <c r="G23" s="3481">
        <f>SUM(G20:G22)</f>
        <v>951.04</v>
      </c>
      <c r="H23" s="3481">
        <f>SUM(H20:H22)</f>
        <v>59427.91</v>
      </c>
      <c r="I23" s="3476" t="s">
        <v>43</v>
      </c>
      <c r="J23" s="3476" t="s">
        <v>43</v>
      </c>
    </row>
    <row r="24" spans="2:28" ht="14.25" thickBot="1">
      <c r="B24" s="3480" t="s">
        <v>3529</v>
      </c>
      <c r="C24" s="3481">
        <f>C4+C20</f>
        <v>116233.68</v>
      </c>
      <c r="D24" s="3481">
        <f>D19+D23</f>
        <v>265707.02</v>
      </c>
      <c r="E24" s="3481">
        <f>E19+E23</f>
        <v>38107.230000000003</v>
      </c>
      <c r="F24" s="3481">
        <f>F19+F23</f>
        <v>39209.79</v>
      </c>
      <c r="G24" s="3481">
        <f>G19+G23</f>
        <v>8541.23</v>
      </c>
      <c r="H24" s="3481">
        <f>H19+H23</f>
        <v>351565.27</v>
      </c>
      <c r="I24" s="3476" t="s">
        <v>43</v>
      </c>
      <c r="J24" s="3476" t="s">
        <v>43</v>
      </c>
    </row>
    <row r="26" spans="2:28" ht="14.25" thickBot="1"/>
    <row r="27" spans="2:28" ht="26.25" thickBot="1">
      <c r="B27" s="3696" t="s">
        <v>3525</v>
      </c>
      <c r="C27" s="3696" t="s">
        <v>3526</v>
      </c>
      <c r="D27" s="3698" t="s">
        <v>3527</v>
      </c>
      <c r="E27" s="3699"/>
      <c r="F27" s="3700"/>
      <c r="G27" s="3475" t="s">
        <v>3528</v>
      </c>
      <c r="H27" s="3696" t="s">
        <v>3529</v>
      </c>
    </row>
    <row r="28" spans="2:28" ht="41.25" customHeight="1" thickBot="1">
      <c r="B28" s="3697"/>
      <c r="C28" s="3697"/>
      <c r="D28" s="3476" t="s">
        <v>3532</v>
      </c>
      <c r="E28" s="3476" t="s">
        <v>3533</v>
      </c>
      <c r="F28" s="3476" t="s">
        <v>3414</v>
      </c>
      <c r="G28" s="3476" t="s">
        <v>3534</v>
      </c>
      <c r="H28" s="3697"/>
      <c r="J28" s="3454" t="s">
        <v>3555</v>
      </c>
      <c r="K28" s="3454" t="s">
        <v>3556</v>
      </c>
      <c r="L28" s="3482" t="s">
        <v>3557</v>
      </c>
      <c r="M28" s="3454" t="s">
        <v>3558</v>
      </c>
      <c r="N28" s="3482" t="s">
        <v>3559</v>
      </c>
      <c r="O28" s="3482" t="s">
        <v>3558</v>
      </c>
      <c r="P28" s="3483" t="s">
        <v>3560</v>
      </c>
      <c r="Q28" s="3483" t="s">
        <v>3561</v>
      </c>
      <c r="R28" s="3483" t="s">
        <v>3562</v>
      </c>
      <c r="S28" s="3483" t="s">
        <v>3563</v>
      </c>
      <c r="T28" s="3483" t="s">
        <v>3558</v>
      </c>
      <c r="U28" s="3483" t="s">
        <v>3564</v>
      </c>
      <c r="V28" s="3483" t="s">
        <v>3565</v>
      </c>
      <c r="W28" s="3482" t="s">
        <v>3566</v>
      </c>
      <c r="X28" s="3482" t="s">
        <v>3558</v>
      </c>
      <c r="Y28" s="3484" t="s">
        <v>3567</v>
      </c>
      <c r="Z28" s="3484" t="s">
        <v>3563</v>
      </c>
      <c r="AB28" s="3454"/>
    </row>
    <row r="29" spans="2:28" ht="14.25" thickBot="1">
      <c r="B29" s="3477" t="s">
        <v>3535</v>
      </c>
      <c r="C29" s="3478">
        <v>6488.41</v>
      </c>
      <c r="D29" s="3478">
        <v>17658.11</v>
      </c>
      <c r="E29" s="3478">
        <v>1837.58</v>
      </c>
      <c r="F29" s="3478">
        <v>0</v>
      </c>
      <c r="G29" s="3478">
        <v>294.92</v>
      </c>
      <c r="H29" s="3478">
        <v>19790.61</v>
      </c>
      <c r="I29">
        <f>D29+E29</f>
        <v>19495.690000000002</v>
      </c>
      <c r="J29" s="3454" t="s">
        <v>3568</v>
      </c>
      <c r="K29">
        <v>5500</v>
      </c>
      <c r="L29">
        <f>ROUND((H29*K29)/10000,0)</f>
        <v>10885</v>
      </c>
      <c r="M29">
        <f>L29/L44</f>
        <v>3.5452792579178445E-2</v>
      </c>
      <c r="N29">
        <f>D29*基准地价修正!$C$33+E29*基准地价修正!$C$40</f>
        <v>68517245.340000004</v>
      </c>
      <c r="O29">
        <f t="shared" ref="O29:O43" si="0">N29/$N$44</f>
        <v>7.9839142917892653E-2</v>
      </c>
      <c r="P29">
        <f ca="1">ROUND(结果表!$F$118*M29,3)</f>
        <v>19496.802</v>
      </c>
      <c r="Q29">
        <f ca="1">ROUND(O29*结果表!$D$118,3)</f>
        <v>13713.57</v>
      </c>
      <c r="R29" s="3467">
        <f ca="1">ROUND(P29+Q29,0)</f>
        <v>33210</v>
      </c>
      <c r="S29" s="3467">
        <f ca="1">ROUND(R29/H29*10000,0)</f>
        <v>16781</v>
      </c>
      <c r="U29" s="3463"/>
      <c r="V29" s="3463"/>
    </row>
    <row r="30" spans="2:28" ht="14.25" thickBot="1">
      <c r="B30" s="3477" t="s">
        <v>3537</v>
      </c>
      <c r="C30" s="3478">
        <v>6486.76</v>
      </c>
      <c r="D30" s="3478">
        <v>17658.11</v>
      </c>
      <c r="E30" s="3478">
        <v>1832.56</v>
      </c>
      <c r="F30" s="3478">
        <v>0</v>
      </c>
      <c r="G30" s="3478">
        <v>294.92</v>
      </c>
      <c r="H30" s="3478">
        <v>19785.59</v>
      </c>
      <c r="I30">
        <f t="shared" ref="I30:I42" si="1">D30+E30</f>
        <v>19490.670000000002</v>
      </c>
      <c r="J30" s="3454" t="s">
        <v>3435</v>
      </c>
      <c r="K30">
        <f>K29</f>
        <v>5500</v>
      </c>
      <c r="L30">
        <f>ROUND((H30*K30)/10000,0)</f>
        <v>10882</v>
      </c>
      <c r="M30">
        <f>L30/L44</f>
        <v>3.5443021483382624E-2</v>
      </c>
      <c r="N30">
        <f>D30*基准地价修正!$C$33+E30*基准地价修正!$C$40</f>
        <v>68512411.079999998</v>
      </c>
      <c r="O30">
        <f t="shared" si="0"/>
        <v>7.9833509837153246E-2</v>
      </c>
      <c r="P30">
        <f ca="1">ROUND(结果表!$F$118*M30,3)</f>
        <v>19491.429</v>
      </c>
      <c r="Q30">
        <f ca="1">ROUND(O30*结果表!$D$118,3)</f>
        <v>13712.602999999999</v>
      </c>
      <c r="R30" s="3467">
        <f t="shared" ref="R30:R42" ca="1" si="2">ROUND(P30+Q30,0)</f>
        <v>33204</v>
      </c>
      <c r="S30" s="3467">
        <f t="shared" ref="S30:S43" ca="1" si="3">ROUND(R30/H30*10000,0)</f>
        <v>16782</v>
      </c>
      <c r="U30" s="3463"/>
      <c r="V30" s="3463"/>
    </row>
    <row r="31" spans="2:28" ht="14.25" thickBot="1">
      <c r="B31" s="3477" t="s">
        <v>3538</v>
      </c>
      <c r="C31" s="3478">
        <v>6489.91</v>
      </c>
      <c r="D31" s="3478">
        <v>17658.11</v>
      </c>
      <c r="E31" s="3478">
        <v>1842.18</v>
      </c>
      <c r="F31" s="3478">
        <v>0</v>
      </c>
      <c r="G31" s="3478">
        <v>294.92</v>
      </c>
      <c r="H31" s="3478">
        <v>19795.21</v>
      </c>
      <c r="I31">
        <f t="shared" si="1"/>
        <v>19500.29</v>
      </c>
      <c r="J31" s="3454" t="s">
        <v>3569</v>
      </c>
      <c r="K31">
        <v>14000</v>
      </c>
      <c r="L31">
        <f>ROUND((I31*K31+5500*G31)/10000,0)</f>
        <v>27463</v>
      </c>
      <c r="M31">
        <f>L31/L44</f>
        <v>8.9447867946897353E-2</v>
      </c>
      <c r="N31">
        <f>D31*基准地价修正!$C$33+E31*基准地价修正!$C$40</f>
        <v>68521675.140000001</v>
      </c>
      <c r="O31">
        <f t="shared" si="0"/>
        <v>7.9844304705024391E-2</v>
      </c>
      <c r="P31">
        <f ca="1">ROUND(结果表!$F$118*M31,3)</f>
        <v>49190.692000000003</v>
      </c>
      <c r="Q31">
        <f ca="1">ROUND(O31*结果表!$D$118,3)</f>
        <v>13714.457</v>
      </c>
      <c r="R31" s="3467">
        <f t="shared" ca="1" si="2"/>
        <v>62905</v>
      </c>
      <c r="S31" s="3467">
        <f t="shared" ca="1" si="3"/>
        <v>31778</v>
      </c>
      <c r="U31" s="3463"/>
      <c r="V31" s="3463"/>
    </row>
    <row r="32" spans="2:28" ht="14.25" thickBot="1">
      <c r="B32" s="3477" t="s">
        <v>3539</v>
      </c>
      <c r="C32" s="3478">
        <v>4402.47</v>
      </c>
      <c r="D32" s="3478">
        <v>11307.49</v>
      </c>
      <c r="E32" s="3478">
        <v>1828.26</v>
      </c>
      <c r="F32" s="3478">
        <v>0</v>
      </c>
      <c r="G32" s="3478">
        <v>292.44</v>
      </c>
      <c r="H32" s="3478">
        <v>13428.19</v>
      </c>
      <c r="I32">
        <f t="shared" si="1"/>
        <v>13135.75</v>
      </c>
      <c r="J32" s="3454" t="s">
        <v>3569</v>
      </c>
      <c r="K32">
        <f>K31</f>
        <v>14000</v>
      </c>
      <c r="L32">
        <f>ROUND((I32*K32+5500*G32)/10000,0)</f>
        <v>18551</v>
      </c>
      <c r="M32">
        <f>L32/L44</f>
        <v>6.042119936943862E-2</v>
      </c>
      <c r="N32">
        <f>D32*基准地价修正!$C$33+E32*基准地价修正!$C$40</f>
        <v>44502926.579999998</v>
      </c>
      <c r="O32">
        <f t="shared" si="0"/>
        <v>5.1856660288279822E-2</v>
      </c>
      <c r="P32">
        <f ca="1">ROUND(结果表!$F$118*M32,3)</f>
        <v>33227.853000000003</v>
      </c>
      <c r="Q32">
        <f ca="1">ROUND(O32*结果表!$D$118,3)</f>
        <v>8907.1589999999997</v>
      </c>
      <c r="R32" s="3467">
        <f t="shared" ca="1" si="2"/>
        <v>42135</v>
      </c>
      <c r="S32" s="3467">
        <f t="shared" ca="1" si="3"/>
        <v>31378</v>
      </c>
      <c r="U32" s="3463"/>
      <c r="V32" s="3463"/>
    </row>
    <row r="33" spans="2:22" ht="14.25" thickBot="1">
      <c r="B33" s="3477" t="s">
        <v>3540</v>
      </c>
      <c r="C33" s="3478">
        <v>6486.33</v>
      </c>
      <c r="D33" s="3478">
        <v>17658.11</v>
      </c>
      <c r="E33" s="3478">
        <v>1831.24</v>
      </c>
      <c r="F33" s="3478">
        <v>0</v>
      </c>
      <c r="G33" s="3478">
        <v>294.92</v>
      </c>
      <c r="H33" s="3478">
        <v>19784.27</v>
      </c>
      <c r="I33">
        <f t="shared" si="1"/>
        <v>19489.350000000002</v>
      </c>
      <c r="J33" s="3454" t="s">
        <v>3569</v>
      </c>
      <c r="K33">
        <f>K31</f>
        <v>14000</v>
      </c>
      <c r="L33">
        <f t="shared" ref="L33:L39" si="4">ROUND((I33*K33+5500*G33)/10000,0)</f>
        <v>27447</v>
      </c>
      <c r="M33">
        <f>L33/L44</f>
        <v>8.9395755435986296E-2</v>
      </c>
      <c r="N33">
        <f>D33*基准地价修正!$C$33+E33*基准地价修正!$C$40</f>
        <v>68511139.920000002</v>
      </c>
      <c r="O33">
        <f t="shared" si="0"/>
        <v>7.9832028628671961E-2</v>
      </c>
      <c r="P33">
        <f ca="1">ROUND(结果表!$F$118*M33,3)</f>
        <v>49162.034</v>
      </c>
      <c r="Q33">
        <f ca="1">ROUND(O33*结果表!$D$118,3)</f>
        <v>13712.348</v>
      </c>
      <c r="R33" s="3467">
        <f t="shared" ca="1" si="2"/>
        <v>62874</v>
      </c>
      <c r="S33" s="3467">
        <f t="shared" ca="1" si="3"/>
        <v>31780</v>
      </c>
      <c r="U33" s="3463"/>
      <c r="V33" s="3463"/>
    </row>
    <row r="34" spans="2:22" ht="14.25" thickBot="1">
      <c r="B34" s="3477" t="s">
        <v>3541</v>
      </c>
      <c r="C34" s="3478">
        <v>4613.8</v>
      </c>
      <c r="D34" s="3478">
        <v>11958.17</v>
      </c>
      <c r="E34" s="3478">
        <v>1822.18</v>
      </c>
      <c r="F34" s="3478">
        <v>0</v>
      </c>
      <c r="G34" s="3478">
        <v>292.44</v>
      </c>
      <c r="H34" s="3478">
        <v>14072.79</v>
      </c>
      <c r="I34">
        <f t="shared" si="1"/>
        <v>13780.35</v>
      </c>
      <c r="J34" s="3454" t="s">
        <v>3439</v>
      </c>
      <c r="K34">
        <f>K31</f>
        <v>14000</v>
      </c>
      <c r="L34">
        <f t="shared" si="4"/>
        <v>19453</v>
      </c>
      <c r="M34">
        <f>L34/L44</f>
        <v>6.3359042172049448E-2</v>
      </c>
      <c r="N34">
        <f>D34*基准地价修正!$C$33+E34*基准地价修正!$C$40</f>
        <v>46956641.940000005</v>
      </c>
      <c r="O34">
        <f t="shared" si="0"/>
        <v>5.4715831440516761E-2</v>
      </c>
      <c r="P34">
        <f ca="1">ROUND(结果表!$F$118*M34,3)</f>
        <v>34843.482000000004</v>
      </c>
      <c r="Q34">
        <f ca="1">ROUND(O34*结果表!$D$118,3)</f>
        <v>9398.2649999999994</v>
      </c>
      <c r="R34" s="3467">
        <f t="shared" ca="1" si="2"/>
        <v>44242</v>
      </c>
      <c r="S34" s="3467">
        <f t="shared" ca="1" si="3"/>
        <v>31438</v>
      </c>
      <c r="U34" s="3463"/>
      <c r="V34" s="3463"/>
    </row>
    <row r="35" spans="2:22" ht="14.25" thickBot="1">
      <c r="B35" s="3477" t="s">
        <v>3542</v>
      </c>
      <c r="C35" s="3478">
        <v>6488.02</v>
      </c>
      <c r="D35" s="3478">
        <v>17658.11</v>
      </c>
      <c r="E35" s="3478">
        <v>1836.4</v>
      </c>
      <c r="F35" s="3478">
        <v>0</v>
      </c>
      <c r="G35" s="3478">
        <v>294.92</v>
      </c>
      <c r="H35" s="3478">
        <v>19789.43</v>
      </c>
      <c r="I35">
        <f t="shared" si="1"/>
        <v>19494.510000000002</v>
      </c>
      <c r="J35" s="3454" t="s">
        <v>3569</v>
      </c>
      <c r="K35">
        <f>K31</f>
        <v>14000</v>
      </c>
      <c r="L35">
        <f t="shared" si="4"/>
        <v>27455</v>
      </c>
      <c r="M35">
        <f>L35/L44</f>
        <v>8.9421811691441824E-2</v>
      </c>
      <c r="N35">
        <f>D35*基准地价修正!$C$33+E35*基准地价修正!$C$40</f>
        <v>68516109</v>
      </c>
      <c r="O35">
        <f t="shared" si="0"/>
        <v>7.9837818807280594E-2</v>
      </c>
      <c r="P35">
        <f ca="1">ROUND(结果表!$F$118*M35,3)</f>
        <v>49176.362999999998</v>
      </c>
      <c r="Q35">
        <f ca="1">ROUND(O35*结果表!$D$118,3)</f>
        <v>13713.343000000001</v>
      </c>
      <c r="R35" s="3467">
        <f t="shared" ca="1" si="2"/>
        <v>62890</v>
      </c>
      <c r="S35" s="3467">
        <f t="shared" ca="1" si="3"/>
        <v>31780</v>
      </c>
      <c r="U35" s="3463"/>
      <c r="V35" s="3463"/>
    </row>
    <row r="36" spans="2:22" ht="14.25" thickBot="1">
      <c r="B36" s="3477" t="s">
        <v>3543</v>
      </c>
      <c r="C36" s="3478">
        <v>6610.79</v>
      </c>
      <c r="D36" s="3478">
        <v>18018.59</v>
      </c>
      <c r="E36" s="3478">
        <v>1848.39</v>
      </c>
      <c r="F36" s="3478">
        <v>0</v>
      </c>
      <c r="G36" s="3478">
        <v>296.91000000000003</v>
      </c>
      <c r="H36" s="3478">
        <v>20163.89</v>
      </c>
      <c r="I36">
        <f t="shared" si="1"/>
        <v>19866.98</v>
      </c>
      <c r="J36" s="3454" t="s">
        <v>3569</v>
      </c>
      <c r="K36">
        <f>K31</f>
        <v>14000</v>
      </c>
      <c r="L36">
        <f t="shared" si="4"/>
        <v>27977</v>
      </c>
      <c r="M36">
        <f>L36/L44</f>
        <v>9.112198235991506E-2</v>
      </c>
      <c r="N36">
        <f>D36*基准地价修正!$C$33+E36*基准地价修正!$C$40</f>
        <v>69890269.769999996</v>
      </c>
      <c r="O36">
        <f t="shared" si="0"/>
        <v>8.1439048068086009E-2</v>
      </c>
      <c r="P36">
        <f ca="1">ROUND(结果表!$F$118*M36,3)</f>
        <v>50111.35</v>
      </c>
      <c r="Q36">
        <f ca="1">ROUND(O36*结果表!$D$118,3)</f>
        <v>13988.378000000001</v>
      </c>
      <c r="R36" s="3467">
        <f t="shared" ca="1" si="2"/>
        <v>64100</v>
      </c>
      <c r="S36" s="3467">
        <f t="shared" ca="1" si="3"/>
        <v>31790</v>
      </c>
      <c r="U36" s="3463"/>
      <c r="V36" s="3463"/>
    </row>
    <row r="37" spans="2:22" ht="14.25" thickBot="1">
      <c r="B37" s="3477" t="s">
        <v>3544</v>
      </c>
      <c r="C37" s="3478">
        <v>6486.31</v>
      </c>
      <c r="D37" s="3478">
        <v>17658.11</v>
      </c>
      <c r="E37" s="3478">
        <v>1831.19</v>
      </c>
      <c r="F37" s="3478">
        <v>0</v>
      </c>
      <c r="G37" s="3478">
        <v>294.92</v>
      </c>
      <c r="H37" s="3478">
        <v>19784.22</v>
      </c>
      <c r="I37">
        <f t="shared" si="1"/>
        <v>19489.3</v>
      </c>
      <c r="J37" s="3454" t="s">
        <v>3569</v>
      </c>
      <c r="K37">
        <f>K31</f>
        <v>14000</v>
      </c>
      <c r="L37">
        <f t="shared" si="4"/>
        <v>27447</v>
      </c>
      <c r="M37">
        <f>L37/L44</f>
        <v>8.9395755435986296E-2</v>
      </c>
      <c r="N37">
        <f>D37*基准地价修正!$C$33+E37*基准地价修正!$C$40</f>
        <v>68511091.770000011</v>
      </c>
      <c r="O37">
        <f t="shared" si="0"/>
        <v>7.9831972522290115E-2</v>
      </c>
      <c r="P37">
        <f ca="1">ROUND(结果表!$F$118*M37,3)</f>
        <v>49162.034</v>
      </c>
      <c r="Q37">
        <f ca="1">ROUND(O37*结果表!$D$118,3)</f>
        <v>13712.339</v>
      </c>
      <c r="R37" s="3467">
        <f t="shared" ca="1" si="2"/>
        <v>62874</v>
      </c>
      <c r="S37" s="3467">
        <f t="shared" ca="1" si="3"/>
        <v>31780</v>
      </c>
      <c r="U37" s="3463"/>
      <c r="V37" s="3463"/>
    </row>
    <row r="38" spans="2:22" ht="14.25" thickBot="1">
      <c r="B38" s="3477" t="s">
        <v>3545</v>
      </c>
      <c r="C38" s="3478">
        <v>4613.79</v>
      </c>
      <c r="D38" s="3478">
        <v>11958.17</v>
      </c>
      <c r="E38" s="3478">
        <v>1822.15</v>
      </c>
      <c r="F38" s="3478">
        <v>0</v>
      </c>
      <c r="G38" s="3478">
        <v>292.44</v>
      </c>
      <c r="H38" s="3478">
        <v>14072.76</v>
      </c>
      <c r="I38">
        <f t="shared" si="1"/>
        <v>13780.32</v>
      </c>
      <c r="J38" s="3454" t="s">
        <v>3569</v>
      </c>
      <c r="K38">
        <f>K31</f>
        <v>14000</v>
      </c>
      <c r="L38">
        <f t="shared" si="4"/>
        <v>19453</v>
      </c>
      <c r="M38">
        <f>L38/L44</f>
        <v>6.3359042172049448E-2</v>
      </c>
      <c r="N38">
        <f>D38*基准地价修正!$C$33+E38*基准地价修正!$C$40</f>
        <v>46956613.050000004</v>
      </c>
      <c r="O38">
        <f t="shared" si="0"/>
        <v>5.4715797776687641E-2</v>
      </c>
      <c r="P38">
        <f ca="1">ROUND(结果表!$F$118*M38,3)</f>
        <v>34843.482000000004</v>
      </c>
      <c r="Q38">
        <f ca="1">ROUND(O38*结果表!$D$118,3)</f>
        <v>9398.259</v>
      </c>
      <c r="R38" s="3467">
        <f t="shared" ca="1" si="2"/>
        <v>44242</v>
      </c>
      <c r="S38" s="3467">
        <f t="shared" ca="1" si="3"/>
        <v>31438</v>
      </c>
      <c r="U38" s="3463"/>
      <c r="V38" s="3463"/>
    </row>
    <row r="39" spans="2:22" ht="14.25" thickBot="1">
      <c r="B39" s="3477" t="s">
        <v>3546</v>
      </c>
      <c r="C39" s="3478">
        <v>6606.67</v>
      </c>
      <c r="D39" s="3478">
        <v>18018.59</v>
      </c>
      <c r="E39" s="3478">
        <v>1837.92</v>
      </c>
      <c r="F39" s="3478">
        <v>0</v>
      </c>
      <c r="G39" s="3478">
        <v>294.83999999999997</v>
      </c>
      <c r="H39" s="3478">
        <v>20151.349999999999</v>
      </c>
      <c r="I39">
        <f t="shared" si="1"/>
        <v>19856.510000000002</v>
      </c>
      <c r="J39" s="3454" t="s">
        <v>3439</v>
      </c>
      <c r="K39">
        <f>K31</f>
        <v>14000</v>
      </c>
      <c r="L39">
        <f t="shared" si="4"/>
        <v>27961</v>
      </c>
      <c r="M39">
        <f>L39/L44</f>
        <v>9.1069869849004004E-2</v>
      </c>
      <c r="N39">
        <f>D39*基准地价修正!$C$33+E39*基准地价修正!$C$40</f>
        <v>69880187.159999996</v>
      </c>
      <c r="O39">
        <f t="shared" si="0"/>
        <v>8.1427299391723135E-2</v>
      </c>
      <c r="P39">
        <f ca="1">ROUND(结果表!$F$118*M39,3)</f>
        <v>50082.690999999999</v>
      </c>
      <c r="Q39">
        <f ca="1">ROUND(O39*结果表!$D$118,3)</f>
        <v>13986.36</v>
      </c>
      <c r="R39" s="3467">
        <f t="shared" ca="1" si="2"/>
        <v>64069</v>
      </c>
      <c r="S39" s="3467">
        <f t="shared" ca="1" si="3"/>
        <v>31794</v>
      </c>
      <c r="U39" s="3463"/>
      <c r="V39" s="3463"/>
    </row>
    <row r="40" spans="2:22" ht="14.25" thickBot="1">
      <c r="B40" s="3477" t="s">
        <v>3547</v>
      </c>
      <c r="C40" s="3478">
        <v>4538.87</v>
      </c>
      <c r="D40" s="3478">
        <v>11728.85</v>
      </c>
      <c r="E40" s="3478">
        <v>1822.93</v>
      </c>
      <c r="F40" s="3478">
        <v>0</v>
      </c>
      <c r="G40" s="3478">
        <v>292.44</v>
      </c>
      <c r="H40" s="3478">
        <v>13844.22</v>
      </c>
      <c r="I40">
        <f t="shared" si="1"/>
        <v>13551.78</v>
      </c>
      <c r="J40" s="3454" t="s">
        <v>3570</v>
      </c>
      <c r="K40">
        <v>5500</v>
      </c>
      <c r="L40">
        <f>ROUND((H40*K40)/10000,0)</f>
        <v>7614</v>
      </c>
      <c r="M40">
        <f>L40/L44</f>
        <v>2.4799041129799238E-2</v>
      </c>
      <c r="N40">
        <f>D40*基准地价修正!$C$33+E40*基准地价修正!$C$40</f>
        <v>46090534.590000004</v>
      </c>
      <c r="O40">
        <f t="shared" si="0"/>
        <v>5.3706607147336979E-2</v>
      </c>
      <c r="P40">
        <f ca="1">ROUND(结果表!$F$118*M40,3)</f>
        <v>13637.91</v>
      </c>
      <c r="Q40">
        <f ca="1">ROUND(O40*结果表!$D$118,3)</f>
        <v>9224.9150000000009</v>
      </c>
      <c r="R40" s="3467">
        <f t="shared" ca="1" si="2"/>
        <v>22863</v>
      </c>
      <c r="S40" s="3467">
        <f t="shared" ca="1" si="3"/>
        <v>16514</v>
      </c>
      <c r="U40" s="3463"/>
      <c r="V40" s="3463"/>
    </row>
    <row r="41" spans="2:22" ht="14.25" thickBot="1">
      <c r="B41" s="3477" t="s">
        <v>3548</v>
      </c>
      <c r="C41" s="3478">
        <v>4615.87</v>
      </c>
      <c r="D41" s="3478">
        <v>11958.17</v>
      </c>
      <c r="E41" s="3478">
        <v>1828.5</v>
      </c>
      <c r="F41" s="3478">
        <v>0</v>
      </c>
      <c r="G41" s="3478">
        <v>292.44</v>
      </c>
      <c r="H41" s="3478">
        <v>14079.11</v>
      </c>
      <c r="I41">
        <f t="shared" si="1"/>
        <v>13786.67</v>
      </c>
      <c r="J41" s="3454" t="s">
        <v>3569</v>
      </c>
      <c r="K41">
        <f>K31</f>
        <v>14000</v>
      </c>
      <c r="L41">
        <f>ROUND((I41*K41+5500*G41)/10000,0)</f>
        <v>19462</v>
      </c>
      <c r="M41">
        <f>L41/L44</f>
        <v>6.3388355459436926E-2</v>
      </c>
      <c r="N41">
        <f>D41*基准地价修正!$C$33+E41*基准地价修正!$C$40</f>
        <v>46962728.100000001</v>
      </c>
      <c r="O41">
        <f t="shared" si="0"/>
        <v>5.4722923287184699E-2</v>
      </c>
      <c r="P41">
        <f ca="1">ROUND(结果表!$F$118*M41,3)</f>
        <v>34859.601999999999</v>
      </c>
      <c r="Q41">
        <f ca="1">ROUND(O41*结果表!$D$118,3)</f>
        <v>9399.4830000000002</v>
      </c>
      <c r="R41" s="3467">
        <f t="shared" ca="1" si="2"/>
        <v>44259</v>
      </c>
      <c r="S41" s="3467">
        <f t="shared" ca="1" si="3"/>
        <v>31436</v>
      </c>
      <c r="U41" s="3463"/>
      <c r="V41" s="3463"/>
    </row>
    <row r="42" spans="2:22" ht="14.25" thickBot="1">
      <c r="B42" s="3477" t="s">
        <v>3549</v>
      </c>
      <c r="C42" s="3478">
        <v>4577.83</v>
      </c>
      <c r="D42" s="3478">
        <v>11836</v>
      </c>
      <c r="E42" s="3478">
        <v>1834.64</v>
      </c>
      <c r="F42" s="3478">
        <v>0</v>
      </c>
      <c r="G42" s="3478">
        <v>292.44</v>
      </c>
      <c r="H42" s="3478">
        <v>13963.08</v>
      </c>
      <c r="I42">
        <f t="shared" si="1"/>
        <v>13670.64</v>
      </c>
      <c r="J42" s="3454" t="s">
        <v>3570</v>
      </c>
      <c r="K42">
        <f>K40</f>
        <v>5500</v>
      </c>
      <c r="L42">
        <f>ROUND((H42*K42)/10000,0)</f>
        <v>7680</v>
      </c>
      <c r="M42">
        <f>L42/L44</f>
        <v>2.5014005237307346E-2</v>
      </c>
      <c r="N42">
        <f>D42*基准地价修正!$C$33+E42*基准地价修正!$C$40</f>
        <v>46506838.32</v>
      </c>
      <c r="O42">
        <f t="shared" si="0"/>
        <v>5.4191701561623326E-2</v>
      </c>
      <c r="P42">
        <f ca="1">ROUND(结果表!$F$118*M42,3)</f>
        <v>13756.127</v>
      </c>
      <c r="Q42">
        <f ca="1">ROUND(O42*结果表!$D$118,3)</f>
        <v>9308.2379999999994</v>
      </c>
      <c r="R42" s="3467">
        <f t="shared" ca="1" si="2"/>
        <v>23064</v>
      </c>
      <c r="S42" s="3467">
        <f t="shared" ca="1" si="3"/>
        <v>16518</v>
      </c>
      <c r="U42" s="3463"/>
      <c r="V42" s="3463"/>
    </row>
    <row r="43" spans="2:22" ht="14.25" thickBot="1">
      <c r="B43" s="3479" t="s">
        <v>3414</v>
      </c>
      <c r="C43" s="3478">
        <v>16272.2</v>
      </c>
      <c r="D43" s="3478">
        <v>0</v>
      </c>
      <c r="E43" s="3478">
        <v>6948.57</v>
      </c>
      <c r="F43" s="3478">
        <v>39209.79</v>
      </c>
      <c r="G43" s="3478">
        <v>3474.28</v>
      </c>
      <c r="H43" s="3478">
        <v>49632.639999999999</v>
      </c>
      <c r="I43">
        <f>E43</f>
        <v>6948.57</v>
      </c>
      <c r="J43" s="3454"/>
      <c r="K43">
        <v>5500</v>
      </c>
      <c r="L43">
        <f>ROUND(H43*K43/10000,0)</f>
        <v>27298</v>
      </c>
      <c r="M43">
        <f>L43/L44</f>
        <v>8.8910457678127081E-2</v>
      </c>
      <c r="N43">
        <f>E43*基准地价修正!C40+F43*基准地价修正!C42</f>
        <v>29354731.530000001</v>
      </c>
      <c r="O43">
        <f t="shared" si="0"/>
        <v>3.4205353620248735E-2</v>
      </c>
      <c r="P43">
        <f ca="1">ROUND(结果表!$F$118*M43,3)</f>
        <v>48895.15</v>
      </c>
      <c r="Q43">
        <f ca="1">ROUND(O43*结果表!$D$118,3)</f>
        <v>5875.2830000000004</v>
      </c>
      <c r="R43" s="3467">
        <f ca="1">结果表!H118-SUM(拆分价值!R29:R42)</f>
        <v>54771</v>
      </c>
      <c r="S43" s="3467">
        <f t="shared" ca="1" si="3"/>
        <v>11035</v>
      </c>
      <c r="U43" s="3463"/>
      <c r="V43" s="3463"/>
    </row>
    <row r="44" spans="2:22" ht="14.25" thickBot="1">
      <c r="B44" s="3480" t="s">
        <v>3550</v>
      </c>
      <c r="C44" s="3476">
        <f>SUM(C29:C43)</f>
        <v>95778.03</v>
      </c>
      <c r="D44" s="3481">
        <f>SUM(D29:D43)</f>
        <v>212732.69</v>
      </c>
      <c r="E44" s="3481">
        <f>SUM(E29:E43)</f>
        <v>32604.690000000002</v>
      </c>
      <c r="F44" s="3481">
        <f>F43</f>
        <v>39209.79</v>
      </c>
      <c r="G44" s="3481">
        <f>SUM(G29:G43)</f>
        <v>7590.1900000000005</v>
      </c>
      <c r="H44" s="3481">
        <f>SUM(H29:H43)</f>
        <v>292137.36</v>
      </c>
      <c r="L44">
        <f t="shared" ref="L44:R44" si="5">SUM(L29:L43)</f>
        <v>307028</v>
      </c>
      <c r="M44">
        <f t="shared" si="5"/>
        <v>1</v>
      </c>
      <c r="N44">
        <f t="shared" si="5"/>
        <v>858191143.28999996</v>
      </c>
      <c r="O44">
        <f t="shared" si="5"/>
        <v>1</v>
      </c>
      <c r="P44">
        <f t="shared" ca="1" si="5"/>
        <v>549937.00099999993</v>
      </c>
      <c r="Q44">
        <f t="shared" ca="1" si="5"/>
        <v>171765.00000000003</v>
      </c>
      <c r="R44" s="3467">
        <f t="shared" ca="1" si="5"/>
        <v>721702</v>
      </c>
      <c r="S44" s="3467">
        <f ca="1">ROUND(R44/H44*10000,0)</f>
        <v>24704</v>
      </c>
      <c r="U44" s="3463"/>
      <c r="V44" s="3463"/>
    </row>
    <row r="46" spans="2:22" ht="14.25" thickBot="1">
      <c r="B46" s="3485" t="s">
        <v>3551</v>
      </c>
      <c r="C46" s="3478">
        <f>C71</f>
        <v>7212.96</v>
      </c>
      <c r="D46" s="3478">
        <f t="shared" ref="D46:G48" si="6">D20</f>
        <v>17658.11</v>
      </c>
      <c r="E46" s="3478">
        <f t="shared" si="6"/>
        <v>1834.45</v>
      </c>
      <c r="F46" s="3478">
        <f t="shared" si="6"/>
        <v>0</v>
      </c>
      <c r="G46" s="3478">
        <f t="shared" si="6"/>
        <v>294.92</v>
      </c>
      <c r="H46" s="3478">
        <f>SUM(D46:G46)</f>
        <v>19787.48</v>
      </c>
      <c r="I46" s="3486">
        <f>D46+E46</f>
        <v>19492.560000000001</v>
      </c>
      <c r="J46" s="3454" t="s">
        <v>3569</v>
      </c>
      <c r="K46">
        <f>[3]面积表!F44</f>
        <v>14000</v>
      </c>
      <c r="L46">
        <f>ROUND((I46*K46+5500*G46)/10000,0)</f>
        <v>27452</v>
      </c>
      <c r="M46">
        <f>L46/L49</f>
        <v>0.55735574775652741</v>
      </c>
      <c r="N46">
        <f>D46*[2]基准地价修正!$C$33+E46*[2]基准地价修正!$C$40</f>
        <v>68514231.150000006</v>
      </c>
      <c r="O46">
        <f>N46/$N$49</f>
        <v>0.33333459833080115</v>
      </c>
      <c r="P46">
        <f>ROUND([2]结果表!$F$118*M46*99%,0)</f>
        <v>43812</v>
      </c>
      <c r="Q46">
        <f>ROUND(O46*[2]结果表!$D$118,2)</f>
        <v>10810.37</v>
      </c>
      <c r="R46" s="3467">
        <f>ROUND(P46/$P$49*[2]结果表!$F$118+Q46,0)</f>
        <v>55065</v>
      </c>
      <c r="S46" s="3467">
        <f>ROUND(R46/H46*10000,0)</f>
        <v>27828</v>
      </c>
      <c r="U46" s="3463"/>
      <c r="V46" s="3463"/>
    </row>
    <row r="47" spans="2:22" ht="14.25" thickBot="1">
      <c r="B47" s="3477" t="s">
        <v>3553</v>
      </c>
      <c r="C47" s="3478">
        <f t="shared" ref="C47:C48" si="7">C72</f>
        <v>6635.28</v>
      </c>
      <c r="D47" s="3478">
        <f t="shared" si="6"/>
        <v>17658.11</v>
      </c>
      <c r="E47" s="3478">
        <f t="shared" si="6"/>
        <v>1833.48</v>
      </c>
      <c r="F47" s="3478">
        <f t="shared" si="6"/>
        <v>0</v>
      </c>
      <c r="G47" s="3478">
        <f t="shared" si="6"/>
        <v>361.2</v>
      </c>
      <c r="H47" s="3478">
        <f t="shared" ref="H47:H48" si="8">SUM(D47:G47)</f>
        <v>19852.79</v>
      </c>
      <c r="I47" s="3486">
        <f t="shared" ref="I47:I48" si="9">D47+E47</f>
        <v>19491.59</v>
      </c>
      <c r="J47" s="3454" t="s">
        <v>3451</v>
      </c>
      <c r="K47">
        <v>5500</v>
      </c>
      <c r="L47">
        <f>ROUND((H47*K47)/10000,0)</f>
        <v>10919</v>
      </c>
      <c r="M47">
        <f>L47/L49</f>
        <v>0.22168757867381331</v>
      </c>
      <c r="N47">
        <f>D47*[2]基准地价修正!$C$33+E47*[2]基准地价修正!$C$40</f>
        <v>68513297.040000007</v>
      </c>
      <c r="O47">
        <f>N47/$N$49</f>
        <v>0.33333005371026869</v>
      </c>
      <c r="P47">
        <f>ROUND([2]结果表!$F$118*M47*99%,0)</f>
        <v>17426</v>
      </c>
      <c r="Q47">
        <f>ROUND(O47*[2]结果表!$D$118,2)</f>
        <v>10810.23</v>
      </c>
      <c r="R47" s="3467">
        <f>ROUND(P47/$P$49*[2]结果表!$F$118+Q47,0)</f>
        <v>28412</v>
      </c>
      <c r="S47" s="3467">
        <f t="shared" ref="S47:S49" si="10">ROUND(R47/H47*10000,0)</f>
        <v>14311</v>
      </c>
      <c r="U47" s="3463"/>
      <c r="V47" s="3463"/>
    </row>
    <row r="48" spans="2:22" ht="14.25" thickBot="1">
      <c r="B48" s="3477" t="s">
        <v>3554</v>
      </c>
      <c r="C48" s="3478">
        <f t="shared" si="7"/>
        <v>6607.41</v>
      </c>
      <c r="D48" s="3478">
        <f t="shared" si="6"/>
        <v>17658.11</v>
      </c>
      <c r="E48" s="3478">
        <f t="shared" si="6"/>
        <v>1834.61</v>
      </c>
      <c r="F48" s="3478">
        <f t="shared" si="6"/>
        <v>0</v>
      </c>
      <c r="G48" s="3478">
        <f t="shared" si="6"/>
        <v>294.92</v>
      </c>
      <c r="H48" s="3478">
        <f t="shared" si="8"/>
        <v>19787.64</v>
      </c>
      <c r="I48" s="3486">
        <f t="shared" si="9"/>
        <v>19492.72</v>
      </c>
      <c r="J48" s="3482" t="s">
        <v>3451</v>
      </c>
      <c r="K48">
        <v>5500</v>
      </c>
      <c r="L48">
        <f>ROUND((H48*K48)/10000,0)</f>
        <v>10883</v>
      </c>
      <c r="M48">
        <f>L48/L49</f>
        <v>0.22095667356965931</v>
      </c>
      <c r="N48">
        <f>D48*[2]基准地价修正!$C$33+E48*[2]基准地价修正!$C$40</f>
        <v>68514385.230000004</v>
      </c>
      <c r="O48">
        <f>N48/$N$49</f>
        <v>0.33333534795893016</v>
      </c>
      <c r="P48">
        <f>ROUND([2]结果表!$F$118*M48*99%,0)</f>
        <v>17369</v>
      </c>
      <c r="Q48">
        <f>ROUND(O48*[2]结果表!$D$118,2)</f>
        <v>10810.4</v>
      </c>
      <c r="R48" s="3467">
        <f>ROUND(P48/$P$49*[2]结果表!$F$118+Q48,0)</f>
        <v>28355</v>
      </c>
      <c r="S48" s="3467">
        <f t="shared" si="10"/>
        <v>14330</v>
      </c>
      <c r="U48" s="3463"/>
      <c r="V48" s="3463"/>
    </row>
    <row r="49" spans="2:22" ht="14.25" thickBot="1">
      <c r="B49" s="3480" t="s">
        <v>3550</v>
      </c>
      <c r="C49" s="3476">
        <f t="shared" ref="C49:H49" si="11">SUM(C46:C48)</f>
        <v>20455.650000000001</v>
      </c>
      <c r="D49" s="3476">
        <f t="shared" si="11"/>
        <v>52974.33</v>
      </c>
      <c r="E49" s="3476">
        <f t="shared" si="11"/>
        <v>5502.54</v>
      </c>
      <c r="F49" s="3476">
        <f t="shared" si="11"/>
        <v>0</v>
      </c>
      <c r="G49" s="3476">
        <f t="shared" si="11"/>
        <v>951.04</v>
      </c>
      <c r="H49" s="3476">
        <f t="shared" si="11"/>
        <v>59427.91</v>
      </c>
      <c r="L49">
        <f t="shared" ref="L49:R49" si="12">SUM(L46:L48)</f>
        <v>49254</v>
      </c>
      <c r="M49">
        <f t="shared" si="12"/>
        <v>1</v>
      </c>
      <c r="N49">
        <f t="shared" si="12"/>
        <v>205541913.42000002</v>
      </c>
      <c r="O49">
        <f t="shared" si="12"/>
        <v>1</v>
      </c>
      <c r="P49">
        <f t="shared" si="12"/>
        <v>78607</v>
      </c>
      <c r="Q49">
        <f t="shared" si="12"/>
        <v>32431</v>
      </c>
      <c r="R49" s="3467">
        <f t="shared" si="12"/>
        <v>111832</v>
      </c>
      <c r="S49" s="3467">
        <f t="shared" si="10"/>
        <v>18818</v>
      </c>
      <c r="U49" s="3463"/>
      <c r="V49" s="3463"/>
    </row>
    <row r="50" spans="2:22">
      <c r="C50">
        <f>C49+C44</f>
        <v>116233.68</v>
      </c>
      <c r="D50">
        <f t="shared" ref="D50:H50" si="13">D49+D44</f>
        <v>265707.02</v>
      </c>
      <c r="E50">
        <f t="shared" si="13"/>
        <v>38107.230000000003</v>
      </c>
      <c r="F50">
        <f t="shared" si="13"/>
        <v>39209.79</v>
      </c>
      <c r="G50">
        <f t="shared" si="13"/>
        <v>8541.23</v>
      </c>
      <c r="H50">
        <f t="shared" si="13"/>
        <v>351565.27</v>
      </c>
    </row>
    <row r="52" spans="2:22" ht="14.25" thickBot="1"/>
    <row r="53" spans="2:22" ht="14.25" thickBot="1">
      <c r="B53" s="3696" t="s">
        <v>3525</v>
      </c>
      <c r="C53" s="3696" t="s">
        <v>3571</v>
      </c>
      <c r="D53" s="3701" t="s">
        <v>3572</v>
      </c>
      <c r="E53" s="3703" t="s">
        <v>3573</v>
      </c>
      <c r="F53" s="3704"/>
      <c r="G53" s="3705" t="s">
        <v>3574</v>
      </c>
      <c r="H53" s="3706"/>
      <c r="I53" s="3686" t="s">
        <v>3575</v>
      </c>
    </row>
    <row r="54" spans="2:22" ht="14.25" thickBot="1">
      <c r="B54" s="3697"/>
      <c r="C54" s="3697"/>
      <c r="D54" s="3702"/>
      <c r="E54" s="3487" t="s">
        <v>3576</v>
      </c>
      <c r="F54" s="3488" t="s">
        <v>3577</v>
      </c>
      <c r="G54" s="3488" t="s">
        <v>3576</v>
      </c>
      <c r="H54" s="3489" t="s">
        <v>3577</v>
      </c>
      <c r="I54" s="3687"/>
    </row>
    <row r="55" spans="2:22" ht="24.75" thickBot="1">
      <c r="B55" s="3477" t="s">
        <v>3535</v>
      </c>
      <c r="C55" s="3478">
        <f>C29</f>
        <v>6488.41</v>
      </c>
      <c r="D55" s="3478">
        <v>19790.61</v>
      </c>
      <c r="E55" s="3478">
        <f t="shared" ref="E55:F58" ca="1" si="14">R29</f>
        <v>33210</v>
      </c>
      <c r="F55" s="3478">
        <f t="shared" ca="1" si="14"/>
        <v>16781</v>
      </c>
      <c r="G55" s="3478">
        <f t="shared" ref="G55:H70" si="15">U29</f>
        <v>0</v>
      </c>
      <c r="H55" s="3478">
        <f t="shared" si="15"/>
        <v>0</v>
      </c>
      <c r="I55" s="3477" t="s">
        <v>3578</v>
      </c>
    </row>
    <row r="56" spans="2:22" ht="24.75" thickBot="1">
      <c r="B56" s="3477" t="s">
        <v>3537</v>
      </c>
      <c r="C56" s="3478">
        <f t="shared" ref="C56:C69" si="16">C30</f>
        <v>6486.76</v>
      </c>
      <c r="D56" s="3478">
        <v>19785.59</v>
      </c>
      <c r="E56" s="3478">
        <f t="shared" ca="1" si="14"/>
        <v>33204</v>
      </c>
      <c r="F56" s="3478">
        <f t="shared" ca="1" si="14"/>
        <v>16782</v>
      </c>
      <c r="G56" s="3478">
        <f t="shared" si="15"/>
        <v>0</v>
      </c>
      <c r="H56" s="3478">
        <f t="shared" si="15"/>
        <v>0</v>
      </c>
      <c r="I56" s="3477" t="s">
        <v>3578</v>
      </c>
    </row>
    <row r="57" spans="2:22" ht="24.75" thickBot="1">
      <c r="B57" s="3490" t="s">
        <v>3538</v>
      </c>
      <c r="C57" s="3491">
        <f t="shared" si="16"/>
        <v>6489.91</v>
      </c>
      <c r="D57" s="3491">
        <v>19795.21</v>
      </c>
      <c r="E57" s="3491">
        <f t="shared" ca="1" si="14"/>
        <v>62905</v>
      </c>
      <c r="F57" s="3491">
        <f t="shared" ca="1" si="14"/>
        <v>31778</v>
      </c>
      <c r="G57" s="3491">
        <f t="shared" si="15"/>
        <v>0</v>
      </c>
      <c r="H57" s="3491">
        <f t="shared" si="15"/>
        <v>0</v>
      </c>
      <c r="I57" s="3490" t="s">
        <v>3579</v>
      </c>
    </row>
    <row r="58" spans="2:22" ht="24.75" thickBot="1">
      <c r="B58" s="3490" t="s">
        <v>3539</v>
      </c>
      <c r="C58" s="3491">
        <f t="shared" si="16"/>
        <v>4402.47</v>
      </c>
      <c r="D58" s="3491">
        <v>13428.19</v>
      </c>
      <c r="E58" s="3491">
        <f t="shared" ca="1" si="14"/>
        <v>42135</v>
      </c>
      <c r="F58" s="3491">
        <f t="shared" ca="1" si="14"/>
        <v>31378</v>
      </c>
      <c r="G58" s="3491">
        <f t="shared" si="15"/>
        <v>0</v>
      </c>
      <c r="H58" s="3491">
        <f t="shared" si="15"/>
        <v>0</v>
      </c>
      <c r="I58" s="3490" t="s">
        <v>3580</v>
      </c>
    </row>
    <row r="59" spans="2:22" ht="24.75" thickBot="1">
      <c r="B59" s="3477" t="s">
        <v>3540</v>
      </c>
      <c r="C59" s="3478">
        <f t="shared" si="16"/>
        <v>6486.33</v>
      </c>
      <c r="D59" s="3478">
        <v>19784.27</v>
      </c>
      <c r="E59" s="3492">
        <f ca="1">R33</f>
        <v>62874</v>
      </c>
      <c r="F59" s="3478">
        <f ca="1">ROUND(E59*10000/D59,0)</f>
        <v>31780</v>
      </c>
      <c r="G59" s="3478">
        <f t="shared" si="15"/>
        <v>0</v>
      </c>
      <c r="H59" s="3478">
        <f t="shared" si="15"/>
        <v>0</v>
      </c>
      <c r="I59" s="3477" t="s">
        <v>3578</v>
      </c>
      <c r="K59" s="3474"/>
    </row>
    <row r="60" spans="2:22" ht="24.75" thickBot="1">
      <c r="B60" s="3490" t="s">
        <v>3541</v>
      </c>
      <c r="C60" s="3491">
        <f t="shared" si="16"/>
        <v>4613.8</v>
      </c>
      <c r="D60" s="3491">
        <v>14072.79</v>
      </c>
      <c r="E60" s="3491">
        <f ca="1">R34</f>
        <v>44242</v>
      </c>
      <c r="F60" s="3491">
        <f ca="1">S34</f>
        <v>31438</v>
      </c>
      <c r="G60" s="3491">
        <f t="shared" si="15"/>
        <v>0</v>
      </c>
      <c r="H60" s="3491">
        <f t="shared" si="15"/>
        <v>0</v>
      </c>
      <c r="I60" s="3490" t="s">
        <v>3581</v>
      </c>
    </row>
    <row r="61" spans="2:22" ht="24.75" thickBot="1">
      <c r="B61" s="3477" t="s">
        <v>3542</v>
      </c>
      <c r="C61" s="3478">
        <f t="shared" si="16"/>
        <v>6488.02</v>
      </c>
      <c r="D61" s="3478">
        <v>19789.43</v>
      </c>
      <c r="E61" s="3492">
        <f ca="1">R35</f>
        <v>62890</v>
      </c>
      <c r="F61" s="3478">
        <f ca="1">ROUND(E61*10000/D61,0)</f>
        <v>31780</v>
      </c>
      <c r="G61" s="3478">
        <f t="shared" si="15"/>
        <v>0</v>
      </c>
      <c r="H61" s="3478">
        <f t="shared" si="15"/>
        <v>0</v>
      </c>
      <c r="I61" s="3477" t="s">
        <v>3583</v>
      </c>
      <c r="L61" s="3454" t="s">
        <v>3595</v>
      </c>
      <c r="N61">
        <f ca="1">E57+E58+E60+E62+E63+E64+E65+E67</f>
        <v>428826</v>
      </c>
    </row>
    <row r="62" spans="2:22" ht="24.75" thickBot="1">
      <c r="B62" s="3490" t="s">
        <v>3543</v>
      </c>
      <c r="C62" s="3491">
        <f t="shared" si="16"/>
        <v>6610.79</v>
      </c>
      <c r="D62" s="3491">
        <v>20163.89</v>
      </c>
      <c r="E62" s="3491">
        <f ca="1">R36</f>
        <v>64100</v>
      </c>
      <c r="F62" s="3491">
        <f ca="1">S36</f>
        <v>31790</v>
      </c>
      <c r="G62" s="3491">
        <f t="shared" si="15"/>
        <v>0</v>
      </c>
      <c r="H62" s="3491">
        <f t="shared" si="15"/>
        <v>0</v>
      </c>
      <c r="I62" s="3490" t="s">
        <v>3584</v>
      </c>
      <c r="M62" s="3454" t="s">
        <v>3593</v>
      </c>
      <c r="N62">
        <v>479226</v>
      </c>
    </row>
    <row r="63" spans="2:22" ht="24.75" thickBot="1">
      <c r="B63" s="3490" t="s">
        <v>3544</v>
      </c>
      <c r="C63" s="3491">
        <f t="shared" si="16"/>
        <v>6486.31</v>
      </c>
      <c r="D63" s="3491">
        <v>19784.22</v>
      </c>
      <c r="E63" s="3491">
        <f ca="1">R37</f>
        <v>62874</v>
      </c>
      <c r="F63" s="3491">
        <f ca="1">S37</f>
        <v>31780</v>
      </c>
      <c r="G63" s="3491">
        <f t="shared" si="15"/>
        <v>0</v>
      </c>
      <c r="H63" s="3491">
        <f t="shared" si="15"/>
        <v>0</v>
      </c>
      <c r="I63" s="3490" t="s">
        <v>3585</v>
      </c>
      <c r="M63" s="3454" t="s">
        <v>3594</v>
      </c>
      <c r="N63">
        <v>460967</v>
      </c>
      <c r="O63">
        <f ca="1">(N61-N63)/N63</f>
        <v>-6.9725164708102749E-2</v>
      </c>
    </row>
    <row r="64" spans="2:22" ht="24.75" thickBot="1">
      <c r="B64" s="3490" t="s">
        <v>3545</v>
      </c>
      <c r="C64" s="3491">
        <f t="shared" si="16"/>
        <v>4613.79</v>
      </c>
      <c r="D64" s="3491">
        <v>14072.76</v>
      </c>
      <c r="E64" s="3491">
        <f t="shared" ref="E64:F69" ca="1" si="17">R38</f>
        <v>44242</v>
      </c>
      <c r="F64" s="3491">
        <f t="shared" ca="1" si="17"/>
        <v>31438</v>
      </c>
      <c r="G64" s="3491">
        <f t="shared" si="15"/>
        <v>0</v>
      </c>
      <c r="H64" s="3491">
        <f t="shared" si="15"/>
        <v>0</v>
      </c>
      <c r="I64" s="3490" t="s">
        <v>3586</v>
      </c>
    </row>
    <row r="65" spans="2:15" ht="24.75" thickBot="1">
      <c r="B65" s="3490" t="s">
        <v>3546</v>
      </c>
      <c r="C65" s="3491">
        <f t="shared" si="16"/>
        <v>6606.67</v>
      </c>
      <c r="D65" s="3491">
        <v>20151.349999999999</v>
      </c>
      <c r="E65" s="3491">
        <f t="shared" ca="1" si="17"/>
        <v>64069</v>
      </c>
      <c r="F65" s="3491">
        <f t="shared" ca="1" si="17"/>
        <v>31794</v>
      </c>
      <c r="G65" s="3491">
        <f t="shared" si="15"/>
        <v>0</v>
      </c>
      <c r="H65" s="3491">
        <f t="shared" si="15"/>
        <v>0</v>
      </c>
      <c r="I65" s="3490" t="s">
        <v>3587</v>
      </c>
      <c r="L65" s="3454" t="s">
        <v>3596</v>
      </c>
      <c r="N65">
        <f ca="1">E75-N61</f>
        <v>404708</v>
      </c>
    </row>
    <row r="66" spans="2:15" ht="24.75" thickBot="1">
      <c r="B66" s="3477" t="s">
        <v>3547</v>
      </c>
      <c r="C66" s="3478">
        <f t="shared" si="16"/>
        <v>4538.87</v>
      </c>
      <c r="D66" s="3478">
        <v>13844.22</v>
      </c>
      <c r="E66" s="3478">
        <f t="shared" ca="1" si="17"/>
        <v>22863</v>
      </c>
      <c r="F66" s="3478">
        <f t="shared" ca="1" si="17"/>
        <v>16514</v>
      </c>
      <c r="G66" s="3478">
        <f t="shared" si="15"/>
        <v>0</v>
      </c>
      <c r="H66" s="3478">
        <f t="shared" si="15"/>
        <v>0</v>
      </c>
      <c r="I66" s="3477" t="s">
        <v>3583</v>
      </c>
      <c r="N66">
        <v>432131</v>
      </c>
      <c r="O66">
        <f ca="1">(N65-N66)/N66</f>
        <v>-6.3459923032598911E-2</v>
      </c>
    </row>
    <row r="67" spans="2:15" ht="24.75" thickBot="1">
      <c r="B67" s="3490" t="s">
        <v>3548</v>
      </c>
      <c r="C67" s="3491">
        <f t="shared" si="16"/>
        <v>4615.87</v>
      </c>
      <c r="D67" s="3491">
        <v>14079.11</v>
      </c>
      <c r="E67" s="3491">
        <f t="shared" ca="1" si="17"/>
        <v>44259</v>
      </c>
      <c r="F67" s="3491">
        <f t="shared" ca="1" si="17"/>
        <v>31436</v>
      </c>
      <c r="G67" s="3491">
        <f t="shared" si="15"/>
        <v>0</v>
      </c>
      <c r="H67" s="3491">
        <f t="shared" si="15"/>
        <v>0</v>
      </c>
      <c r="I67" s="3493" t="s">
        <v>3588</v>
      </c>
    </row>
    <row r="68" spans="2:15" ht="24.75" thickBot="1">
      <c r="B68" s="3477" t="s">
        <v>3549</v>
      </c>
      <c r="C68" s="3478">
        <f t="shared" si="16"/>
        <v>4577.83</v>
      </c>
      <c r="D68" s="3478">
        <v>13963.08</v>
      </c>
      <c r="E68" s="3478">
        <f t="shared" ca="1" si="17"/>
        <v>23064</v>
      </c>
      <c r="F68" s="3478">
        <f t="shared" ca="1" si="17"/>
        <v>16518</v>
      </c>
      <c r="G68" s="3478">
        <f t="shared" si="15"/>
        <v>0</v>
      </c>
      <c r="H68" s="3494">
        <f t="shared" si="15"/>
        <v>0</v>
      </c>
      <c r="I68" s="3495" t="s">
        <v>3582</v>
      </c>
    </row>
    <row r="69" spans="2:15" ht="24.75" thickBot="1">
      <c r="B69" s="3479" t="s">
        <v>3414</v>
      </c>
      <c r="C69" s="3478">
        <f t="shared" si="16"/>
        <v>16272.2</v>
      </c>
      <c r="D69" s="3478">
        <v>49632.639999999999</v>
      </c>
      <c r="E69" s="3478">
        <f t="shared" ca="1" si="17"/>
        <v>54771</v>
      </c>
      <c r="F69" s="3478">
        <f t="shared" ca="1" si="17"/>
        <v>11035</v>
      </c>
      <c r="G69" s="3478">
        <f t="shared" si="15"/>
        <v>0</v>
      </c>
      <c r="H69" s="3494">
        <f t="shared" si="15"/>
        <v>0</v>
      </c>
      <c r="I69" s="3496" t="s">
        <v>3589</v>
      </c>
    </row>
    <row r="70" spans="2:15" ht="14.25" thickBot="1">
      <c r="B70" s="3480" t="s">
        <v>3590</v>
      </c>
      <c r="C70" s="3497">
        <f>SUM(C55:C69)</f>
        <v>95778.03</v>
      </c>
      <c r="D70" s="3481">
        <f>SUM(D55:D69)</f>
        <v>292137.36</v>
      </c>
      <c r="E70" s="3481">
        <f ca="1">SUM(E55:E69)</f>
        <v>721702</v>
      </c>
      <c r="F70" s="3481">
        <f ca="1">ROUND(E70/D70*10000,0)</f>
        <v>24704</v>
      </c>
      <c r="G70" s="3481">
        <f t="shared" si="15"/>
        <v>0</v>
      </c>
      <c r="H70" s="3498">
        <f t="shared" si="15"/>
        <v>0</v>
      </c>
      <c r="I70" s="3499" t="s">
        <v>3591</v>
      </c>
    </row>
    <row r="71" spans="2:15" ht="14.25" thickBot="1">
      <c r="B71" s="3500" t="s">
        <v>3551</v>
      </c>
      <c r="C71" s="3501">
        <v>7212.96</v>
      </c>
      <c r="D71" s="3478">
        <v>19787.48</v>
      </c>
      <c r="E71" s="3688">
        <f>[2]结果表!$H$118</f>
        <v>111832</v>
      </c>
      <c r="F71" s="3688">
        <f>[2]结果表!$I$118</f>
        <v>18818</v>
      </c>
      <c r="G71" s="3688"/>
      <c r="H71" s="3691"/>
      <c r="I71" s="3686" t="s">
        <v>3592</v>
      </c>
    </row>
    <row r="72" spans="2:15" ht="14.25" thickBot="1">
      <c r="B72" s="3500" t="s">
        <v>3553</v>
      </c>
      <c r="C72" s="3501">
        <v>6635.28</v>
      </c>
      <c r="D72" s="3478">
        <v>19852.79</v>
      </c>
      <c r="E72" s="3689"/>
      <c r="F72" s="3689"/>
      <c r="G72" s="3689"/>
      <c r="H72" s="3692"/>
      <c r="I72" s="3694"/>
    </row>
    <row r="73" spans="2:15" ht="14.25" thickBot="1">
      <c r="B73" s="3500" t="s">
        <v>3554</v>
      </c>
      <c r="C73" s="3501">
        <v>6607.41</v>
      </c>
      <c r="D73" s="3478">
        <v>19787.64</v>
      </c>
      <c r="E73" s="3689"/>
      <c r="F73" s="3689"/>
      <c r="G73" s="3689"/>
      <c r="H73" s="3692"/>
      <c r="I73" s="3694"/>
    </row>
    <row r="74" spans="2:15" ht="14.25" thickBot="1">
      <c r="B74" s="3480" t="s">
        <v>3550</v>
      </c>
      <c r="C74" s="3481">
        <f>SUM(C71:C73)</f>
        <v>20455.650000000001</v>
      </c>
      <c r="D74" s="3481">
        <f>SUM(D71:D73)</f>
        <v>59427.91</v>
      </c>
      <c r="E74" s="3690"/>
      <c r="F74" s="3690"/>
      <c r="G74" s="3690"/>
      <c r="H74" s="3693"/>
      <c r="I74" s="3695"/>
    </row>
    <row r="75" spans="2:15" ht="14.25" thickBot="1">
      <c r="B75" s="3480" t="s">
        <v>3529</v>
      </c>
      <c r="C75" s="3481">
        <f>C70+C74</f>
        <v>116233.68</v>
      </c>
      <c r="D75" s="3481">
        <f>D70+D74</f>
        <v>351565.27</v>
      </c>
      <c r="E75" s="3481">
        <f ca="1">E70+E71</f>
        <v>833534</v>
      </c>
      <c r="F75" s="3481" t="s">
        <v>3592</v>
      </c>
      <c r="G75" s="3481">
        <f>G70+G71</f>
        <v>0</v>
      </c>
      <c r="H75" s="3498" t="s">
        <v>3592</v>
      </c>
      <c r="I75" s="3502" t="s">
        <v>3592</v>
      </c>
    </row>
  </sheetData>
  <mergeCells count="27">
    <mergeCell ref="J2:J3"/>
    <mergeCell ref="B2:B3"/>
    <mergeCell ref="C2:C3"/>
    <mergeCell ref="D2:F2"/>
    <mergeCell ref="H2:H3"/>
    <mergeCell ref="I2:I3"/>
    <mergeCell ref="C4:C18"/>
    <mergeCell ref="I4:I18"/>
    <mergeCell ref="J4:J18"/>
    <mergeCell ref="C20:C22"/>
    <mergeCell ref="I20:I22"/>
    <mergeCell ref="J20:J22"/>
    <mergeCell ref="B27:B28"/>
    <mergeCell ref="C27:C28"/>
    <mergeCell ref="D27:F27"/>
    <mergeCell ref="H27:H28"/>
    <mergeCell ref="B53:B54"/>
    <mergeCell ref="C53:C54"/>
    <mergeCell ref="D53:D54"/>
    <mergeCell ref="E53:F53"/>
    <mergeCell ref="G53:H53"/>
    <mergeCell ref="I53:I54"/>
    <mergeCell ref="E71:E74"/>
    <mergeCell ref="F71:F74"/>
    <mergeCell ref="G71:G74"/>
    <mergeCell ref="H71:H74"/>
    <mergeCell ref="I71:I74"/>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3" sqref="E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574844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19677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93402</v>
      </c>
      <c r="D5" s="211" t="s">
        <v>1468</v>
      </c>
      <c r="E5" s="212" t="s">
        <v>1469</v>
      </c>
      <c r="F5" s="212" t="s">
        <v>1470</v>
      </c>
      <c r="G5" s="213"/>
    </row>
    <row r="6" spans="1:9" s="214" customFormat="1" ht="13.5" customHeight="1">
      <c r="A6" s="778" t="s">
        <v>1471</v>
      </c>
      <c r="B6" s="215" t="s">
        <v>1472</v>
      </c>
      <c r="C6" s="216">
        <f>基准地价修正!B2</f>
        <v>85819</v>
      </c>
      <c r="D6" s="217"/>
      <c r="E6" s="218"/>
      <c r="F6" s="218"/>
      <c r="G6" s="219"/>
    </row>
    <row r="7" spans="1:9" s="214" customFormat="1" ht="13.5" customHeight="1">
      <c r="A7" s="778" t="s">
        <v>1473</v>
      </c>
      <c r="B7" s="215" t="s">
        <v>1474</v>
      </c>
      <c r="C7" s="220">
        <f>ROUND(C6*F7,0)</f>
        <v>2617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4966</v>
      </c>
      <c r="D8" s="222"/>
      <c r="E8" s="220"/>
      <c r="F8" s="221"/>
      <c r="G8" s="1856" t="s">
        <v>3517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3518</v>
      </c>
      <c r="H9" s="1137"/>
      <c r="I9" s="1858" t="s">
        <v>1478</v>
      </c>
    </row>
    <row r="10" spans="1:9" s="214" customFormat="1" ht="13.5" customHeight="1">
      <c r="A10" s="779" t="s">
        <v>356</v>
      </c>
      <c r="B10" s="224" t="s">
        <v>1479</v>
      </c>
      <c r="C10" s="225">
        <f ca="1">ROUND(D10*E10/10000,0)</f>
        <v>4966</v>
      </c>
      <c r="D10" s="845">
        <f ca="1">IF(B1="",'数据-汇总表'!E6,IF(INDIRECT("'数据-取费表'!c"&amp;$G$1)="住宅",INDIRECT("'数据-取费表'!s"&amp;$G$1),INDIRECT("'数据-取费表'!k"&amp;$G$1)+INDIRECT("'数据-取费表'!s"&amp;$G$1)))</f>
        <v>292137.36</v>
      </c>
      <c r="E10" s="225">
        <f>'数据-取费表'!B28</f>
        <v>170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292137.36</v>
      </c>
      <c r="E19" s="211">
        <f>'数据-取费表'!B31</f>
        <v>200</v>
      </c>
      <c r="F19" s="231"/>
      <c r="G19" s="1856" t="s">
        <v>3519</v>
      </c>
    </row>
    <row r="20" spans="1:7" s="214" customFormat="1" ht="13.5" customHeight="1">
      <c r="A20" s="255" t="s">
        <v>1492</v>
      </c>
      <c r="B20" s="210" t="s">
        <v>1493</v>
      </c>
      <c r="C20" s="232">
        <f ca="1">ROUND((C5+C19)*F20,0)</f>
        <v>2802</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9089</v>
      </c>
      <c r="D22" s="235">
        <f ca="1">C26</f>
        <v>1.4E-3</v>
      </c>
      <c r="E22" s="236" t="s">
        <v>1497</v>
      </c>
      <c r="F22" s="237">
        <f ca="1">'数据-取费表'!B40</f>
        <v>3.1E-2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8958</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131</v>
      </c>
      <c r="D25" s="238"/>
      <c r="E25" s="241"/>
      <c r="F25" s="239"/>
      <c r="G25" s="242" t="s">
        <v>1509</v>
      </c>
    </row>
    <row r="26" spans="1:7" s="214" customFormat="1">
      <c r="A26" s="780" t="s">
        <v>350</v>
      </c>
      <c r="B26" s="215" t="s">
        <v>1510</v>
      </c>
      <c r="C26" s="238">
        <f ca="1">ROUND(IF('数据-取费表'!B22&lt;=1,F21*F22*'数据-取费表'!B23/2,F21*(POWER((1+F22),'数据-取费表'!B23/2)-1)),4)</f>
        <v>1.4E-3</v>
      </c>
      <c r="D26" s="238"/>
      <c r="E26" s="241"/>
      <c r="F26" s="239"/>
      <c r="G26" s="243"/>
    </row>
    <row r="27" spans="1:7" s="214" customFormat="1" ht="24.75">
      <c r="A27" s="255" t="s">
        <v>1511</v>
      </c>
      <c r="B27" s="244" t="s">
        <v>1512</v>
      </c>
      <c r="C27" s="245">
        <f ca="1">C28</f>
        <v>19241</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19241</v>
      </c>
      <c r="D28" s="235"/>
      <c r="E28" s="236"/>
      <c r="F28" s="246"/>
      <c r="G28" s="247"/>
    </row>
    <row r="29" spans="1:7" s="214" customFormat="1" ht="13.5" customHeight="1">
      <c r="A29" s="780" t="s">
        <v>347</v>
      </c>
      <c r="B29" s="248" t="s">
        <v>1516</v>
      </c>
      <c r="C29" s="238">
        <f ca="1">ROUND(C21*F27*'数据-取费表'!B21/'数据-取费表'!B20,4)</f>
        <v>6.0000000000000001E-3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136820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352775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307019</v>
      </c>
      <c r="D34" s="217"/>
      <c r="E34" s="220"/>
      <c r="F34" s="257">
        <f ca="1">IF('数据-取费表'!B24=0,1,IF(B1="",'数据-取费表'!N16,INDIRECT("'数据-取费表'!n"&amp;$G$1)))</f>
        <v>1</v>
      </c>
      <c r="G34" s="219" t="s">
        <v>1525</v>
      </c>
    </row>
    <row r="35" spans="1:7" ht="13.5" customHeight="1">
      <c r="A35" s="780" t="s">
        <v>351</v>
      </c>
      <c r="B35" s="215" t="s">
        <v>1526</v>
      </c>
      <c r="C35" s="220">
        <f ca="1">ROUND(C34*F35,0)</f>
        <v>30702</v>
      </c>
      <c r="D35" s="220"/>
      <c r="E35" s="220"/>
      <c r="F35" s="259">
        <f>'数据-取费表'!B33</f>
        <v>0.1</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5843</v>
      </c>
      <c r="D37" s="217">
        <f ca="1">D19</f>
        <v>292137.36</v>
      </c>
      <c r="E37" s="249">
        <f>'数据-取费表'!B35</f>
        <v>200</v>
      </c>
      <c r="F37" s="259"/>
      <c r="G37" s="261" t="s">
        <v>1531</v>
      </c>
    </row>
    <row r="38" spans="1:7" ht="13.5" customHeight="1">
      <c r="A38" s="780" t="s">
        <v>354</v>
      </c>
      <c r="B38" s="215" t="s">
        <v>1532</v>
      </c>
      <c r="C38" s="220">
        <f ca="1">ROUND(C34*F38,0)</f>
        <v>9211</v>
      </c>
      <c r="D38" s="220"/>
      <c r="E38" s="220"/>
      <c r="F38" s="259">
        <f>'数据-取费表'!B36</f>
        <v>0.03</v>
      </c>
      <c r="G38" s="219" t="s">
        <v>1527</v>
      </c>
    </row>
    <row r="39" spans="1:7" s="214" customFormat="1" ht="13.5" customHeight="1">
      <c r="A39" s="255" t="s">
        <v>1533</v>
      </c>
      <c r="B39" s="210" t="s">
        <v>1534</v>
      </c>
      <c r="C39" s="232">
        <f ca="1">ROUND(C33*F20,0)</f>
        <v>10583</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17027</v>
      </c>
      <c r="D41" s="235">
        <f ca="1">C44</f>
        <v>1.4E-3</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16531</v>
      </c>
      <c r="D42" s="238"/>
      <c r="E42" s="238"/>
      <c r="F42" s="239"/>
      <c r="G42" s="3713" t="s">
        <v>1543</v>
      </c>
    </row>
    <row r="43" spans="1:7" ht="13.5" customHeight="1">
      <c r="A43" s="780" t="s">
        <v>347</v>
      </c>
      <c r="B43" s="215" t="s">
        <v>1544</v>
      </c>
      <c r="C43" s="238">
        <f ca="1">ROUND(IF('数据-取费表'!B22&lt;=1,C39*F22*'数据-取费表'!B21/2,C39*(POWER((1+F22),'数据-取费表'!B21/2)-1)),0)</f>
        <v>496</v>
      </c>
      <c r="D43" s="238"/>
      <c r="E43" s="238"/>
      <c r="F43" s="239"/>
      <c r="G43" s="3714"/>
    </row>
    <row r="44" spans="1:7" ht="13.5" customHeight="1">
      <c r="A44" s="780" t="s">
        <v>348</v>
      </c>
      <c r="B44" s="215" t="s">
        <v>1545</v>
      </c>
      <c r="C44" s="238">
        <f ca="1">ROUND(IF('数据-取费表'!B22&lt;=1,C40*F22*'数据-取费表'!B21/2,C40*(POWER((1+F22),'数据-取费表'!B21/2)-1)),4)</f>
        <v>1.4E-3</v>
      </c>
      <c r="D44" s="238"/>
      <c r="E44" s="238"/>
      <c r="F44" s="239"/>
      <c r="G44" s="3715"/>
    </row>
    <row r="45" spans="1:7" s="214" customFormat="1" ht="13.5" customHeight="1">
      <c r="A45" s="255" t="s">
        <v>1546</v>
      </c>
      <c r="B45" s="244" t="s">
        <v>1512</v>
      </c>
      <c r="C45" s="245">
        <f ca="1">C46</f>
        <v>72672</v>
      </c>
      <c r="D45" s="235">
        <f ca="1">C47</f>
        <v>6.0000000000000001E-3</v>
      </c>
      <c r="E45" s="236" t="s">
        <v>1538</v>
      </c>
      <c r="F45" s="246">
        <f ca="1">F27</f>
        <v>0.2</v>
      </c>
      <c r="G45" s="247" t="s">
        <v>1547</v>
      </c>
    </row>
    <row r="46" spans="1:7" s="214" customFormat="1" ht="13.5" customHeight="1">
      <c r="A46" s="780" t="s">
        <v>346</v>
      </c>
      <c r="B46" s="248" t="s">
        <v>1548</v>
      </c>
      <c r="C46" s="249">
        <f ca="1">ROUND((C33+C39)*F27,0)</f>
        <v>72672</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497755</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438024</v>
      </c>
      <c r="D51" s="232"/>
      <c r="E51" s="232"/>
      <c r="F51" s="264"/>
      <c r="G51" s="234" t="s">
        <v>1559</v>
      </c>
    </row>
    <row r="52" spans="1:7" s="208" customFormat="1" ht="16.5" thickBot="1">
      <c r="A52" s="265" t="s">
        <v>1560</v>
      </c>
      <c r="B52" s="266"/>
      <c r="C52" s="267">
        <f ca="1">C31+C51</f>
        <v>574844</v>
      </c>
      <c r="D52" s="266"/>
      <c r="E52" s="266"/>
      <c r="F52" s="266"/>
      <c r="G52" s="268"/>
    </row>
    <row r="55" spans="1:7" ht="15">
      <c r="B55" s="270" t="s">
        <v>1561</v>
      </c>
      <c r="C55" s="271"/>
    </row>
    <row r="56" spans="1:7">
      <c r="B56" s="273" t="s">
        <v>802</v>
      </c>
      <c r="C56" s="275">
        <f ca="1">1-C57</f>
        <v>0.23799999999999999</v>
      </c>
    </row>
    <row r="57" spans="1:7">
      <c r="B57" s="273" t="s">
        <v>803</v>
      </c>
      <c r="C57" s="274">
        <f ca="1">ROUND(C51/C52,3)</f>
        <v>0.76200000000000001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453855.81660000002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15536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49663351</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49663351</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49663351</v>
      </c>
      <c r="D10" s="845">
        <f ca="1">IF(B1="",'数据-汇总表'!E6,IF(INDIRECT("'数据-取费表'!c"&amp;$G$1)="住宅",INDIRECT("'数据-取费表'!s"&amp;$G$1),INDIRECT("'数据-取费表'!k"&amp;$G$1)+INDIRECT("'数据-取费表'!s"&amp;$G$1)))</f>
        <v>292137.36</v>
      </c>
      <c r="E10" s="225">
        <f>'数据-取费表'!B28</f>
        <v>170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58427472</v>
      </c>
      <c r="D19" s="849">
        <f ca="1">D9+D10</f>
        <v>292137.36</v>
      </c>
      <c r="E19" s="211">
        <f>'数据-取费表'!B31</f>
        <v>200</v>
      </c>
      <c r="F19" s="231"/>
      <c r="G19" s="1856"/>
    </row>
    <row r="20" spans="1:7" s="214" customFormat="1" ht="13.5" customHeight="1">
      <c r="A20" s="255" t="s">
        <v>1573</v>
      </c>
      <c r="B20" s="210" t="s">
        <v>1574</v>
      </c>
      <c r="C20" s="232">
        <f ca="1">ROUND((C5+C19)*F20,0)</f>
        <v>3242725</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7">
        <f ca="1">ROUND(SUM(C23:C25),0)</f>
        <v>10519242</v>
      </c>
      <c r="D22" s="235">
        <f ca="1">C26</f>
        <v>1.4E-3</v>
      </c>
      <c r="E22" s="236" t="s">
        <v>1578</v>
      </c>
      <c r="F22" s="237">
        <f ca="1">'数据-取费表'!B40</f>
        <v>3.1E-2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4763351</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5603942</v>
      </c>
      <c r="D24" s="238"/>
      <c r="E24" s="238"/>
      <c r="F24" s="239"/>
      <c r="G24" s="240" t="s">
        <v>1585</v>
      </c>
    </row>
    <row r="25" spans="1:7" s="214" customFormat="1" ht="24">
      <c r="A25" s="780" t="s">
        <v>1475</v>
      </c>
      <c r="B25" s="215" t="s">
        <v>1586</v>
      </c>
      <c r="C25" s="1128">
        <f ca="1">ROUND(IF('数据-取费表'!B22&lt;=1,C20*F22*'数据-取费表'!B22/2,C20*(POWER((1+F22),'数据-取费表'!B22/2)-1)),0)</f>
        <v>151949</v>
      </c>
      <c r="D25" s="238"/>
      <c r="E25" s="241"/>
      <c r="F25" s="239"/>
      <c r="G25" s="242" t="s">
        <v>1587</v>
      </c>
    </row>
    <row r="26" spans="1:7" s="214" customFormat="1">
      <c r="A26" s="780" t="s">
        <v>350</v>
      </c>
      <c r="B26" s="215" t="s">
        <v>1510</v>
      </c>
      <c r="C26" s="238">
        <f ca="1">ROUND(IF('数据-取费表'!B22&lt;=1,F21*F22*'数据-取费表'!B22/2,F21*(POWER((1+F22),'数据-取费表'!B22/2)-1)),4)</f>
        <v>1.4E-3</v>
      </c>
      <c r="D26" s="238"/>
      <c r="E26" s="241"/>
      <c r="F26" s="239"/>
      <c r="G26" s="243"/>
    </row>
    <row r="27" spans="1:7" s="214" customFormat="1" ht="24.75">
      <c r="A27" s="255" t="s">
        <v>1511</v>
      </c>
      <c r="B27" s="244" t="s">
        <v>1512</v>
      </c>
      <c r="C27" s="245">
        <f ca="1">C28</f>
        <v>22266710</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22266710</v>
      </c>
      <c r="D28" s="235"/>
      <c r="E28" s="236"/>
      <c r="F28" s="246"/>
      <c r="G28" s="247"/>
    </row>
    <row r="29" spans="1:7" s="214" customFormat="1" ht="13.5" customHeight="1">
      <c r="A29" s="780" t="s">
        <v>347</v>
      </c>
      <c r="B29" s="248" t="s">
        <v>1516</v>
      </c>
      <c r="C29" s="238">
        <f ca="1">ROUND(C21*F27,4)</f>
        <v>6.0000000000000001E-3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158338277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3527732652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3070181575</v>
      </c>
      <c r="D34" s="217"/>
      <c r="E34" s="220"/>
      <c r="F34" s="257"/>
      <c r="G34" s="219"/>
    </row>
    <row r="35" spans="1:7" ht="13.5" customHeight="1">
      <c r="A35" s="780" t="s">
        <v>351</v>
      </c>
      <c r="B35" s="215" t="s">
        <v>1526</v>
      </c>
      <c r="C35" s="220">
        <f ca="1">ROUND(C34*F35,0)</f>
        <v>307018158</v>
      </c>
      <c r="D35" s="220"/>
      <c r="E35" s="220"/>
      <c r="F35" s="259">
        <f>'数据-取费表'!B33</f>
        <v>0.1</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58427472</v>
      </c>
      <c r="D37" s="217">
        <f ca="1">D19</f>
        <v>292137.36</v>
      </c>
      <c r="E37" s="249">
        <f>'数据-取费表'!B35</f>
        <v>200</v>
      </c>
      <c r="F37" s="259"/>
      <c r="G37" s="261"/>
    </row>
    <row r="38" spans="1:7" ht="13.5" customHeight="1">
      <c r="A38" s="780" t="s">
        <v>354</v>
      </c>
      <c r="B38" s="215" t="s">
        <v>1532</v>
      </c>
      <c r="C38" s="220">
        <f ca="1">ROUND(C34*F38,0)</f>
        <v>92105447</v>
      </c>
      <c r="D38" s="220"/>
      <c r="E38" s="220"/>
      <c r="F38" s="259">
        <f>'数据-取费表'!B36</f>
        <v>0.03</v>
      </c>
      <c r="G38" s="219" t="s">
        <v>1527</v>
      </c>
    </row>
    <row r="39" spans="1:7" s="214" customFormat="1" ht="13.5" customHeight="1">
      <c r="A39" s="255" t="s">
        <v>1533</v>
      </c>
      <c r="B39" s="210" t="s">
        <v>1534</v>
      </c>
      <c r="C39" s="232">
        <f ca="1">ROUND(C33*F20,0)</f>
        <v>105831980</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170263513</v>
      </c>
      <c r="D41" s="235">
        <f ca="1">C44</f>
        <v>1.4E-3</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165304382</v>
      </c>
      <c r="D42" s="238"/>
      <c r="E42" s="238"/>
      <c r="F42" s="239"/>
      <c r="G42" s="3713" t="s">
        <v>1590</v>
      </c>
    </row>
    <row r="43" spans="1:7" ht="13.5" customHeight="1">
      <c r="A43" s="780" t="s">
        <v>347</v>
      </c>
      <c r="B43" s="215" t="s">
        <v>1544</v>
      </c>
      <c r="C43" s="238">
        <f ca="1">ROUND(IF('数据-取费表'!B22&lt;=1,C39*F22*'数据-取费表'!B20/2,C39*(POWER((1+F22),'数据-取费表'!B20/2)-1)),0)</f>
        <v>4959131</v>
      </c>
      <c r="D43" s="238"/>
      <c r="E43" s="238"/>
      <c r="F43" s="239"/>
      <c r="G43" s="3714"/>
    </row>
    <row r="44" spans="1:7" ht="13.5" customHeight="1">
      <c r="A44" s="780" t="s">
        <v>348</v>
      </c>
      <c r="B44" s="215" t="s">
        <v>1545</v>
      </c>
      <c r="C44" s="238">
        <f ca="1">ROUND(IF('数据-取费表'!B22&lt;=1,C40*F22*'数据-取费表'!B20/2,C40*(POWER((1+F22),'数据-取费表'!B20/2)-1)),4)</f>
        <v>1.4E-3</v>
      </c>
      <c r="D44" s="238"/>
      <c r="E44" s="238"/>
      <c r="F44" s="239"/>
      <c r="G44" s="3715"/>
    </row>
    <row r="45" spans="1:7" s="214" customFormat="1" ht="13.5" customHeight="1">
      <c r="A45" s="255" t="s">
        <v>1546</v>
      </c>
      <c r="B45" s="244" t="s">
        <v>1512</v>
      </c>
      <c r="C45" s="245">
        <f ca="1">C46</f>
        <v>726712926</v>
      </c>
      <c r="D45" s="235">
        <f ca="1">C47</f>
        <v>6.0000000000000001E-3</v>
      </c>
      <c r="E45" s="236" t="s">
        <v>1538</v>
      </c>
      <c r="F45" s="246">
        <f ca="1">F27</f>
        <v>0.2</v>
      </c>
      <c r="G45" s="247" t="s">
        <v>1547</v>
      </c>
    </row>
    <row r="46" spans="1:7" s="214" customFormat="1" ht="13.5" customHeight="1">
      <c r="A46" s="780" t="s">
        <v>346</v>
      </c>
      <c r="B46" s="248" t="s">
        <v>1548</v>
      </c>
      <c r="C46" s="249">
        <f ca="1">ROUND((C33+C39)*F27,0)</f>
        <v>726712926</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4977522601</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4380219889</v>
      </c>
      <c r="D51" s="232"/>
      <c r="E51" s="232"/>
      <c r="F51" s="264"/>
      <c r="G51" s="234" t="s">
        <v>1559</v>
      </c>
    </row>
    <row r="52" spans="1:7" s="208" customFormat="1" ht="16.5" thickBot="1">
      <c r="A52" s="265" t="s">
        <v>1560</v>
      </c>
      <c r="B52" s="266"/>
      <c r="C52" s="267">
        <f ca="1">C31+C51</f>
        <v>4538558166</v>
      </c>
      <c r="D52" s="266"/>
      <c r="E52" s="266"/>
      <c r="F52" s="266"/>
      <c r="G52" s="268"/>
    </row>
    <row r="55" spans="1:7" ht="15">
      <c r="B55" s="270" t="s">
        <v>1561</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0.1</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292137.36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0.03</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292137.36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4966</v>
      </c>
      <c r="D20" s="846">
        <f ca="1">IF(C1="",'数据-汇总表'!E6,IF(INDIRECT("'数据-取费表'!c"&amp;$K$1)="住宅",INDIRECT("'数据-取费表'!s"&amp;$K$1),INDIRECT("'数据-取费表'!k"&amp;$K$1)+INDIRECT("'数据-取费表'!s"&amp;$K$1)))</f>
        <v>292137.36</v>
      </c>
      <c r="E20" s="21">
        <f>'数据-取费表'!B28</f>
        <v>170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3419</v>
      </c>
      <c r="D1" s="1362" t="s">
        <v>43</v>
      </c>
      <c r="E1" s="1363" t="s">
        <v>678</v>
      </c>
      <c r="F1" s="1062">
        <f ca="1">J53</f>
        <v>37.07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819607</v>
      </c>
      <c r="C2" s="1387" t="s">
        <v>805</v>
      </c>
      <c r="D2" s="1387"/>
      <c r="E2" s="1388"/>
      <c r="F2" s="1389"/>
      <c r="G2" s="2704"/>
      <c r="H2" s="2693"/>
      <c r="I2" s="2693"/>
      <c r="J2" s="2693"/>
      <c r="K2" s="2694"/>
      <c r="L2" s="2693"/>
      <c r="M2" s="2693"/>
    </row>
    <row r="3" spans="1:37" ht="18" customHeight="1" thickBot="1">
      <c r="A3" s="1390" t="s">
        <v>806</v>
      </c>
      <c r="B3" s="1391">
        <f ca="1">IF(ISERROR(B2*10000/F43),0,ROUND(B2*10000/F43,0))</f>
        <v>28804</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76900</v>
      </c>
      <c r="D5" s="1364" t="s">
        <v>693</v>
      </c>
      <c r="E5" s="1071"/>
      <c r="F5" s="1072"/>
      <c r="G5" s="1384"/>
      <c r="H5" s="299">
        <v>1</v>
      </c>
      <c r="I5" s="300" t="s">
        <v>692</v>
      </c>
      <c r="J5" s="1070">
        <f ca="1">J6+J10+J12</f>
        <v>0</v>
      </c>
      <c r="K5" s="1364" t="s">
        <v>693</v>
      </c>
      <c r="L5" s="1071"/>
      <c r="M5" s="1072"/>
    </row>
    <row r="6" spans="1:37" ht="18" customHeight="1">
      <c r="A6" s="1069" t="s">
        <v>398</v>
      </c>
      <c r="B6" s="3718" t="s">
        <v>694</v>
      </c>
      <c r="C6" s="1074">
        <f ca="1">ROUND(F6*F8*F7*(1-F9)/10000,0)</f>
        <v>76804</v>
      </c>
      <c r="D6" s="155" t="s">
        <v>2108</v>
      </c>
      <c r="E6" s="302" t="s">
        <v>696</v>
      </c>
      <c r="F6" s="303">
        <f ca="1">INDIRECT("'数据-取费表'!u"&amp;$G$1)</f>
        <v>8.6999999999999993</v>
      </c>
      <c r="G6" s="1384"/>
      <c r="H6" s="1069" t="s">
        <v>398</v>
      </c>
      <c r="I6" s="3718" t="s">
        <v>694</v>
      </c>
      <c r="J6" s="301">
        <f ca="1">ROUND(M6*M8*M7*(1-M9)/10000,0)</f>
        <v>0</v>
      </c>
      <c r="K6" s="155" t="s">
        <v>2107</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284547.17</v>
      </c>
      <c r="G7" s="1384"/>
      <c r="H7" s="304"/>
      <c r="I7" s="3719"/>
      <c r="J7" s="306"/>
      <c r="K7" s="307"/>
      <c r="L7" s="302" t="s">
        <v>697</v>
      </c>
      <c r="M7" s="303">
        <f ca="1">F7</f>
        <v>284547.17</v>
      </c>
    </row>
    <row r="8" spans="1:37" ht="18" customHeight="1">
      <c r="A8" s="304"/>
      <c r="B8" s="3719"/>
      <c r="C8" s="306"/>
      <c r="D8" s="307"/>
      <c r="E8" s="302" t="s">
        <v>698</v>
      </c>
      <c r="F8" s="303">
        <f ca="1">INDIRECT("'数据-取费表'!ai"&amp;$G$1)</f>
        <v>365</v>
      </c>
      <c r="G8" s="1384"/>
      <c r="H8" s="304"/>
      <c r="I8" s="3719"/>
      <c r="J8" s="306"/>
      <c r="K8" s="307"/>
      <c r="L8" s="302" t="s">
        <v>698</v>
      </c>
      <c r="M8" s="303">
        <f ca="1">INDIRECT("'数据-取费表'!ai"&amp;$G$1)</f>
        <v>365</v>
      </c>
    </row>
    <row r="9" spans="1:37" ht="18" customHeight="1">
      <c r="A9" s="304"/>
      <c r="B9" s="3720"/>
      <c r="C9" s="306"/>
      <c r="D9" s="307"/>
      <c r="E9" s="302" t="s">
        <v>699</v>
      </c>
      <c r="F9" s="312">
        <f ca="1">INDIRECT("'数据-取费表'!w"&amp;$G$1)</f>
        <v>0.15</v>
      </c>
      <c r="G9" s="1384"/>
      <c r="H9" s="304"/>
      <c r="I9" s="3720"/>
      <c r="J9" s="306"/>
      <c r="K9" s="307"/>
      <c r="L9" s="313" t="s">
        <v>699</v>
      </c>
      <c r="M9" s="314">
        <f ca="1">INDIRECT("'数据-取费表'!ab"&amp;$G$1)</f>
        <v>0</v>
      </c>
    </row>
    <row r="10" spans="1:37" ht="18" customHeight="1">
      <c r="A10" s="1069" t="s">
        <v>402</v>
      </c>
      <c r="B10" s="1365" t="s">
        <v>700</v>
      </c>
      <c r="C10" s="316">
        <f ca="1">ROUND(IF(F10="押一",C6/12*F11,IF(F10="押二",C6/12*2*F11,IF(F10="押三",C6/12*3*F11,C11*F11))),0)</f>
        <v>96</v>
      </c>
      <c r="D10" s="1366" t="s">
        <v>2116</v>
      </c>
      <c r="E10" s="313" t="s">
        <v>701</v>
      </c>
      <c r="F10" s="1116" t="s">
        <v>3501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438024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307019</v>
      </c>
      <c r="D14" s="1345" t="s">
        <v>708</v>
      </c>
      <c r="E14" s="1342"/>
      <c r="F14" s="319"/>
      <c r="G14" s="1384"/>
      <c r="H14" s="982" t="s">
        <v>398</v>
      </c>
      <c r="I14" s="302" t="s">
        <v>709</v>
      </c>
      <c r="J14" s="21">
        <f ca="1">C29</f>
        <v>497755</v>
      </c>
      <c r="K14" s="12"/>
      <c r="L14" s="807"/>
      <c r="M14" s="808"/>
    </row>
    <row r="15" spans="1:37" s="1397" customFormat="1" ht="18" customHeight="1" thickBot="1">
      <c r="A15" s="982" t="s">
        <v>399</v>
      </c>
      <c r="B15" s="302" t="s">
        <v>710</v>
      </c>
      <c r="C15" s="21">
        <f ca="1">ROUND(C14*F15,0)</f>
        <v>30702</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7481</v>
      </c>
      <c r="K16" s="1087" t="s">
        <v>715</v>
      </c>
      <c r="L16" s="1088"/>
      <c r="M16" s="1072"/>
    </row>
    <row r="17" spans="1:37" s="1397" customFormat="1" ht="18" customHeight="1">
      <c r="A17" s="982" t="s">
        <v>681</v>
      </c>
      <c r="B17" s="302" t="s">
        <v>716</v>
      </c>
      <c r="C17" s="21">
        <f ca="1">ROUND(F17*(F43+INDIRECT("'数据-取费表'!S"&amp;$G$1))/10000,0)</f>
        <v>5843</v>
      </c>
      <c r="D17" s="302" t="s">
        <v>717</v>
      </c>
      <c r="E17" s="302" t="s">
        <v>718</v>
      </c>
      <c r="F17" s="23">
        <f>'数据-取费表'!B35</f>
        <v>200</v>
      </c>
      <c r="G17" s="1396"/>
      <c r="H17" s="982" t="s">
        <v>398</v>
      </c>
      <c r="I17" s="302" t="s">
        <v>719</v>
      </c>
      <c r="J17" s="2316">
        <f ca="1">ROUND(IF(AND(项目基本情况!B11="自然人",项目基本情况!B10="北京市"),J6*M17/(1+'数据-取费表'!C42),J18+J19+J20),2)</f>
        <v>14.37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9211</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352775</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10583</v>
      </c>
      <c r="D20" s="323" t="s">
        <v>729</v>
      </c>
      <c r="E20" s="302" t="s">
        <v>712</v>
      </c>
      <c r="F20" s="322">
        <f>'数据-取费表'!B37</f>
        <v>0.03</v>
      </c>
      <c r="G20" s="1396"/>
      <c r="H20" s="982" t="s">
        <v>680</v>
      </c>
      <c r="I20" s="155" t="s">
        <v>730</v>
      </c>
      <c r="J20" s="22">
        <f ca="1">ROUND(M20*M21/10000,2)</f>
        <v>14.37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95778.030000000013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7466.33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17027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-7481</v>
      </c>
      <c r="K25" s="1095" t="s">
        <v>753</v>
      </c>
      <c r="L25" s="1096"/>
      <c r="M25" s="1097"/>
    </row>
    <row r="26" spans="1:37">
      <c r="A26" s="982" t="s">
        <v>397</v>
      </c>
      <c r="B26" s="302" t="s">
        <v>754</v>
      </c>
      <c r="C26" s="21">
        <f ca="1">ROUND((C19+C20)*F26,0)</f>
        <v>72672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497755</v>
      </c>
      <c r="D29" s="1092"/>
      <c r="E29" s="1090"/>
      <c r="F29" s="1093"/>
      <c r="G29" s="1396"/>
      <c r="H29" s="334" t="s">
        <v>396</v>
      </c>
      <c r="I29" s="335" t="s">
        <v>768</v>
      </c>
      <c r="J29" s="336">
        <f ca="1">ROUND(J26/(1+F40)^F41,0)</f>
        <v>0</v>
      </c>
      <c r="K29" s="337" t="s">
        <v>769</v>
      </c>
      <c r="L29" s="338"/>
      <c r="M29" s="339">
        <f ca="1">INDIRECT("'数据-取费表'!k"&amp;$G$1)</f>
        <v>284547.17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22092</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12815.04</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4023.07</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8777.6</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14.37</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95778.030000000013</v>
      </c>
      <c r="G35" s="1384"/>
      <c r="H35" s="2695"/>
      <c r="I35" s="1398"/>
      <c r="J35" s="1399"/>
      <c r="K35" s="2699"/>
      <c r="L35" s="2698"/>
      <c r="M35" s="2698"/>
    </row>
    <row r="36" spans="1:18" ht="18" customHeight="1">
      <c r="A36" s="1102" t="s">
        <v>402</v>
      </c>
      <c r="B36" s="302" t="s">
        <v>738</v>
      </c>
      <c r="C36" s="21">
        <f ca="1">ROUND(C29*F36,2)</f>
        <v>7466.33</v>
      </c>
      <c r="D36" s="1344" t="s">
        <v>771</v>
      </c>
      <c r="E36" s="302" t="s">
        <v>712</v>
      </c>
      <c r="F36" s="328">
        <f ca="1">INDIRECT("'数据-取费表'!Ak"&amp;$G$1)</f>
        <v>1.4999999999999999E-2</v>
      </c>
      <c r="G36" s="1384"/>
      <c r="H36" s="2698"/>
      <c r="I36" s="1398"/>
      <c r="J36" s="1399"/>
      <c r="K36" s="2543"/>
      <c r="L36" s="2698"/>
      <c r="M36" s="2698"/>
    </row>
    <row r="37" spans="1:18" ht="18" customHeight="1">
      <c r="A37" s="982" t="s">
        <v>437</v>
      </c>
      <c r="B37" s="302" t="s">
        <v>742</v>
      </c>
      <c r="C37" s="21">
        <f ca="1">ROUND(C13*F37,2)</f>
        <v>657.04</v>
      </c>
      <c r="D37" s="1344" t="s">
        <v>743</v>
      </c>
      <c r="E37" s="302" t="s">
        <v>744</v>
      </c>
      <c r="F37" s="330">
        <f ca="1">INDIRECT("'数据-取费表'!Al"&amp;$G$1)</f>
        <v>1.5E-3</v>
      </c>
      <c r="G37" s="1384"/>
      <c r="H37" s="2698"/>
      <c r="I37" s="1398"/>
      <c r="J37" s="1399"/>
      <c r="K37" s="2543"/>
      <c r="L37" s="2698"/>
      <c r="M37" s="2698"/>
    </row>
    <row r="38" spans="1:18" ht="18" customHeight="1" thickBot="1">
      <c r="A38" s="1089" t="s">
        <v>684</v>
      </c>
      <c r="B38" s="1090" t="s">
        <v>728</v>
      </c>
      <c r="C38" s="1091">
        <f ca="1">ROUND(C5*F38,2)</f>
        <v>1153.5</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54808</v>
      </c>
      <c r="D39" s="1095" t="s">
        <v>773</v>
      </c>
      <c r="E39" s="1096"/>
      <c r="F39" s="1097"/>
      <c r="G39" s="1384"/>
      <c r="H39" s="2698"/>
      <c r="I39" s="1398"/>
      <c r="J39" s="1399"/>
      <c r="K39" s="2702"/>
      <c r="L39" s="2698"/>
      <c r="M39" s="2698"/>
    </row>
    <row r="40" spans="1:18" ht="18" customHeight="1">
      <c r="A40" s="299" t="s">
        <v>395</v>
      </c>
      <c r="B40" s="300" t="s">
        <v>774</v>
      </c>
      <c r="C40" s="301">
        <f ca="1">ROUND(C39*(1-((1+F42)/(1+F40))^F41)/(F40-F42),0)</f>
        <v>808124</v>
      </c>
      <c r="D40" s="324" t="s">
        <v>758</v>
      </c>
      <c r="E40" s="302" t="s">
        <v>759</v>
      </c>
      <c r="F40" s="312">
        <f ca="1">INDIRECT("'数据-取费表'!I"&amp;$G$1)</f>
        <v>0.06</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37.07</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ROUND(C40*10000/F43,0)</f>
        <v>28400</v>
      </c>
      <c r="D43" s="337" t="s">
        <v>777</v>
      </c>
      <c r="E43" s="338" t="s">
        <v>778</v>
      </c>
      <c r="F43" s="339">
        <f ca="1">INDIRECT("'数据-取费表'!k"&amp;$G$1)</f>
        <v>284547.17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-928101</v>
      </c>
      <c r="D46" s="1406" t="str">
        <f>C2</f>
        <v>万元</v>
      </c>
      <c r="E46" s="1400"/>
      <c r="F46" s="1400"/>
      <c r="I46" s="1407" t="s">
        <v>810</v>
      </c>
      <c r="J46" s="1408"/>
      <c r="K46" s="1409"/>
      <c r="L46" s="1410">
        <f ca="1">IF(M47="住宅",0,IF(L48&gt;J51,L60,J60))</f>
        <v>11483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3502</v>
      </c>
      <c r="K47" s="1416" t="s">
        <v>816</v>
      </c>
      <c r="L47" s="1417">
        <f ca="1">INDIRECT("'数据-取费表'!d"&amp;$G$1)</f>
        <v>50</v>
      </c>
      <c r="M47" s="1380" t="str">
        <f>IF(ISNUMBER(FIND("住宅",C1)),"住宅","非住宅")</f>
        <v>非住宅</v>
      </c>
      <c r="O47" s="1418" t="s">
        <v>403</v>
      </c>
      <c r="P47" s="1419" t="s">
        <v>817</v>
      </c>
      <c r="Q47" s="1420">
        <f ca="1">C40+J29</f>
        <v>808124</v>
      </c>
      <c r="R47" s="1420" t="s">
        <v>818</v>
      </c>
    </row>
    <row r="48" spans="1:18" s="1384" customFormat="1" ht="28.5" thickBot="1">
      <c r="A48" s="1110" t="s">
        <v>438</v>
      </c>
      <c r="B48" s="300" t="s">
        <v>692</v>
      </c>
      <c r="C48" s="1359">
        <f ca="1">C49+C53+C55</f>
        <v>0</v>
      </c>
      <c r="D48" s="1112"/>
      <c r="E48" s="1113"/>
      <c r="F48" s="962"/>
      <c r="G48" s="722"/>
      <c r="H48" s="723"/>
      <c r="I48" s="1421" t="s">
        <v>819</v>
      </c>
      <c r="J48" s="1422" t="s">
        <v>3503</v>
      </c>
      <c r="K48" s="1423" t="s">
        <v>820</v>
      </c>
      <c r="L48" s="1424">
        <f ca="1">INDIRECT("'数据-取费表'!f"&amp;$G$1)</f>
        <v>37.07</v>
      </c>
      <c r="O48" s="1418" t="s">
        <v>404</v>
      </c>
      <c r="P48" s="1419" t="s">
        <v>821</v>
      </c>
      <c r="Q48" s="1420">
        <f ca="1">J60</f>
        <v>11483</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2017</v>
      </c>
      <c r="K49" s="1423" t="s">
        <v>824</v>
      </c>
      <c r="L49" s="1427"/>
      <c r="O49" s="1428" t="s">
        <v>405</v>
      </c>
      <c r="P49" s="1419" t="s">
        <v>825</v>
      </c>
      <c r="Q49" s="1420">
        <f ca="1">C29</f>
        <v>497755</v>
      </c>
      <c r="R49" s="1420" t="s">
        <v>818</v>
      </c>
    </row>
    <row r="50" spans="1:18" s="1384" customFormat="1" ht="13.5" thickBot="1">
      <c r="A50" s="976"/>
      <c r="B50" s="979"/>
      <c r="C50" s="1118"/>
      <c r="D50" s="953"/>
      <c r="E50" s="1056" t="s">
        <v>697</v>
      </c>
      <c r="F50" s="1057">
        <f ca="1">F7</f>
        <v>284547.17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406045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37.07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37.07</v>
      </c>
      <c r="K53" s="3716" t="s">
        <v>837</v>
      </c>
      <c r="L53" s="3717"/>
      <c r="O53" s="1418" t="s">
        <v>409</v>
      </c>
      <c r="P53" s="1419" t="s">
        <v>838</v>
      </c>
      <c r="Q53" s="1420">
        <f ca="1">Q47+Q48</f>
        <v>819607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0.26600000000000001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438024</v>
      </c>
      <c r="D56" s="1447"/>
      <c r="E56" s="1448"/>
      <c r="F56" s="1440"/>
      <c r="I56" s="1449" t="s">
        <v>842</v>
      </c>
      <c r="J56" s="1450" t="s">
        <v>3417</v>
      </c>
      <c r="K56" s="1421" t="s">
        <v>843</v>
      </c>
      <c r="L56" s="1424" t="str">
        <f ca="1">IF(L48&lt;J51,"——",L48-J53)</f>
        <v>——</v>
      </c>
      <c r="O56" s="1418" t="s">
        <v>403</v>
      </c>
      <c r="P56" s="1419" t="s">
        <v>817</v>
      </c>
      <c r="Q56" s="1420">
        <f ca="1">C40+J29</f>
        <v>808124</v>
      </c>
      <c r="R56" s="1420" t="s">
        <v>818</v>
      </c>
    </row>
    <row r="57" spans="1:18" s="1384" customFormat="1" ht="24.75" thickBot="1">
      <c r="A57" s="1451"/>
      <c r="B57" s="950" t="s">
        <v>767</v>
      </c>
      <c r="C57" s="238">
        <f ca="1">C29</f>
        <v>497755</v>
      </c>
      <c r="D57" s="1452"/>
      <c r="E57" s="1453"/>
      <c r="F57" s="1454"/>
      <c r="I57" s="1455" t="s">
        <v>844</v>
      </c>
      <c r="J57" s="1456">
        <f ca="1">IF(OR(M47="住宅",J51&lt;L48,J56="是"),"——",J51-L48)</f>
        <v>15.93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8137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199102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11483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14.37</v>
      </c>
      <c r="D62" s="965" t="s">
        <v>786</v>
      </c>
      <c r="E62" s="950" t="s">
        <v>787</v>
      </c>
      <c r="F62" s="325">
        <f t="shared" si="0"/>
        <v>1.5</v>
      </c>
      <c r="I62" s="1462" t="s">
        <v>858</v>
      </c>
      <c r="J62" s="1463" t="s">
        <v>859</v>
      </c>
      <c r="K62" s="1463" t="s">
        <v>860</v>
      </c>
      <c r="L62" s="1463" t="s">
        <v>861</v>
      </c>
      <c r="M62" s="1464" t="s">
        <v>862</v>
      </c>
      <c r="O62" s="1418" t="s">
        <v>409</v>
      </c>
      <c r="P62" s="1419" t="s">
        <v>863</v>
      </c>
      <c r="Q62" s="1420">
        <f ca="1">Q56+Q57</f>
        <v>808124</v>
      </c>
      <c r="R62" s="1420" t="s">
        <v>410</v>
      </c>
    </row>
    <row r="63" spans="1:18" s="1384" customFormat="1" ht="13.5" thickBot="1">
      <c r="A63" s="326"/>
      <c r="B63" s="956"/>
      <c r="C63" s="26"/>
      <c r="D63" s="966"/>
      <c r="E63" s="950" t="s">
        <v>788</v>
      </c>
      <c r="F63" s="303">
        <f t="shared" ca="1" si="0"/>
        <v>95778.030000000013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7466.33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657.04</v>
      </c>
      <c r="D65" s="964" t="s">
        <v>743</v>
      </c>
      <c r="E65" s="950" t="s">
        <v>744</v>
      </c>
      <c r="F65" s="330">
        <f t="shared" ca="1" si="0"/>
        <v>1.5E-3</v>
      </c>
      <c r="I65" s="1462" t="s">
        <v>867</v>
      </c>
      <c r="J65" s="1463">
        <v>40</v>
      </c>
      <c r="K65" s="1463">
        <v>30</v>
      </c>
      <c r="L65" s="1463">
        <v>50</v>
      </c>
      <c r="M65" s="1465">
        <v>0.02</v>
      </c>
      <c r="O65" s="1418" t="s">
        <v>403</v>
      </c>
      <c r="P65" s="1419" t="s">
        <v>868</v>
      </c>
      <c r="Q65" s="1420">
        <f ca="1">C40+J29</f>
        <v>808124</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-8137</v>
      </c>
      <c r="D67" s="963" t="s">
        <v>753</v>
      </c>
      <c r="E67" s="968"/>
      <c r="F67" s="969"/>
      <c r="O67" s="1428" t="s">
        <v>405</v>
      </c>
      <c r="P67" s="1419" t="s">
        <v>850</v>
      </c>
      <c r="Q67" s="1466">
        <f ca="1">L51</f>
        <v>406045</v>
      </c>
      <c r="R67" s="1420" t="s">
        <v>870</v>
      </c>
    </row>
    <row r="68" spans="1:18" s="1384" customFormat="1" ht="16.5" thickBot="1">
      <c r="A68" s="947" t="s">
        <v>395</v>
      </c>
      <c r="B68" s="948" t="s">
        <v>774</v>
      </c>
      <c r="C68" s="301">
        <f ca="1">ROUND(C67*(1-((1+F70)/(1+F68))^F69)/(F68-F70),0)</f>
        <v>-119977</v>
      </c>
      <c r="D68" s="965" t="s">
        <v>758</v>
      </c>
      <c r="E68" s="950" t="s">
        <v>759</v>
      </c>
      <c r="F68" s="312">
        <f ca="1">F40</f>
        <v>0.06</v>
      </c>
      <c r="O68" s="1428" t="s">
        <v>406</v>
      </c>
      <c r="P68" s="1467" t="s">
        <v>871</v>
      </c>
      <c r="Q68" s="1420">
        <f ca="1">ROUND(Q69-Q70*Q71,0)</f>
        <v>21956</v>
      </c>
      <c r="R68" s="1420" t="s">
        <v>414</v>
      </c>
    </row>
    <row r="69" spans="1:18" s="1384" customFormat="1" ht="13.5" thickBot="1">
      <c r="A69" s="951"/>
      <c r="B69" s="952"/>
      <c r="C69" s="306"/>
      <c r="D69" s="970" t="s">
        <v>762</v>
      </c>
      <c r="E69" s="950" t="s">
        <v>763</v>
      </c>
      <c r="F69" s="333">
        <f ca="1">F41</f>
        <v>37.07</v>
      </c>
      <c r="O69" s="1428" t="s">
        <v>411</v>
      </c>
      <c r="P69" s="1467" t="s">
        <v>872</v>
      </c>
      <c r="Q69" s="1420">
        <f ca="1">C39</f>
        <v>54808</v>
      </c>
      <c r="R69" s="1420" t="s">
        <v>818</v>
      </c>
    </row>
    <row r="70" spans="1:18" s="1384" customFormat="1" ht="13.5" thickBot="1">
      <c r="A70" s="954"/>
      <c r="B70" s="955"/>
      <c r="C70" s="310"/>
      <c r="D70" s="966"/>
      <c r="E70" s="950" t="s">
        <v>766</v>
      </c>
      <c r="F70" s="1054"/>
      <c r="O70" s="1428" t="s">
        <v>412</v>
      </c>
      <c r="P70" s="1467" t="s">
        <v>873</v>
      </c>
      <c r="Q70" s="1420">
        <f ca="1">C13</f>
        <v>438024</v>
      </c>
      <c r="R70" s="1420" t="s">
        <v>818</v>
      </c>
    </row>
    <row r="71" spans="1:18" s="1384" customFormat="1" ht="13.5" thickBot="1">
      <c r="A71" s="971" t="s">
        <v>396</v>
      </c>
      <c r="B71" s="972" t="s">
        <v>776</v>
      </c>
      <c r="C71" s="336">
        <f ca="1">ROUND(C68*10000/F71,0)</f>
        <v>-4216</v>
      </c>
      <c r="D71" s="973" t="s">
        <v>777</v>
      </c>
      <c r="E71" s="974" t="s">
        <v>778</v>
      </c>
      <c r="F71" s="339">
        <f ca="1">F43</f>
        <v>284547.17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32852</v>
      </c>
      <c r="D75" s="1384"/>
      <c r="E75" s="1384"/>
      <c r="F75" s="1384"/>
      <c r="K75" s="1402"/>
      <c r="L75" s="1384"/>
      <c r="O75" s="1418" t="s">
        <v>409</v>
      </c>
      <c r="P75" s="1419" t="s">
        <v>838</v>
      </c>
      <c r="Q75" s="1420">
        <f ca="1">Q65+Q66</f>
        <v>808124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0.40100000000000002</v>
      </c>
    </row>
    <row r="80" spans="1:18">
      <c r="B80" s="340" t="s">
        <v>800</v>
      </c>
      <c r="C80" s="274">
        <f ca="1">ROUND(C75/C39,3)</f>
        <v>0.59899999999999998</v>
      </c>
    </row>
    <row r="81" spans="2:3">
      <c r="B81" s="270" t="s">
        <v>801</v>
      </c>
      <c r="C81" s="238"/>
    </row>
    <row r="82" spans="2:3">
      <c r="B82" s="273" t="s">
        <v>802</v>
      </c>
      <c r="C82" s="275">
        <f ca="1">1-C83</f>
        <v>0.45799999999999996</v>
      </c>
    </row>
    <row r="83" spans="2:3">
      <c r="B83" s="273" t="s">
        <v>803</v>
      </c>
      <c r="C83" s="274">
        <f ca="1">ROUND(C13/C40,3)</f>
        <v>0.54200000000000004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8" t="s">
        <v>694</v>
      </c>
      <c r="C6" s="1074">
        <f ca="1">ROUND(F6*F8*F7*(1-F9),0)</f>
        <v>0</v>
      </c>
      <c r="D6" s="155" t="s">
        <v>2105</v>
      </c>
      <c r="E6" s="302" t="s">
        <v>696</v>
      </c>
      <c r="F6" s="303">
        <f ca="1">INDIRECT("'数据-取费表'!u"&amp;$G$1)</f>
        <v>0</v>
      </c>
      <c r="G6" s="1384"/>
      <c r="H6" s="1069" t="s">
        <v>398</v>
      </c>
      <c r="I6" s="3718" t="s">
        <v>694</v>
      </c>
      <c r="J6" s="301">
        <f ca="1">ROUND(M6*M8*M7*(1-M9),0)</f>
        <v>0</v>
      </c>
      <c r="K6" s="1376" t="s">
        <v>2106</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0</v>
      </c>
      <c r="G7" s="1384"/>
      <c r="H7" s="304"/>
      <c r="I7" s="3719"/>
      <c r="J7" s="306"/>
      <c r="K7" s="307"/>
      <c r="L7" s="302" t="s">
        <v>697</v>
      </c>
      <c r="M7" s="303">
        <f ca="1">F7</f>
        <v>0</v>
      </c>
    </row>
    <row r="8" spans="1:37" ht="18" customHeight="1">
      <c r="A8" s="304"/>
      <c r="B8" s="3719"/>
      <c r="C8" s="306"/>
      <c r="D8" s="307"/>
      <c r="E8" s="302" t="s">
        <v>698</v>
      </c>
      <c r="F8" s="303">
        <f ca="1">INDIRECT("'数据-取费表'!ai"&amp;$G$1)</f>
        <v>0</v>
      </c>
      <c r="G8" s="1384"/>
      <c r="H8" s="304"/>
      <c r="I8" s="3719"/>
      <c r="J8" s="306"/>
      <c r="K8" s="307"/>
      <c r="L8" s="302" t="s">
        <v>698</v>
      </c>
      <c r="M8" s="303">
        <f ca="1">INDIRECT("'数据-取费表'!ai"&amp;$G$1)</f>
        <v>0</v>
      </c>
    </row>
    <row r="9" spans="1:37" ht="18" customHeight="1">
      <c r="A9" s="304"/>
      <c r="B9" s="3720"/>
      <c r="C9" s="306"/>
      <c r="D9" s="307"/>
      <c r="E9" s="302" t="s">
        <v>699</v>
      </c>
      <c r="F9" s="312">
        <f ca="1">INDIRECT("'数据-取费表'!w"&amp;$G$1)</f>
        <v>0</v>
      </c>
      <c r="G9" s="1384"/>
      <c r="H9" s="304"/>
      <c r="I9" s="372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t="e">
        <f ca="1">ROUND((C68-C40)/10000,4)</f>
        <v>#DIV/0!</v>
      </c>
      <c r="D45" s="3430"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16" t="s">
        <v>837</v>
      </c>
      <c r="L53" s="371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3359</v>
      </c>
      <c r="E2" s="3442"/>
      <c r="F2" s="2844"/>
      <c r="G2" s="2845"/>
      <c r="H2" s="2846"/>
      <c r="I2" s="2847"/>
      <c r="J2" s="3721" t="s">
        <v>2318</v>
      </c>
      <c r="K2" s="3722"/>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23" t="s">
        <v>2328</v>
      </c>
      <c r="K3" s="3724"/>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23" t="s">
        <v>2330</v>
      </c>
      <c r="K4" s="3724"/>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25" t="s">
        <v>2334</v>
      </c>
      <c r="B6" s="3726"/>
      <c r="C6" s="3727"/>
      <c r="D6" s="2868"/>
      <c r="E6" s="2869"/>
      <c r="F6" s="2870"/>
      <c r="G6" s="2871"/>
      <c r="H6" s="2846"/>
      <c r="I6" s="2847"/>
      <c r="J6" s="3728">
        <v>1</v>
      </c>
      <c r="K6" s="3729"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28"/>
      <c r="K7" s="3730"/>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32" t="s">
        <v>2348</v>
      </c>
      <c r="C8" s="3733"/>
      <c r="D8" s="2887" t="s">
        <v>2349</v>
      </c>
      <c r="E8" s="2888" t="s">
        <v>2350</v>
      </c>
      <c r="F8" s="2889" t="s">
        <v>2351</v>
      </c>
      <c r="G8" s="2890"/>
      <c r="H8" s="2846"/>
      <c r="I8" s="2847"/>
      <c r="J8" s="3728"/>
      <c r="K8" s="3730"/>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32" t="s">
        <v>2354</v>
      </c>
      <c r="C9" s="3733"/>
      <c r="D9" s="2887">
        <f>ROUND(D6*E9,0)</f>
        <v>0</v>
      </c>
      <c r="E9" s="2891"/>
      <c r="F9" s="2892" t="s">
        <v>2355</v>
      </c>
      <c r="G9" s="2871"/>
      <c r="H9" s="2846"/>
      <c r="I9" s="2847"/>
      <c r="J9" s="3728"/>
      <c r="K9" s="3730"/>
      <c r="L9" s="2881" t="s">
        <v>2356</v>
      </c>
      <c r="M9" s="2882"/>
      <c r="N9" s="2858"/>
      <c r="O9" s="2883"/>
      <c r="P9" s="2883"/>
      <c r="Q9" s="2884">
        <v>365</v>
      </c>
      <c r="R9" s="2885">
        <f t="shared" si="0"/>
        <v>0</v>
      </c>
      <c r="S9" s="2839"/>
      <c r="T9" s="2839"/>
      <c r="U9" s="2839"/>
      <c r="V9" s="2847"/>
    </row>
    <row r="10" spans="1:22" s="2851" customFormat="1" ht="13.15" customHeight="1">
      <c r="A10" s="2886">
        <v>2</v>
      </c>
      <c r="B10" s="3732" t="s">
        <v>2357</v>
      </c>
      <c r="C10" s="3733"/>
      <c r="D10" s="2887">
        <f>ROUND(D6*E10,0)</f>
        <v>0</v>
      </c>
      <c r="E10" s="2891"/>
      <c r="F10" s="2892" t="s">
        <v>2358</v>
      </c>
      <c r="G10" s="2871"/>
      <c r="H10" s="2846"/>
      <c r="I10" s="2847"/>
      <c r="J10" s="3728"/>
      <c r="K10" s="3730"/>
      <c r="L10" s="2881" t="s">
        <v>2359</v>
      </c>
      <c r="M10" s="2882"/>
      <c r="N10" s="2858"/>
      <c r="O10" s="2883"/>
      <c r="P10" s="2883"/>
      <c r="Q10" s="2884">
        <v>365</v>
      </c>
      <c r="R10" s="2885">
        <f t="shared" si="0"/>
        <v>0</v>
      </c>
      <c r="S10" s="2839"/>
      <c r="T10" s="2839"/>
      <c r="U10" s="2839"/>
      <c r="V10" s="2847"/>
    </row>
    <row r="11" spans="1:22" s="2851" customFormat="1" ht="13.15" customHeight="1">
      <c r="A11" s="2886">
        <v>3</v>
      </c>
      <c r="B11" s="3732" t="s">
        <v>2360</v>
      </c>
      <c r="C11" s="3733"/>
      <c r="D11" s="2887">
        <f>D12+D14+D15+D16</f>
        <v>0</v>
      </c>
      <c r="E11" s="2893" t="e">
        <f>D11/D6</f>
        <v>#DIV/0!</v>
      </c>
      <c r="F11" s="2889"/>
      <c r="G11" s="2890"/>
      <c r="H11" s="2846"/>
      <c r="I11" s="2847"/>
      <c r="J11" s="3728"/>
      <c r="K11" s="3730"/>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34" t="s">
        <v>2363</v>
      </c>
      <c r="C12" s="3735"/>
      <c r="D12" s="2895">
        <f>ROUND(D13*1.2%*(1-30%),0)</f>
        <v>0</v>
      </c>
      <c r="E12" s="2896">
        <v>1.2E-2</v>
      </c>
      <c r="F12" s="2889" t="s">
        <v>2364</v>
      </c>
      <c r="G12" s="2890"/>
      <c r="H12" s="2846"/>
      <c r="I12" s="2847"/>
      <c r="J12" s="3728"/>
      <c r="K12" s="3730"/>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28"/>
      <c r="K13" s="3730"/>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34" t="s">
        <v>2369</v>
      </c>
      <c r="C14" s="3735"/>
      <c r="D14" s="2895">
        <f>ROUND(E14*B5/10000,0)</f>
        <v>0</v>
      </c>
      <c r="E14" s="2884"/>
      <c r="F14" s="2889" t="s">
        <v>2370</v>
      </c>
      <c r="G14" s="2890"/>
      <c r="H14" s="2846"/>
      <c r="I14" s="2847"/>
      <c r="J14" s="3728"/>
      <c r="K14" s="3731"/>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34" t="s">
        <v>2373</v>
      </c>
      <c r="C15" s="3735"/>
      <c r="D15" s="2895">
        <f>ROUND(D6*E15,0)</f>
        <v>0</v>
      </c>
      <c r="E15" s="2896">
        <v>5.5E-2</v>
      </c>
      <c r="F15" s="2889" t="s">
        <v>2374</v>
      </c>
      <c r="G15" s="2871"/>
      <c r="H15" s="2846"/>
      <c r="I15" s="2847"/>
      <c r="J15" s="3728">
        <v>2</v>
      </c>
      <c r="K15" s="3729"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34" t="s">
        <v>2382</v>
      </c>
      <c r="C16" s="3735"/>
      <c r="D16" s="2906">
        <f>D6*E16</f>
        <v>0</v>
      </c>
      <c r="E16" s="2907"/>
      <c r="F16" s="2892" t="s">
        <v>2383</v>
      </c>
      <c r="G16" s="2871"/>
      <c r="H16" s="2846"/>
      <c r="I16" s="2847"/>
      <c r="J16" s="3728"/>
      <c r="K16" s="3730"/>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36" t="s">
        <v>2385</v>
      </c>
      <c r="C17" s="3737"/>
      <c r="D17" s="2909">
        <f>ROUND(D6*E17,0)</f>
        <v>0</v>
      </c>
      <c r="E17" s="2910"/>
      <c r="F17" s="2911" t="s">
        <v>2386</v>
      </c>
      <c r="G17" s="2871"/>
      <c r="H17" s="2846"/>
      <c r="I17" s="2847"/>
      <c r="J17" s="3728"/>
      <c r="K17" s="3730"/>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28"/>
      <c r="K18" s="3730"/>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28"/>
      <c r="K19" s="3731"/>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8">
        <v>3</v>
      </c>
      <c r="K20" s="3729"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28"/>
      <c r="K21" s="3730"/>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28"/>
      <c r="K22" s="3730"/>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28"/>
      <c r="K23" s="3730"/>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28"/>
      <c r="K24" s="3731"/>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38">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3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21" t="s">
        <v>2318</v>
      </c>
      <c r="K32" s="3722"/>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23" t="s">
        <v>2328</v>
      </c>
      <c r="K33" s="3724"/>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23" t="s">
        <v>2330</v>
      </c>
      <c r="K34" s="372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28">
        <v>1</v>
      </c>
      <c r="K36" s="3729"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28"/>
      <c r="K37" s="3730"/>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8"/>
      <c r="K38" s="3730"/>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28"/>
      <c r="K39" s="3730"/>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28"/>
      <c r="K40" s="3731"/>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8">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3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819607</v>
      </c>
      <c r="C2" s="1872" t="s">
        <v>1650</v>
      </c>
      <c r="D2" s="1873" t="s">
        <v>1651</v>
      </c>
      <c r="E2" s="2606">
        <f>SUM(E6:E13)</f>
        <v>292137.36</v>
      </c>
      <c r="F2" s="2705"/>
      <c r="G2" s="1489"/>
      <c r="H2" s="1489"/>
      <c r="I2" s="1489"/>
      <c r="J2" s="1489"/>
      <c r="K2" s="1489"/>
      <c r="L2" s="1489"/>
      <c r="M2" s="1489"/>
      <c r="N2" s="1489"/>
      <c r="O2" s="1489"/>
      <c r="P2" s="1489"/>
      <c r="Q2" s="1489"/>
      <c r="R2" s="1489"/>
      <c r="S2" s="1489"/>
    </row>
    <row r="3" spans="1:22" ht="15.75">
      <c r="A3" s="1870" t="s">
        <v>686</v>
      </c>
      <c r="B3" s="2600">
        <f ca="1">ROUND(B2*10000/E2,0)</f>
        <v>28056</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40" t="s">
        <v>1653</v>
      </c>
      <c r="C5" s="3741"/>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819607</v>
      </c>
      <c r="C6" s="1872" t="s">
        <v>1650</v>
      </c>
      <c r="D6" s="2707"/>
      <c r="E6" s="2605">
        <f>IF(OR(A6=0,F6="否"),0,'数据-取费表'!K6+'数据-取费表'!S6)</f>
        <v>292137.36</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292137.36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60" t="s">
        <v>1666</v>
      </c>
      <c r="D4" s="3761"/>
      <c r="E4" s="3762" t="s">
        <v>1667</v>
      </c>
      <c r="F4" s="3763"/>
      <c r="G4" s="3760" t="s">
        <v>1668</v>
      </c>
      <c r="H4" s="3761"/>
      <c r="I4" s="3760" t="s">
        <v>1669</v>
      </c>
      <c r="J4" s="3761"/>
      <c r="K4" s="1889" t="s">
        <v>1670</v>
      </c>
      <c r="L4" s="2713"/>
      <c r="M4" s="2714"/>
      <c r="N4" s="2714"/>
      <c r="O4" s="2714"/>
      <c r="P4" s="3764" t="s">
        <v>1671</v>
      </c>
      <c r="Q4" s="3765"/>
      <c r="R4" s="3747" t="s">
        <v>1667</v>
      </c>
      <c r="S4" s="3748"/>
      <c r="T4" s="3747" t="s">
        <v>1668</v>
      </c>
      <c r="U4" s="3748"/>
      <c r="V4" s="3772" t="s">
        <v>1669</v>
      </c>
      <c r="W4" s="3772"/>
      <c r="X4" s="1355"/>
      <c r="Y4" s="3747" t="s">
        <v>1671</v>
      </c>
      <c r="Z4" s="3748"/>
      <c r="AA4" s="3742" t="s">
        <v>1667</v>
      </c>
      <c r="AB4" s="3742" t="s">
        <v>1668</v>
      </c>
      <c r="AC4" s="3742" t="s">
        <v>1669</v>
      </c>
    </row>
    <row r="5" spans="1:29" ht="15">
      <c r="A5" s="358"/>
      <c r="B5" s="359"/>
      <c r="C5" s="3753" t="s">
        <v>1672</v>
      </c>
      <c r="D5" s="3754"/>
      <c r="E5" s="3751" t="s">
        <v>1673</v>
      </c>
      <c r="F5" s="3752"/>
      <c r="G5" s="3753" t="s">
        <v>1674</v>
      </c>
      <c r="H5" s="3754"/>
      <c r="I5" s="3753" t="s">
        <v>1675</v>
      </c>
      <c r="J5" s="3754"/>
      <c r="K5" s="1890"/>
      <c r="L5" s="2713"/>
      <c r="M5" s="2714"/>
      <c r="N5" s="2714"/>
      <c r="O5" s="2714"/>
      <c r="P5" s="3766"/>
      <c r="Q5" s="3767"/>
      <c r="R5" s="3749"/>
      <c r="S5" s="3750"/>
      <c r="T5" s="3749"/>
      <c r="U5" s="3750"/>
      <c r="V5" s="3772"/>
      <c r="W5" s="3772"/>
      <c r="X5" s="1355"/>
      <c r="Y5" s="3749"/>
      <c r="Z5" s="3750"/>
      <c r="AA5" s="3743"/>
      <c r="AB5" s="3743"/>
      <c r="AC5" s="3743"/>
    </row>
    <row r="6" spans="1:29" ht="15.75" thickBot="1">
      <c r="A6" s="360"/>
      <c r="B6" s="361"/>
      <c r="C6" s="3755" t="s">
        <v>1676</v>
      </c>
      <c r="D6" s="3756"/>
      <c r="E6" s="3757" t="s">
        <v>1676</v>
      </c>
      <c r="F6" s="3758"/>
      <c r="G6" s="3755" t="s">
        <v>1676</v>
      </c>
      <c r="H6" s="3756"/>
      <c r="I6" s="3755" t="s">
        <v>1676</v>
      </c>
      <c r="J6" s="3756"/>
      <c r="K6" s="1890" t="s">
        <v>1677</v>
      </c>
      <c r="L6" s="2713"/>
      <c r="M6" s="2714"/>
      <c r="N6" s="2714"/>
      <c r="O6" s="2714"/>
      <c r="P6" s="3768"/>
      <c r="Q6" s="3769"/>
      <c r="R6" s="3749"/>
      <c r="S6" s="3750"/>
      <c r="T6" s="3770"/>
      <c r="U6" s="3771"/>
      <c r="V6" s="3772"/>
      <c r="W6" s="3772"/>
      <c r="X6" s="1355"/>
      <c r="Y6" s="3770"/>
      <c r="Z6" s="3771"/>
      <c r="AA6" s="3744"/>
      <c r="AB6" s="3744"/>
      <c r="AC6" s="3744"/>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45" t="s">
        <v>1679</v>
      </c>
      <c r="Q7" s="3773"/>
      <c r="R7" s="701" t="s">
        <v>20</v>
      </c>
      <c r="S7" s="702">
        <f t="shared" ref="S7:S15" si="0">F7</f>
        <v>0</v>
      </c>
      <c r="T7" s="701" t="s">
        <v>20</v>
      </c>
      <c r="U7" s="702">
        <f t="shared" ref="U7:U15" si="1">H7</f>
        <v>0</v>
      </c>
      <c r="V7" s="701" t="s">
        <v>20</v>
      </c>
      <c r="W7" s="702">
        <f t="shared" ref="W7:W15" si="2">J7</f>
        <v>0</v>
      </c>
      <c r="X7" s="703"/>
      <c r="Y7" s="3745" t="s">
        <v>1679</v>
      </c>
      <c r="Z7" s="3746"/>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45" t="s">
        <v>1682</v>
      </c>
      <c r="Q8" s="3746"/>
      <c r="R8" s="701" t="s">
        <v>20</v>
      </c>
      <c r="S8" s="702">
        <f t="shared" si="0"/>
        <v>100</v>
      </c>
      <c r="T8" s="701" t="s">
        <v>20</v>
      </c>
      <c r="U8" s="702">
        <f t="shared" si="1"/>
        <v>100</v>
      </c>
      <c r="V8" s="701" t="s">
        <v>20</v>
      </c>
      <c r="W8" s="702">
        <f t="shared" si="2"/>
        <v>100</v>
      </c>
      <c r="X8" s="703"/>
      <c r="Y8" s="3745" t="s">
        <v>1682</v>
      </c>
      <c r="Z8" s="374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59" t="s">
        <v>1685</v>
      </c>
      <c r="Q9" s="1343" t="str">
        <f t="shared" ref="Q9:Q15" si="6">B9</f>
        <v>用途</v>
      </c>
      <c r="R9" s="701" t="s">
        <v>14</v>
      </c>
      <c r="S9" s="702">
        <f t="shared" si="0"/>
        <v>100</v>
      </c>
      <c r="T9" s="701" t="s">
        <v>14</v>
      </c>
      <c r="U9" s="702">
        <f t="shared" si="1"/>
        <v>100</v>
      </c>
      <c r="V9" s="701" t="s">
        <v>14</v>
      </c>
      <c r="W9" s="702">
        <f t="shared" si="2"/>
        <v>100</v>
      </c>
      <c r="X9" s="703"/>
      <c r="Y9" s="3662"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59"/>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59"/>
      <c r="Q11" s="1343" t="str">
        <f t="shared" si="6"/>
        <v>容积率</v>
      </c>
      <c r="R11" s="701" t="s">
        <v>18</v>
      </c>
      <c r="S11" s="702" t="e">
        <f t="shared" si="0"/>
        <v>#N/A</v>
      </c>
      <c r="T11" s="701" t="s">
        <v>18</v>
      </c>
      <c r="U11" s="702" t="e">
        <f t="shared" si="1"/>
        <v>#N/A</v>
      </c>
      <c r="V11" s="701" t="s">
        <v>18</v>
      </c>
      <c r="W11" s="702" t="e">
        <f t="shared" si="2"/>
        <v>#N/A</v>
      </c>
      <c r="X11" s="703"/>
      <c r="Y11" s="366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59"/>
      <c r="Q12" s="1343">
        <f t="shared" si="6"/>
        <v>111</v>
      </c>
      <c r="R12" s="701" t="s">
        <v>18</v>
      </c>
      <c r="S12" s="702">
        <f t="shared" si="0"/>
        <v>100</v>
      </c>
      <c r="T12" s="701" t="s">
        <v>18</v>
      </c>
      <c r="U12" s="702">
        <f t="shared" si="1"/>
        <v>100</v>
      </c>
      <c r="V12" s="701" t="s">
        <v>18</v>
      </c>
      <c r="W12" s="702">
        <f t="shared" si="2"/>
        <v>100</v>
      </c>
      <c r="X12" s="703"/>
      <c r="Y12" s="366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59"/>
      <c r="Q13" s="1343">
        <f t="shared" si="6"/>
        <v>111</v>
      </c>
      <c r="R13" s="701" t="s">
        <v>18</v>
      </c>
      <c r="S13" s="702">
        <f t="shared" si="0"/>
        <v>100</v>
      </c>
      <c r="T13" s="701" t="s">
        <v>18</v>
      </c>
      <c r="U13" s="702">
        <f t="shared" si="1"/>
        <v>100</v>
      </c>
      <c r="V13" s="701" t="s">
        <v>18</v>
      </c>
      <c r="W13" s="702">
        <f t="shared" si="2"/>
        <v>100</v>
      </c>
      <c r="X13" s="703"/>
      <c r="Y13" s="366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59"/>
      <c r="Q14" s="1343">
        <f t="shared" si="6"/>
        <v>111</v>
      </c>
      <c r="R14" s="701" t="s">
        <v>18</v>
      </c>
      <c r="S14" s="702">
        <f t="shared" si="0"/>
        <v>100</v>
      </c>
      <c r="T14" s="701" t="s">
        <v>18</v>
      </c>
      <c r="U14" s="702">
        <f t="shared" si="1"/>
        <v>100</v>
      </c>
      <c r="V14" s="701" t="s">
        <v>18</v>
      </c>
      <c r="W14" s="702">
        <f t="shared" si="2"/>
        <v>100</v>
      </c>
      <c r="X14" s="703"/>
      <c r="Y14" s="3662"/>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86" t="s">
        <v>1690</v>
      </c>
      <c r="Q15" s="1352" t="str">
        <f t="shared" si="6"/>
        <v>居住社区成熟度</v>
      </c>
      <c r="R15" s="705" t="s">
        <v>18</v>
      </c>
      <c r="S15" s="706">
        <f t="shared" si="0"/>
        <v>100</v>
      </c>
      <c r="T15" s="705" t="s">
        <v>18</v>
      </c>
      <c r="U15" s="706">
        <f t="shared" si="1"/>
        <v>100</v>
      </c>
      <c r="V15" s="705" t="s">
        <v>18</v>
      </c>
      <c r="W15" s="706">
        <f t="shared" si="2"/>
        <v>100</v>
      </c>
      <c r="X15" s="1355"/>
      <c r="Y15" s="377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87"/>
      <c r="Q16" s="1352"/>
      <c r="R16" s="705"/>
      <c r="S16" s="706"/>
      <c r="T16" s="705"/>
      <c r="U16" s="706"/>
      <c r="V16" s="705"/>
      <c r="W16" s="706"/>
      <c r="X16" s="1355"/>
      <c r="Y16" s="3780"/>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87"/>
      <c r="Q17" s="1352" t="str">
        <f>B17</f>
        <v>交通便捷度</v>
      </c>
      <c r="R17" s="705" t="s">
        <v>18</v>
      </c>
      <c r="S17" s="706">
        <f>F17</f>
        <v>100</v>
      </c>
      <c r="T17" s="705" t="s">
        <v>18</v>
      </c>
      <c r="U17" s="706">
        <f>H17</f>
        <v>100</v>
      </c>
      <c r="V17" s="705" t="s">
        <v>18</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87"/>
      <c r="Q18" s="1352"/>
      <c r="R18" s="705"/>
      <c r="S18" s="706"/>
      <c r="T18" s="705"/>
      <c r="U18" s="706"/>
      <c r="V18" s="705"/>
      <c r="W18" s="706"/>
      <c r="X18" s="1355"/>
      <c r="Y18" s="3780"/>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87"/>
      <c r="Q19" s="1352" t="str">
        <f>B19</f>
        <v>公共配套设施</v>
      </c>
      <c r="R19" s="705" t="s">
        <v>18</v>
      </c>
      <c r="S19" s="706">
        <f>F19</f>
        <v>100</v>
      </c>
      <c r="T19" s="705" t="s">
        <v>18</v>
      </c>
      <c r="U19" s="706">
        <f>H19</f>
        <v>100</v>
      </c>
      <c r="V19" s="705" t="s">
        <v>18</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87"/>
      <c r="Q20" s="1352"/>
      <c r="R20" s="705"/>
      <c r="S20" s="706"/>
      <c r="T20" s="705"/>
      <c r="U20" s="706"/>
      <c r="V20" s="705"/>
      <c r="W20" s="706"/>
      <c r="X20" s="1355"/>
      <c r="Y20" s="3780"/>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87"/>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87"/>
      <c r="Q22" s="1352"/>
      <c r="R22" s="705"/>
      <c r="S22" s="706"/>
      <c r="T22" s="705"/>
      <c r="U22" s="706"/>
      <c r="V22" s="705"/>
      <c r="W22" s="706"/>
      <c r="X22" s="1355"/>
      <c r="Y22" s="3780"/>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87"/>
      <c r="Q23" s="1352" t="str">
        <f>B23</f>
        <v>自然及人文环境</v>
      </c>
      <c r="R23" s="705" t="s">
        <v>18</v>
      </c>
      <c r="S23" s="706">
        <f>F23</f>
        <v>100</v>
      </c>
      <c r="T23" s="705" t="s">
        <v>18</v>
      </c>
      <c r="U23" s="706">
        <f>H23</f>
        <v>100</v>
      </c>
      <c r="V23" s="705" t="s">
        <v>18</v>
      </c>
      <c r="W23" s="706">
        <f>J23</f>
        <v>100</v>
      </c>
      <c r="X23" s="1355"/>
      <c r="Y23" s="37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87"/>
      <c r="Q24" s="1352"/>
      <c r="R24" s="705"/>
      <c r="S24" s="706"/>
      <c r="T24" s="705"/>
      <c r="U24" s="706"/>
      <c r="V24" s="705"/>
      <c r="W24" s="706"/>
      <c r="X24" s="1355"/>
      <c r="Y24" s="378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87"/>
      <c r="Q26" s="1352" t="str">
        <f t="shared" si="11"/>
        <v>朝向</v>
      </c>
      <c r="R26" s="705" t="s">
        <v>18</v>
      </c>
      <c r="S26" s="706">
        <f t="shared" si="12"/>
        <v>100</v>
      </c>
      <c r="T26" s="705" t="s">
        <v>18</v>
      </c>
      <c r="U26" s="706">
        <f t="shared" si="13"/>
        <v>100</v>
      </c>
      <c r="V26" s="705" t="s">
        <v>18</v>
      </c>
      <c r="W26" s="706">
        <f t="shared" si="14"/>
        <v>100</v>
      </c>
      <c r="X26" s="1355"/>
      <c r="Y26" s="37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87"/>
      <c r="Q27" s="1343">
        <f t="shared" si="11"/>
        <v>111</v>
      </c>
      <c r="R27" s="701" t="s">
        <v>18</v>
      </c>
      <c r="S27" s="702">
        <f t="shared" si="12"/>
        <v>100</v>
      </c>
      <c r="T27" s="701" t="s">
        <v>18</v>
      </c>
      <c r="U27" s="702">
        <f t="shared" si="13"/>
        <v>100</v>
      </c>
      <c r="V27" s="701" t="s">
        <v>18</v>
      </c>
      <c r="W27" s="702">
        <f t="shared" si="14"/>
        <v>100</v>
      </c>
      <c r="X27" s="703"/>
      <c r="Y27" s="37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87"/>
      <c r="Q28" s="1352">
        <f t="shared" si="11"/>
        <v>111</v>
      </c>
      <c r="R28" s="705" t="s">
        <v>18</v>
      </c>
      <c r="S28" s="706">
        <f t="shared" si="12"/>
        <v>100</v>
      </c>
      <c r="T28" s="705" t="s">
        <v>18</v>
      </c>
      <c r="U28" s="706">
        <f t="shared" si="13"/>
        <v>100</v>
      </c>
      <c r="V28" s="705" t="s">
        <v>18</v>
      </c>
      <c r="W28" s="706">
        <f t="shared" si="14"/>
        <v>100</v>
      </c>
      <c r="X28" s="1355"/>
      <c r="Y28" s="37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87"/>
      <c r="Q29" s="1352">
        <f t="shared" si="11"/>
        <v>111</v>
      </c>
      <c r="R29" s="705" t="s">
        <v>18</v>
      </c>
      <c r="S29" s="706">
        <f t="shared" si="12"/>
        <v>100</v>
      </c>
      <c r="T29" s="705" t="s">
        <v>18</v>
      </c>
      <c r="U29" s="706">
        <f t="shared" si="13"/>
        <v>100</v>
      </c>
      <c r="V29" s="705" t="s">
        <v>18</v>
      </c>
      <c r="W29" s="706">
        <f t="shared" si="14"/>
        <v>100</v>
      </c>
      <c r="X29" s="1355"/>
      <c r="Y29" s="37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87"/>
      <c r="Q30" s="1352">
        <f t="shared" si="11"/>
        <v>111</v>
      </c>
      <c r="R30" s="705" t="s">
        <v>18</v>
      </c>
      <c r="S30" s="706">
        <f t="shared" si="12"/>
        <v>100</v>
      </c>
      <c r="T30" s="705" t="s">
        <v>18</v>
      </c>
      <c r="U30" s="706">
        <f t="shared" si="13"/>
        <v>100</v>
      </c>
      <c r="V30" s="705" t="s">
        <v>18</v>
      </c>
      <c r="W30" s="706">
        <f t="shared" si="14"/>
        <v>100</v>
      </c>
      <c r="X30" s="1355"/>
      <c r="Y30" s="37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87"/>
      <c r="Q31" s="1352">
        <f t="shared" si="11"/>
        <v>111</v>
      </c>
      <c r="R31" s="705" t="s">
        <v>18</v>
      </c>
      <c r="S31" s="706">
        <f t="shared" si="12"/>
        <v>100</v>
      </c>
      <c r="T31" s="705" t="s">
        <v>18</v>
      </c>
      <c r="U31" s="706">
        <f t="shared" si="13"/>
        <v>100</v>
      </c>
      <c r="V31" s="705" t="s">
        <v>18</v>
      </c>
      <c r="W31" s="706">
        <f t="shared" si="14"/>
        <v>100</v>
      </c>
      <c r="X31" s="1355"/>
      <c r="Y31" s="378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81" t="s">
        <v>1695</v>
      </c>
      <c r="Q32" s="1352" t="str">
        <f t="shared" si="11"/>
        <v>建筑类型</v>
      </c>
      <c r="R32" s="705" t="s">
        <v>18</v>
      </c>
      <c r="S32" s="706">
        <f t="shared" si="12"/>
        <v>100</v>
      </c>
      <c r="T32" s="705" t="s">
        <v>18</v>
      </c>
      <c r="U32" s="706">
        <f t="shared" si="13"/>
        <v>100</v>
      </c>
      <c r="V32" s="705" t="s">
        <v>18</v>
      </c>
      <c r="W32" s="706">
        <f t="shared" si="14"/>
        <v>100</v>
      </c>
      <c r="X32" s="1355"/>
      <c r="Y32" s="378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82"/>
      <c r="Q33" s="707" t="str">
        <f t="shared" si="11"/>
        <v>项目建筑规模</v>
      </c>
      <c r="R33" s="708" t="s">
        <v>18</v>
      </c>
      <c r="S33" s="709" t="e">
        <f t="shared" si="12"/>
        <v>#N/A</v>
      </c>
      <c r="T33" s="708" t="s">
        <v>18</v>
      </c>
      <c r="U33" s="709" t="e">
        <f t="shared" si="13"/>
        <v>#N/A</v>
      </c>
      <c r="V33" s="708" t="s">
        <v>18</v>
      </c>
      <c r="W33" s="709" t="e">
        <f t="shared" si="14"/>
        <v>#N/A</v>
      </c>
      <c r="X33" s="710"/>
      <c r="Y33" s="3784"/>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82"/>
      <c r="Q34" s="1352" t="str">
        <f t="shared" si="11"/>
        <v>建筑结构</v>
      </c>
      <c r="R34" s="705" t="s">
        <v>18</v>
      </c>
      <c r="S34" s="706">
        <f t="shared" si="12"/>
        <v>100</v>
      </c>
      <c r="T34" s="705" t="s">
        <v>18</v>
      </c>
      <c r="U34" s="706">
        <f t="shared" si="13"/>
        <v>100</v>
      </c>
      <c r="V34" s="705" t="s">
        <v>18</v>
      </c>
      <c r="W34" s="706">
        <f t="shared" si="14"/>
        <v>100</v>
      </c>
      <c r="X34" s="1355"/>
      <c r="Y34" s="378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82"/>
      <c r="Q35" s="1352" t="str">
        <f t="shared" si="11"/>
        <v>建筑品质</v>
      </c>
      <c r="R35" s="705" t="s">
        <v>18</v>
      </c>
      <c r="S35" s="706">
        <f t="shared" si="12"/>
        <v>100</v>
      </c>
      <c r="T35" s="705" t="s">
        <v>18</v>
      </c>
      <c r="U35" s="706">
        <f t="shared" si="13"/>
        <v>100</v>
      </c>
      <c r="V35" s="705" t="s">
        <v>18</v>
      </c>
      <c r="W35" s="706">
        <f t="shared" si="14"/>
        <v>100</v>
      </c>
      <c r="X35" s="1355"/>
      <c r="Y35" s="3784"/>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82"/>
      <c r="Q36" s="1352" t="str">
        <f t="shared" si="11"/>
        <v>公共部分装修</v>
      </c>
      <c r="R36" s="705" t="s">
        <v>18</v>
      </c>
      <c r="S36" s="706">
        <f t="shared" si="12"/>
        <v>100</v>
      </c>
      <c r="T36" s="705" t="s">
        <v>18</v>
      </c>
      <c r="U36" s="706">
        <f t="shared" si="13"/>
        <v>100</v>
      </c>
      <c r="V36" s="705" t="s">
        <v>18</v>
      </c>
      <c r="W36" s="706">
        <f t="shared" si="14"/>
        <v>100</v>
      </c>
      <c r="X36" s="1355"/>
      <c r="Y36" s="378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82"/>
      <c r="Q37" s="1343" t="str">
        <f t="shared" si="11"/>
        <v>成新度</v>
      </c>
      <c r="R37" s="701" t="s">
        <v>18</v>
      </c>
      <c r="S37" s="702" t="e">
        <f t="shared" si="12"/>
        <v>#N/A</v>
      </c>
      <c r="T37" s="701" t="s">
        <v>18</v>
      </c>
      <c r="U37" s="702" t="e">
        <f t="shared" si="13"/>
        <v>#N/A</v>
      </c>
      <c r="V37" s="701" t="s">
        <v>18</v>
      </c>
      <c r="W37" s="702" t="e">
        <f t="shared" si="14"/>
        <v>#N/A</v>
      </c>
      <c r="X37" s="703"/>
      <c r="Y37" s="3784"/>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82" t="s">
        <v>1695</v>
      </c>
      <c r="Q38" s="1352" t="str">
        <f t="shared" si="11"/>
        <v>物业管理</v>
      </c>
      <c r="R38" s="705" t="s">
        <v>18</v>
      </c>
      <c r="S38" s="706">
        <f t="shared" si="12"/>
        <v>100</v>
      </c>
      <c r="T38" s="705" t="s">
        <v>18</v>
      </c>
      <c r="U38" s="706">
        <f t="shared" si="13"/>
        <v>100</v>
      </c>
      <c r="V38" s="705" t="s">
        <v>18</v>
      </c>
      <c r="W38" s="706">
        <f t="shared" si="14"/>
        <v>100</v>
      </c>
      <c r="X38" s="1355"/>
      <c r="Y38" s="3784"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82"/>
      <c r="Q39" s="1352" t="str">
        <f t="shared" si="11"/>
        <v>市政基础设施</v>
      </c>
      <c r="R39" s="705" t="s">
        <v>18</v>
      </c>
      <c r="S39" s="706">
        <f t="shared" si="12"/>
        <v>100</v>
      </c>
      <c r="T39" s="705" t="s">
        <v>18</v>
      </c>
      <c r="U39" s="706">
        <f t="shared" si="13"/>
        <v>100</v>
      </c>
      <c r="V39" s="705" t="s">
        <v>18</v>
      </c>
      <c r="W39" s="706">
        <f t="shared" si="14"/>
        <v>100</v>
      </c>
      <c r="X39" s="1355"/>
      <c r="Y39" s="3784"/>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82"/>
      <c r="Q40" s="1352" t="str">
        <f t="shared" si="11"/>
        <v>房型</v>
      </c>
      <c r="R40" s="705" t="s">
        <v>18</v>
      </c>
      <c r="S40" s="706">
        <f t="shared" si="12"/>
        <v>100</v>
      </c>
      <c r="T40" s="705" t="s">
        <v>18</v>
      </c>
      <c r="U40" s="706">
        <f t="shared" si="13"/>
        <v>100</v>
      </c>
      <c r="V40" s="705" t="s">
        <v>18</v>
      </c>
      <c r="W40" s="706">
        <f t="shared" si="14"/>
        <v>100</v>
      </c>
      <c r="X40" s="1355"/>
      <c r="Y40" s="378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82"/>
      <c r="Q41" s="707" t="str">
        <f t="shared" si="11"/>
        <v>单套/主力户型建筑面积</v>
      </c>
      <c r="R41" s="708" t="s">
        <v>18</v>
      </c>
      <c r="S41" s="709">
        <f t="shared" si="12"/>
        <v>100</v>
      </c>
      <c r="T41" s="708" t="s">
        <v>18</v>
      </c>
      <c r="U41" s="709">
        <f t="shared" si="13"/>
        <v>100</v>
      </c>
      <c r="V41" s="708" t="s">
        <v>18</v>
      </c>
      <c r="W41" s="709">
        <f t="shared" si="14"/>
        <v>100</v>
      </c>
      <c r="X41" s="710"/>
      <c r="Y41" s="378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82"/>
      <c r="Q42" s="1352" t="str">
        <f t="shared" si="11"/>
        <v>内部装修</v>
      </c>
      <c r="R42" s="705" t="s">
        <v>18</v>
      </c>
      <c r="S42" s="706">
        <f t="shared" si="12"/>
        <v>100</v>
      </c>
      <c r="T42" s="705" t="s">
        <v>18</v>
      </c>
      <c r="U42" s="706">
        <f t="shared" si="13"/>
        <v>100</v>
      </c>
      <c r="V42" s="705" t="s">
        <v>18</v>
      </c>
      <c r="W42" s="706">
        <f t="shared" si="14"/>
        <v>100</v>
      </c>
      <c r="X42" s="1355"/>
      <c r="Y42" s="3784"/>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82"/>
      <c r="Q43" s="1352" t="str">
        <f t="shared" si="11"/>
        <v>内部装修维护情况</v>
      </c>
      <c r="R43" s="705" t="s">
        <v>18</v>
      </c>
      <c r="S43" s="706">
        <f t="shared" si="12"/>
        <v>100</v>
      </c>
      <c r="T43" s="705" t="s">
        <v>18</v>
      </c>
      <c r="U43" s="706">
        <f t="shared" si="13"/>
        <v>100</v>
      </c>
      <c r="V43" s="705" t="s">
        <v>18</v>
      </c>
      <c r="W43" s="706">
        <f t="shared" si="14"/>
        <v>100</v>
      </c>
      <c r="X43" s="1355"/>
      <c r="Y43" s="37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82"/>
      <c r="Q44" s="1343">
        <f t="shared" si="11"/>
        <v>111</v>
      </c>
      <c r="R44" s="701" t="s">
        <v>18</v>
      </c>
      <c r="S44" s="702">
        <f t="shared" si="12"/>
        <v>100</v>
      </c>
      <c r="T44" s="701" t="s">
        <v>18</v>
      </c>
      <c r="U44" s="702">
        <f t="shared" si="13"/>
        <v>100</v>
      </c>
      <c r="V44" s="701" t="s">
        <v>18</v>
      </c>
      <c r="W44" s="702">
        <f t="shared" si="14"/>
        <v>100</v>
      </c>
      <c r="X44" s="703"/>
      <c r="Y44" s="37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82"/>
      <c r="Q45" s="1352">
        <f t="shared" si="11"/>
        <v>111</v>
      </c>
      <c r="R45" s="705" t="s">
        <v>18</v>
      </c>
      <c r="S45" s="706">
        <f t="shared" si="12"/>
        <v>100</v>
      </c>
      <c r="T45" s="705" t="s">
        <v>18</v>
      </c>
      <c r="U45" s="706">
        <f t="shared" si="13"/>
        <v>100</v>
      </c>
      <c r="V45" s="705" t="s">
        <v>18</v>
      </c>
      <c r="W45" s="706">
        <f t="shared" si="14"/>
        <v>100</v>
      </c>
      <c r="X45" s="1355"/>
      <c r="Y45" s="37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83"/>
      <c r="Q46" s="1352">
        <f t="shared" si="11"/>
        <v>111</v>
      </c>
      <c r="R46" s="705" t="s">
        <v>17</v>
      </c>
      <c r="S46" s="706">
        <f t="shared" si="12"/>
        <v>100</v>
      </c>
      <c r="T46" s="705" t="s">
        <v>17</v>
      </c>
      <c r="U46" s="706">
        <f t="shared" si="13"/>
        <v>100</v>
      </c>
      <c r="V46" s="705" t="s">
        <v>17</v>
      </c>
      <c r="W46" s="706">
        <f t="shared" si="14"/>
        <v>100</v>
      </c>
      <c r="X46" s="1355"/>
      <c r="Y46" s="378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77" t="str">
        <f>A47</f>
        <v>成交单价（元/平方米）</v>
      </c>
      <c r="Q47" s="3777"/>
      <c r="R47" s="3778">
        <f>E47</f>
        <v>0</v>
      </c>
      <c r="S47" s="3778"/>
      <c r="T47" s="3778">
        <f>G47</f>
        <v>0</v>
      </c>
      <c r="U47" s="3778"/>
      <c r="V47" s="3778">
        <f>I47</f>
        <v>0</v>
      </c>
      <c r="W47" s="3778"/>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77" t="str">
        <f>A48</f>
        <v>比较价值（元/平方米）</v>
      </c>
      <c r="Q48" s="3777"/>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292137.36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47" t="s">
        <v>1770</v>
      </c>
      <c r="S4" s="3748"/>
      <c r="T4" s="3747" t="s">
        <v>1771</v>
      </c>
      <c r="U4" s="3748"/>
      <c r="V4" s="3772" t="s">
        <v>1772</v>
      </c>
      <c r="W4" s="3772"/>
      <c r="X4" s="1355"/>
      <c r="Y4" s="3747" t="s">
        <v>1774</v>
      </c>
      <c r="Z4" s="3748"/>
      <c r="AA4" s="3742" t="s">
        <v>1770</v>
      </c>
      <c r="AB4" s="3772" t="s">
        <v>1771</v>
      </c>
      <c r="AC4" s="3742" t="s">
        <v>1772</v>
      </c>
    </row>
    <row r="5" spans="1:29" ht="15">
      <c r="A5" s="358"/>
      <c r="B5" s="359"/>
      <c r="C5" s="3753" t="s">
        <v>1672</v>
      </c>
      <c r="D5" s="3754"/>
      <c r="E5" s="3751" t="s">
        <v>1673</v>
      </c>
      <c r="F5" s="3752"/>
      <c r="G5" s="3753" t="s">
        <v>1674</v>
      </c>
      <c r="H5" s="3754"/>
      <c r="I5" s="3753" t="s">
        <v>1675</v>
      </c>
      <c r="J5" s="3754"/>
      <c r="K5" s="559"/>
      <c r="L5" s="2713"/>
      <c r="M5" s="2714"/>
      <c r="N5" s="2714"/>
      <c r="O5" s="2714"/>
      <c r="P5" s="3766"/>
      <c r="Q5" s="3767"/>
      <c r="R5" s="3749"/>
      <c r="S5" s="3750"/>
      <c r="T5" s="3749"/>
      <c r="U5" s="3750"/>
      <c r="V5" s="3772"/>
      <c r="W5" s="3772"/>
      <c r="X5" s="1355"/>
      <c r="Y5" s="3749"/>
      <c r="Z5" s="3750"/>
      <c r="AA5" s="3743"/>
      <c r="AB5" s="3772"/>
      <c r="AC5" s="3743"/>
    </row>
    <row r="6" spans="1:29" ht="15.75" thickBot="1">
      <c r="A6" s="360"/>
      <c r="B6" s="361"/>
      <c r="C6" s="3755" t="s">
        <v>1676</v>
      </c>
      <c r="D6" s="3756"/>
      <c r="E6" s="3757" t="s">
        <v>1676</v>
      </c>
      <c r="F6" s="3758"/>
      <c r="G6" s="3755" t="s">
        <v>1676</v>
      </c>
      <c r="H6" s="3756"/>
      <c r="I6" s="3755" t="s">
        <v>1676</v>
      </c>
      <c r="J6" s="3756"/>
      <c r="K6" s="559" t="s">
        <v>1677</v>
      </c>
      <c r="L6" s="2713"/>
      <c r="M6" s="2714"/>
      <c r="N6" s="2714"/>
      <c r="O6" s="2714"/>
      <c r="P6" s="3768"/>
      <c r="Q6" s="3769"/>
      <c r="R6" s="3749"/>
      <c r="S6" s="3750"/>
      <c r="T6" s="3770"/>
      <c r="U6" s="3771"/>
      <c r="V6" s="3772"/>
      <c r="W6" s="3772"/>
      <c r="X6" s="1355"/>
      <c r="Y6" s="3770"/>
      <c r="Z6" s="3771"/>
      <c r="AA6" s="3744"/>
      <c r="AB6" s="3772"/>
      <c r="AC6" s="3744"/>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45" t="s">
        <v>1679</v>
      </c>
      <c r="Q7" s="3773"/>
      <c r="R7" s="701" t="s">
        <v>14</v>
      </c>
      <c r="S7" s="702">
        <f t="shared" ref="S7:S15" si="0">F7</f>
        <v>0</v>
      </c>
      <c r="T7" s="701" t="s">
        <v>14</v>
      </c>
      <c r="U7" s="702">
        <f t="shared" ref="U7:U15" si="1">H7</f>
        <v>0</v>
      </c>
      <c r="V7" s="701" t="s">
        <v>14</v>
      </c>
      <c r="W7" s="702">
        <f t="shared" ref="W7:W15" si="2">J7</f>
        <v>0</v>
      </c>
      <c r="X7" s="703"/>
      <c r="Y7" s="3745" t="s">
        <v>1679</v>
      </c>
      <c r="Z7" s="374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45" t="s">
        <v>1682</v>
      </c>
      <c r="Q8" s="3746"/>
      <c r="R8" s="701" t="s">
        <v>14</v>
      </c>
      <c r="S8" s="702">
        <f t="shared" si="0"/>
        <v>100</v>
      </c>
      <c r="T8" s="701" t="s">
        <v>14</v>
      </c>
      <c r="U8" s="702">
        <f t="shared" si="1"/>
        <v>100</v>
      </c>
      <c r="V8" s="701" t="s">
        <v>14</v>
      </c>
      <c r="W8" s="702">
        <f t="shared" si="2"/>
        <v>100</v>
      </c>
      <c r="X8" s="703"/>
      <c r="Y8" s="3745" t="s">
        <v>1682</v>
      </c>
      <c r="Z8" s="374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59" t="s">
        <v>1685</v>
      </c>
      <c r="Q9" s="1343" t="str">
        <f t="shared" ref="Q9:Q15" si="6">B9</f>
        <v>用途</v>
      </c>
      <c r="R9" s="701" t="s">
        <v>14</v>
      </c>
      <c r="S9" s="702">
        <f t="shared" si="0"/>
        <v>100</v>
      </c>
      <c r="T9" s="701" t="s">
        <v>14</v>
      </c>
      <c r="U9" s="702">
        <f t="shared" si="1"/>
        <v>100</v>
      </c>
      <c r="V9" s="701" t="s">
        <v>14</v>
      </c>
      <c r="W9" s="702">
        <f t="shared" si="2"/>
        <v>100</v>
      </c>
      <c r="X9" s="703"/>
      <c r="Y9" s="3662"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59"/>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59"/>
      <c r="Q11" s="1343" t="str">
        <f t="shared" si="6"/>
        <v>容积率</v>
      </c>
      <c r="R11" s="701" t="s">
        <v>14</v>
      </c>
      <c r="S11" s="702" t="e">
        <f t="shared" si="0"/>
        <v>#N/A</v>
      </c>
      <c r="T11" s="701" t="s">
        <v>14</v>
      </c>
      <c r="U11" s="702" t="e">
        <f t="shared" si="1"/>
        <v>#N/A</v>
      </c>
      <c r="V11" s="701" t="s">
        <v>14</v>
      </c>
      <c r="W11" s="702" t="e">
        <f t="shared" si="2"/>
        <v>#N/A</v>
      </c>
      <c r="X11" s="703"/>
      <c r="Y11" s="366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59"/>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59"/>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59"/>
      <c r="Q14" s="1343">
        <f t="shared" si="6"/>
        <v>111</v>
      </c>
      <c r="R14" s="701" t="s">
        <v>14</v>
      </c>
      <c r="S14" s="702">
        <f t="shared" si="0"/>
        <v>100</v>
      </c>
      <c r="T14" s="701" t="s">
        <v>14</v>
      </c>
      <c r="U14" s="702">
        <f t="shared" si="1"/>
        <v>100</v>
      </c>
      <c r="V14" s="701" t="s">
        <v>14</v>
      </c>
      <c r="W14" s="702">
        <f t="shared" si="2"/>
        <v>100</v>
      </c>
      <c r="X14" s="703"/>
      <c r="Y14" s="3662"/>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86" t="s">
        <v>1690</v>
      </c>
      <c r="Q15" s="1352" t="str">
        <f t="shared" si="6"/>
        <v>商业繁华度</v>
      </c>
      <c r="R15" s="705" t="s">
        <v>14</v>
      </c>
      <c r="S15" s="706">
        <f t="shared" si="0"/>
        <v>100</v>
      </c>
      <c r="T15" s="705" t="s">
        <v>14</v>
      </c>
      <c r="U15" s="706">
        <f t="shared" si="1"/>
        <v>100</v>
      </c>
      <c r="V15" s="705" t="s">
        <v>14</v>
      </c>
      <c r="W15" s="706">
        <f t="shared" si="2"/>
        <v>100</v>
      </c>
      <c r="X15" s="1355"/>
      <c r="Y15" s="377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87"/>
      <c r="Q16" s="1352"/>
      <c r="R16" s="705"/>
      <c r="S16" s="706"/>
      <c r="T16" s="705"/>
      <c r="U16" s="706"/>
      <c r="V16" s="705"/>
      <c r="W16" s="706"/>
      <c r="X16" s="1355"/>
      <c r="Y16" s="3780"/>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87"/>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87"/>
      <c r="Q18" s="1352"/>
      <c r="R18" s="705"/>
      <c r="S18" s="706"/>
      <c r="T18" s="705"/>
      <c r="U18" s="706"/>
      <c r="V18" s="705"/>
      <c r="W18" s="706"/>
      <c r="X18" s="1355"/>
      <c r="Y18" s="3780"/>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87"/>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87"/>
      <c r="Q20" s="1352"/>
      <c r="R20" s="705"/>
      <c r="S20" s="706"/>
      <c r="T20" s="705"/>
      <c r="U20" s="706"/>
      <c r="V20" s="705"/>
      <c r="W20" s="706"/>
      <c r="X20" s="1355"/>
      <c r="Y20" s="3780"/>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87"/>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87"/>
      <c r="Q22" s="1352"/>
      <c r="R22" s="705"/>
      <c r="S22" s="706"/>
      <c r="T22" s="705"/>
      <c r="U22" s="706"/>
      <c r="V22" s="705"/>
      <c r="W22" s="706"/>
      <c r="X22" s="1355"/>
      <c r="Y22" s="3780"/>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87"/>
      <c r="Q23" s="1352" t="str">
        <f>B23</f>
        <v>自然及人文环境</v>
      </c>
      <c r="R23" s="705" t="s">
        <v>14</v>
      </c>
      <c r="S23" s="706">
        <f>F23</f>
        <v>100</v>
      </c>
      <c r="T23" s="705" t="s">
        <v>14</v>
      </c>
      <c r="U23" s="706">
        <f>H23</f>
        <v>100</v>
      </c>
      <c r="V23" s="705" t="s">
        <v>14</v>
      </c>
      <c r="W23" s="706">
        <f>J23</f>
        <v>100</v>
      </c>
      <c r="X23" s="1355"/>
      <c r="Y23" s="37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87"/>
      <c r="Q24" s="1352"/>
      <c r="R24" s="705"/>
      <c r="S24" s="706"/>
      <c r="T24" s="705"/>
      <c r="U24" s="706"/>
      <c r="V24" s="705"/>
      <c r="W24" s="706"/>
      <c r="X24" s="1355"/>
      <c r="Y24" s="378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87"/>
      <c r="Q25" s="1352" t="str">
        <f t="shared" ref="Q25:Q46" si="11">B25</f>
        <v>临街状况</v>
      </c>
      <c r="R25" s="705" t="s">
        <v>14</v>
      </c>
      <c r="S25" s="706">
        <f>F25</f>
        <v>100</v>
      </c>
      <c r="T25" s="705" t="s">
        <v>14</v>
      </c>
      <c r="U25" s="706">
        <f>H25</f>
        <v>100</v>
      </c>
      <c r="V25" s="705" t="s">
        <v>14</v>
      </c>
      <c r="W25" s="706">
        <f>J25</f>
        <v>100</v>
      </c>
      <c r="X25" s="1355"/>
      <c r="Y25" s="378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87"/>
      <c r="Q26" s="1352" t="str">
        <f t="shared" si="11"/>
        <v>平面位置/可视性</v>
      </c>
      <c r="R26" s="705" t="s">
        <v>14</v>
      </c>
      <c r="S26" s="706">
        <f>F26</f>
        <v>100</v>
      </c>
      <c r="T26" s="705" t="s">
        <v>14</v>
      </c>
      <c r="U26" s="706">
        <f>H26</f>
        <v>100</v>
      </c>
      <c r="V26" s="705" t="s">
        <v>14</v>
      </c>
      <c r="W26" s="706">
        <f>J26</f>
        <v>100</v>
      </c>
      <c r="X26" s="1355"/>
      <c r="Y26" s="378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87"/>
      <c r="Q27" s="1343" t="str">
        <f t="shared" si="11"/>
        <v>人流量</v>
      </c>
      <c r="R27" s="701" t="s">
        <v>14</v>
      </c>
      <c r="S27" s="702">
        <f>F27</f>
        <v>100</v>
      </c>
      <c r="T27" s="701" t="s">
        <v>14</v>
      </c>
      <c r="U27" s="702">
        <f>H27</f>
        <v>100</v>
      </c>
      <c r="V27" s="701" t="s">
        <v>14</v>
      </c>
      <c r="W27" s="702">
        <f>J27</f>
        <v>100</v>
      </c>
      <c r="X27" s="703"/>
      <c r="Y27" s="378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87"/>
      <c r="Q29" s="1352">
        <f t="shared" si="11"/>
        <v>111</v>
      </c>
      <c r="R29" s="705" t="s">
        <v>14</v>
      </c>
      <c r="S29" s="706">
        <f t="shared" si="12"/>
        <v>100</v>
      </c>
      <c r="T29" s="705" t="s">
        <v>14</v>
      </c>
      <c r="U29" s="706">
        <f t="shared" si="13"/>
        <v>100</v>
      </c>
      <c r="V29" s="705" t="s">
        <v>14</v>
      </c>
      <c r="W29" s="706">
        <f t="shared" si="14"/>
        <v>100</v>
      </c>
      <c r="X29" s="1355"/>
      <c r="Y29" s="37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87"/>
      <c r="Q30" s="1352">
        <f t="shared" si="11"/>
        <v>111</v>
      </c>
      <c r="R30" s="705" t="s">
        <v>14</v>
      </c>
      <c r="S30" s="706">
        <f t="shared" si="12"/>
        <v>100</v>
      </c>
      <c r="T30" s="705" t="s">
        <v>14</v>
      </c>
      <c r="U30" s="706">
        <f t="shared" si="13"/>
        <v>100</v>
      </c>
      <c r="V30" s="705" t="s">
        <v>14</v>
      </c>
      <c r="W30" s="706">
        <f t="shared" si="14"/>
        <v>100</v>
      </c>
      <c r="X30" s="1355"/>
      <c r="Y30" s="37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87"/>
      <c r="Q31" s="1352">
        <f t="shared" si="11"/>
        <v>111</v>
      </c>
      <c r="R31" s="705" t="s">
        <v>14</v>
      </c>
      <c r="S31" s="706">
        <f t="shared" si="12"/>
        <v>100</v>
      </c>
      <c r="T31" s="705" t="s">
        <v>14</v>
      </c>
      <c r="U31" s="706">
        <f t="shared" si="13"/>
        <v>100</v>
      </c>
      <c r="V31" s="705" t="s">
        <v>14</v>
      </c>
      <c r="W31" s="706">
        <f t="shared" si="14"/>
        <v>100</v>
      </c>
      <c r="X31" s="1355"/>
      <c r="Y31" s="378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81" t="s">
        <v>1695</v>
      </c>
      <c r="Q32" s="1352" t="str">
        <f t="shared" si="11"/>
        <v>商业类型</v>
      </c>
      <c r="R32" s="705" t="s">
        <v>14</v>
      </c>
      <c r="S32" s="706">
        <f t="shared" si="12"/>
        <v>100</v>
      </c>
      <c r="T32" s="705" t="s">
        <v>14</v>
      </c>
      <c r="U32" s="706">
        <f t="shared" si="13"/>
        <v>100</v>
      </c>
      <c r="V32" s="705" t="s">
        <v>14</v>
      </c>
      <c r="W32" s="706">
        <f t="shared" si="14"/>
        <v>100</v>
      </c>
      <c r="X32" s="1355"/>
      <c r="Y32" s="378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82"/>
      <c r="Q33" s="707" t="str">
        <f t="shared" si="11"/>
        <v>项目建筑规模</v>
      </c>
      <c r="R33" s="708" t="s">
        <v>14</v>
      </c>
      <c r="S33" s="709" t="e">
        <f t="shared" si="12"/>
        <v>#N/A</v>
      </c>
      <c r="T33" s="708" t="s">
        <v>14</v>
      </c>
      <c r="U33" s="709" t="e">
        <f t="shared" si="13"/>
        <v>#N/A</v>
      </c>
      <c r="V33" s="708" t="s">
        <v>14</v>
      </c>
      <c r="W33" s="709" t="e">
        <f t="shared" si="14"/>
        <v>#N/A</v>
      </c>
      <c r="X33" s="710"/>
      <c r="Y33" s="378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82"/>
      <c r="Q34" s="1352" t="str">
        <f t="shared" si="11"/>
        <v>建筑结构</v>
      </c>
      <c r="R34" s="705" t="s">
        <v>14</v>
      </c>
      <c r="S34" s="706">
        <f t="shared" si="12"/>
        <v>100</v>
      </c>
      <c r="T34" s="705" t="s">
        <v>14</v>
      </c>
      <c r="U34" s="706">
        <f t="shared" si="13"/>
        <v>100</v>
      </c>
      <c r="V34" s="705" t="s">
        <v>14</v>
      </c>
      <c r="W34" s="706">
        <f t="shared" si="14"/>
        <v>100</v>
      </c>
      <c r="X34" s="1355"/>
      <c r="Y34" s="378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82"/>
      <c r="Q35" s="1352" t="str">
        <f t="shared" si="11"/>
        <v>公共部分装修</v>
      </c>
      <c r="R35" s="705" t="s">
        <v>14</v>
      </c>
      <c r="S35" s="706">
        <f t="shared" si="12"/>
        <v>100</v>
      </c>
      <c r="T35" s="705" t="s">
        <v>14</v>
      </c>
      <c r="U35" s="706">
        <f t="shared" si="13"/>
        <v>100</v>
      </c>
      <c r="V35" s="705" t="s">
        <v>14</v>
      </c>
      <c r="W35" s="706">
        <f t="shared" si="14"/>
        <v>100</v>
      </c>
      <c r="X35" s="1355"/>
      <c r="Y35" s="378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82"/>
      <c r="Q36" s="1352" t="str">
        <f t="shared" si="11"/>
        <v>成新度</v>
      </c>
      <c r="R36" s="705" t="s">
        <v>14</v>
      </c>
      <c r="S36" s="706" t="e">
        <f t="shared" si="12"/>
        <v>#N/A</v>
      </c>
      <c r="T36" s="705" t="s">
        <v>14</v>
      </c>
      <c r="U36" s="706" t="e">
        <f t="shared" si="13"/>
        <v>#N/A</v>
      </c>
      <c r="V36" s="705" t="s">
        <v>14</v>
      </c>
      <c r="W36" s="706" t="e">
        <f t="shared" si="14"/>
        <v>#N/A</v>
      </c>
      <c r="X36" s="1355"/>
      <c r="Y36" s="378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82"/>
      <c r="Q37" s="1343" t="str">
        <f t="shared" si="11"/>
        <v>市政基础设施</v>
      </c>
      <c r="R37" s="701" t="s">
        <v>14</v>
      </c>
      <c r="S37" s="702">
        <f t="shared" si="12"/>
        <v>100</v>
      </c>
      <c r="T37" s="701" t="s">
        <v>14</v>
      </c>
      <c r="U37" s="702">
        <f t="shared" si="13"/>
        <v>100</v>
      </c>
      <c r="V37" s="701" t="s">
        <v>14</v>
      </c>
      <c r="W37" s="702">
        <f t="shared" si="14"/>
        <v>100</v>
      </c>
      <c r="X37" s="703"/>
      <c r="Y37" s="378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82" t="s">
        <v>1695</v>
      </c>
      <c r="Q38" s="1352" t="str">
        <f t="shared" si="11"/>
        <v>业态</v>
      </c>
      <c r="R38" s="705" t="s">
        <v>14</v>
      </c>
      <c r="S38" s="706">
        <f t="shared" si="12"/>
        <v>100</v>
      </c>
      <c r="T38" s="705" t="s">
        <v>14</v>
      </c>
      <c r="U38" s="706">
        <f t="shared" si="13"/>
        <v>100</v>
      </c>
      <c r="V38" s="705" t="s">
        <v>14</v>
      </c>
      <c r="W38" s="706">
        <f t="shared" si="14"/>
        <v>100</v>
      </c>
      <c r="X38" s="1355"/>
      <c r="Y38" s="378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82"/>
      <c r="Q39" s="1352" t="str">
        <f t="shared" si="11"/>
        <v>层高</v>
      </c>
      <c r="R39" s="705" t="s">
        <v>14</v>
      </c>
      <c r="S39" s="706">
        <f t="shared" si="12"/>
        <v>100</v>
      </c>
      <c r="T39" s="705" t="s">
        <v>14</v>
      </c>
      <c r="U39" s="706">
        <f t="shared" si="13"/>
        <v>100</v>
      </c>
      <c r="V39" s="705" t="s">
        <v>14</v>
      </c>
      <c r="W39" s="706">
        <f t="shared" si="14"/>
        <v>100</v>
      </c>
      <c r="X39" s="1355"/>
      <c r="Y39" s="378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82"/>
      <c r="Q40" s="1352" t="str">
        <f t="shared" si="11"/>
        <v>单套建筑面积</v>
      </c>
      <c r="R40" s="705" t="s">
        <v>14</v>
      </c>
      <c r="S40" s="706">
        <f t="shared" si="12"/>
        <v>100</v>
      </c>
      <c r="T40" s="705" t="s">
        <v>14</v>
      </c>
      <c r="U40" s="706">
        <f t="shared" si="13"/>
        <v>100</v>
      </c>
      <c r="V40" s="705" t="s">
        <v>14</v>
      </c>
      <c r="W40" s="706">
        <f t="shared" si="14"/>
        <v>100</v>
      </c>
      <c r="X40" s="1355"/>
      <c r="Y40" s="378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82"/>
      <c r="Q41" s="707" t="str">
        <f t="shared" si="11"/>
        <v>进深比</v>
      </c>
      <c r="R41" s="708" t="s">
        <v>14</v>
      </c>
      <c r="S41" s="709">
        <f t="shared" si="12"/>
        <v>100</v>
      </c>
      <c r="T41" s="708" t="s">
        <v>14</v>
      </c>
      <c r="U41" s="709">
        <f t="shared" si="13"/>
        <v>100</v>
      </c>
      <c r="V41" s="708" t="s">
        <v>14</v>
      </c>
      <c r="W41" s="709">
        <f t="shared" si="14"/>
        <v>100</v>
      </c>
      <c r="X41" s="710"/>
      <c r="Y41" s="378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82"/>
      <c r="Q42" s="1352" t="str">
        <f t="shared" si="11"/>
        <v>内部装修</v>
      </c>
      <c r="R42" s="705" t="s">
        <v>14</v>
      </c>
      <c r="S42" s="706">
        <f t="shared" si="12"/>
        <v>100</v>
      </c>
      <c r="T42" s="705" t="s">
        <v>14</v>
      </c>
      <c r="U42" s="706">
        <f t="shared" si="13"/>
        <v>100</v>
      </c>
      <c r="V42" s="705" t="s">
        <v>14</v>
      </c>
      <c r="W42" s="706">
        <f t="shared" si="14"/>
        <v>100</v>
      </c>
      <c r="X42" s="1355"/>
      <c r="Y42" s="3784"/>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82"/>
      <c r="Q43" s="1352" t="str">
        <f t="shared" si="11"/>
        <v>内部装修维护情况</v>
      </c>
      <c r="R43" s="705" t="s">
        <v>14</v>
      </c>
      <c r="S43" s="706">
        <f t="shared" si="12"/>
        <v>100</v>
      </c>
      <c r="T43" s="705" t="s">
        <v>14</v>
      </c>
      <c r="U43" s="706">
        <f t="shared" si="13"/>
        <v>100</v>
      </c>
      <c r="V43" s="705" t="s">
        <v>14</v>
      </c>
      <c r="W43" s="706">
        <f t="shared" si="14"/>
        <v>100</v>
      </c>
      <c r="X43" s="1355"/>
      <c r="Y43" s="37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82"/>
      <c r="Q44" s="1343">
        <f t="shared" si="11"/>
        <v>111</v>
      </c>
      <c r="R44" s="701" t="s">
        <v>14</v>
      </c>
      <c r="S44" s="702">
        <f t="shared" si="12"/>
        <v>100</v>
      </c>
      <c r="T44" s="701" t="s">
        <v>14</v>
      </c>
      <c r="U44" s="702">
        <f t="shared" si="13"/>
        <v>100</v>
      </c>
      <c r="V44" s="701" t="s">
        <v>14</v>
      </c>
      <c r="W44" s="702">
        <f t="shared" si="14"/>
        <v>100</v>
      </c>
      <c r="X44" s="703"/>
      <c r="Y44" s="37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82"/>
      <c r="Q45" s="1352">
        <f t="shared" si="11"/>
        <v>111</v>
      </c>
      <c r="R45" s="705" t="s">
        <v>14</v>
      </c>
      <c r="S45" s="706">
        <f t="shared" si="12"/>
        <v>100</v>
      </c>
      <c r="T45" s="705" t="s">
        <v>14</v>
      </c>
      <c r="U45" s="706">
        <f t="shared" si="13"/>
        <v>100</v>
      </c>
      <c r="V45" s="705" t="s">
        <v>14</v>
      </c>
      <c r="W45" s="706">
        <f t="shared" si="14"/>
        <v>100</v>
      </c>
      <c r="X45" s="1355"/>
      <c r="Y45" s="37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83"/>
      <c r="Q46" s="1352">
        <f t="shared" si="11"/>
        <v>111</v>
      </c>
      <c r="R46" s="705" t="s">
        <v>14</v>
      </c>
      <c r="S46" s="706">
        <f t="shared" si="12"/>
        <v>100</v>
      </c>
      <c r="T46" s="705" t="s">
        <v>14</v>
      </c>
      <c r="U46" s="706">
        <f t="shared" si="13"/>
        <v>100</v>
      </c>
      <c r="V46" s="705" t="s">
        <v>14</v>
      </c>
      <c r="W46" s="706">
        <f t="shared" si="14"/>
        <v>100</v>
      </c>
      <c r="X46" s="1355"/>
      <c r="Y46" s="3785"/>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77" t="str">
        <f>A47</f>
        <v>成交单价（元/平方米）</v>
      </c>
      <c r="Q47" s="3777"/>
      <c r="R47" s="3772">
        <f>E47</f>
        <v>0</v>
      </c>
      <c r="S47" s="3772"/>
      <c r="T47" s="3772">
        <f>G47</f>
        <v>0</v>
      </c>
      <c r="U47" s="3772"/>
      <c r="V47" s="3772">
        <f>I47</f>
        <v>0</v>
      </c>
      <c r="W47" s="3772"/>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77" t="str">
        <f>A48</f>
        <v>比较价值（元/平方米）</v>
      </c>
      <c r="Q48" s="3777"/>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受贵公司委托，我公司对北京市通州区宋庄镇尹各庄村新建科研用地房地产抵押价值进行了预评估。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估价对象为北京市通州区宋庄镇尹各庄村新建科研用地房地产，为汇天网络所有。根据《国有土地使用证》[]，估价对象（分摊）出让国有建设用地使用权面积为95778.03平方米，建筑面积为292137.36平方米。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开发建设的，该项目尚在开发建设中。根据《国有土地使用证》[]，估价对象（分摊）出让国有建设用地使用权面积为95778.03平方米，规划建筑面积为292137.36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292137.36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94" t="s">
        <v>1774</v>
      </c>
      <c r="Q4" s="3795"/>
      <c r="R4" s="3789" t="s">
        <v>1770</v>
      </c>
      <c r="S4" s="3790"/>
      <c r="T4" s="3789" t="s">
        <v>1771</v>
      </c>
      <c r="U4" s="3790"/>
      <c r="V4" s="3798" t="s">
        <v>1772</v>
      </c>
      <c r="W4" s="3798"/>
      <c r="X4" s="1958"/>
      <c r="Y4" s="3789" t="s">
        <v>1774</v>
      </c>
      <c r="Z4" s="3790"/>
      <c r="AA4" s="3788" t="s">
        <v>1770</v>
      </c>
      <c r="AB4" s="3788" t="s">
        <v>1771</v>
      </c>
      <c r="AC4" s="3791" t="s">
        <v>1772</v>
      </c>
    </row>
    <row r="5" spans="1:29" ht="15">
      <c r="A5" s="358"/>
      <c r="B5" s="359"/>
      <c r="C5" s="3753" t="s">
        <v>1672</v>
      </c>
      <c r="D5" s="3754"/>
      <c r="E5" s="3751" t="s">
        <v>1673</v>
      </c>
      <c r="F5" s="3752"/>
      <c r="G5" s="3753" t="s">
        <v>1674</v>
      </c>
      <c r="H5" s="3754"/>
      <c r="I5" s="3753" t="s">
        <v>1675</v>
      </c>
      <c r="J5" s="3754"/>
      <c r="K5" s="559"/>
      <c r="L5" s="2713"/>
      <c r="M5" s="2714"/>
      <c r="N5" s="2714"/>
      <c r="O5" s="2714"/>
      <c r="P5" s="3796"/>
      <c r="Q5" s="3767"/>
      <c r="R5" s="3749"/>
      <c r="S5" s="3750"/>
      <c r="T5" s="3749"/>
      <c r="U5" s="3750"/>
      <c r="V5" s="3772"/>
      <c r="W5" s="3772"/>
      <c r="X5" s="1355"/>
      <c r="Y5" s="3749"/>
      <c r="Z5" s="3750"/>
      <c r="AA5" s="3743"/>
      <c r="AB5" s="3743"/>
      <c r="AC5" s="3792"/>
    </row>
    <row r="6" spans="1:29" ht="15.75" thickBot="1">
      <c r="A6" s="360"/>
      <c r="B6" s="361"/>
      <c r="C6" s="3755" t="s">
        <v>1676</v>
      </c>
      <c r="D6" s="3756"/>
      <c r="E6" s="3757" t="s">
        <v>1676</v>
      </c>
      <c r="F6" s="3758"/>
      <c r="G6" s="3755" t="s">
        <v>1676</v>
      </c>
      <c r="H6" s="3756"/>
      <c r="I6" s="3755" t="s">
        <v>1676</v>
      </c>
      <c r="J6" s="3756"/>
      <c r="K6" s="559" t="s">
        <v>1677</v>
      </c>
      <c r="L6" s="2713"/>
      <c r="M6" s="2714"/>
      <c r="N6" s="2714"/>
      <c r="O6" s="2714"/>
      <c r="P6" s="3797"/>
      <c r="Q6" s="3769"/>
      <c r="R6" s="3749"/>
      <c r="S6" s="3750"/>
      <c r="T6" s="3770"/>
      <c r="U6" s="3771"/>
      <c r="V6" s="3772"/>
      <c r="W6" s="3772"/>
      <c r="X6" s="1355"/>
      <c r="Y6" s="3770"/>
      <c r="Z6" s="3771"/>
      <c r="AA6" s="3744"/>
      <c r="AB6" s="3744"/>
      <c r="AC6" s="3793"/>
    </row>
    <row r="7" spans="1:29" s="108" customFormat="1" ht="15.75" thickBot="1">
      <c r="A7" s="362" t="s">
        <v>1678</v>
      </c>
      <c r="B7" s="363"/>
      <c r="C7" s="364">
        <f>'数据-取费表'!B2</f>
        <v>45631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99" t="s">
        <v>1679</v>
      </c>
      <c r="Q7" s="3773"/>
      <c r="R7" s="701" t="s">
        <v>14</v>
      </c>
      <c r="S7" s="702">
        <f t="shared" ref="S7:S15" si="0">F7</f>
        <v>0</v>
      </c>
      <c r="T7" s="701" t="s">
        <v>14</v>
      </c>
      <c r="U7" s="702">
        <f t="shared" ref="U7:U15" si="1">H7</f>
        <v>0</v>
      </c>
      <c r="V7" s="701" t="s">
        <v>14</v>
      </c>
      <c r="W7" s="702">
        <f t="shared" ref="W7:W15" si="2">J7</f>
        <v>0</v>
      </c>
      <c r="X7" s="703"/>
      <c r="Y7" s="3745" t="s">
        <v>1679</v>
      </c>
      <c r="Z7" s="3746"/>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99" t="s">
        <v>1682</v>
      </c>
      <c r="Q8" s="3746"/>
      <c r="R8" s="701" t="s">
        <v>14</v>
      </c>
      <c r="S8" s="702">
        <f t="shared" si="0"/>
        <v>100</v>
      </c>
      <c r="T8" s="701" t="s">
        <v>14</v>
      </c>
      <c r="U8" s="702">
        <f t="shared" si="1"/>
        <v>100</v>
      </c>
      <c r="V8" s="701" t="s">
        <v>14</v>
      </c>
      <c r="W8" s="702">
        <f t="shared" si="2"/>
        <v>100</v>
      </c>
      <c r="X8" s="703"/>
      <c r="Y8" s="3745" t="s">
        <v>1682</v>
      </c>
      <c r="Z8" s="3746"/>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59" t="s">
        <v>1685</v>
      </c>
      <c r="Q9" s="1343" t="str">
        <f t="shared" ref="Q9:Q15" si="6">B9</f>
        <v>用途</v>
      </c>
      <c r="R9" s="701" t="s">
        <v>14</v>
      </c>
      <c r="S9" s="702">
        <f t="shared" si="0"/>
        <v>100</v>
      </c>
      <c r="T9" s="701" t="s">
        <v>14</v>
      </c>
      <c r="U9" s="702">
        <f t="shared" si="1"/>
        <v>100</v>
      </c>
      <c r="V9" s="701" t="s">
        <v>14</v>
      </c>
      <c r="W9" s="702">
        <f t="shared" si="2"/>
        <v>100</v>
      </c>
      <c r="X9" s="703"/>
      <c r="Y9" s="3662"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59"/>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59"/>
      <c r="Q11" s="1343" t="str">
        <f t="shared" si="6"/>
        <v>容积率</v>
      </c>
      <c r="R11" s="701" t="s">
        <v>14</v>
      </c>
      <c r="S11" s="702">
        <f t="shared" si="0"/>
        <v>100</v>
      </c>
      <c r="T11" s="701" t="s">
        <v>14</v>
      </c>
      <c r="U11" s="702">
        <f t="shared" si="1"/>
        <v>100</v>
      </c>
      <c r="V11" s="701" t="s">
        <v>14</v>
      </c>
      <c r="W11" s="702">
        <f t="shared" si="2"/>
        <v>100</v>
      </c>
      <c r="X11" s="703"/>
      <c r="Y11" s="366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59"/>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59"/>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59"/>
      <c r="Q14" s="1343">
        <f t="shared" si="6"/>
        <v>111</v>
      </c>
      <c r="R14" s="701" t="s">
        <v>14</v>
      </c>
      <c r="S14" s="702">
        <f t="shared" si="0"/>
        <v>100</v>
      </c>
      <c r="T14" s="701" t="s">
        <v>14</v>
      </c>
      <c r="U14" s="702">
        <f t="shared" si="1"/>
        <v>100</v>
      </c>
      <c r="V14" s="701" t="s">
        <v>14</v>
      </c>
      <c r="W14" s="702">
        <f t="shared" si="2"/>
        <v>100</v>
      </c>
      <c r="X14" s="703"/>
      <c r="Y14" s="3662"/>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86" t="s">
        <v>1690</v>
      </c>
      <c r="Q15" s="1352" t="str">
        <f t="shared" si="6"/>
        <v>办公集聚程度</v>
      </c>
      <c r="R15" s="705" t="s">
        <v>14</v>
      </c>
      <c r="S15" s="706">
        <f t="shared" si="0"/>
        <v>100</v>
      </c>
      <c r="T15" s="705" t="s">
        <v>14</v>
      </c>
      <c r="U15" s="706">
        <f t="shared" si="1"/>
        <v>100</v>
      </c>
      <c r="V15" s="705" t="s">
        <v>14</v>
      </c>
      <c r="W15" s="706">
        <f t="shared" si="2"/>
        <v>100</v>
      </c>
      <c r="X15" s="1355"/>
      <c r="Y15" s="3779"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87"/>
      <c r="Q16" s="1352"/>
      <c r="R16" s="705"/>
      <c r="S16" s="706"/>
      <c r="T16" s="705"/>
      <c r="U16" s="706"/>
      <c r="V16" s="705"/>
      <c r="W16" s="706"/>
      <c r="X16" s="1355"/>
      <c r="Y16" s="3780"/>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87"/>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87"/>
      <c r="Q18" s="1352"/>
      <c r="R18" s="705"/>
      <c r="S18" s="706"/>
      <c r="T18" s="705"/>
      <c r="U18" s="706"/>
      <c r="V18" s="705"/>
      <c r="W18" s="706"/>
      <c r="X18" s="1355"/>
      <c r="Y18" s="3780"/>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87"/>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87"/>
      <c r="Q20" s="1352"/>
      <c r="R20" s="705"/>
      <c r="S20" s="706"/>
      <c r="T20" s="705"/>
      <c r="U20" s="706"/>
      <c r="V20" s="705"/>
      <c r="W20" s="706"/>
      <c r="X20" s="1355"/>
      <c r="Y20" s="3780"/>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87"/>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87"/>
      <c r="Q22" s="1352"/>
      <c r="R22" s="705"/>
      <c r="S22" s="706"/>
      <c r="T22" s="705"/>
      <c r="U22" s="706"/>
      <c r="V22" s="705"/>
      <c r="W22" s="706"/>
      <c r="X22" s="1355"/>
      <c r="Y22" s="3780"/>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87"/>
      <c r="Q23" s="1352" t="str">
        <f>B23</f>
        <v>环境质量</v>
      </c>
      <c r="R23" s="705" t="s">
        <v>14</v>
      </c>
      <c r="S23" s="706">
        <f>F23</f>
        <v>100</v>
      </c>
      <c r="T23" s="705" t="s">
        <v>14</v>
      </c>
      <c r="U23" s="706">
        <f>H23</f>
        <v>100</v>
      </c>
      <c r="V23" s="705" t="s">
        <v>14</v>
      </c>
      <c r="W23" s="706">
        <f>J23</f>
        <v>100</v>
      </c>
      <c r="X23" s="1355"/>
      <c r="Y23" s="37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87"/>
      <c r="Q24" s="1352"/>
      <c r="R24" s="705"/>
      <c r="S24" s="706"/>
      <c r="T24" s="705"/>
      <c r="U24" s="706"/>
      <c r="V24" s="705"/>
      <c r="W24" s="706"/>
      <c r="X24" s="1355"/>
      <c r="Y24" s="378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87"/>
      <c r="Q25" s="1352" t="str">
        <f>B25</f>
        <v>毗邻道路的类型与等级</v>
      </c>
      <c r="R25" s="705" t="s">
        <v>14</v>
      </c>
      <c r="S25" s="706">
        <f>F25</f>
        <v>100</v>
      </c>
      <c r="T25" s="705" t="s">
        <v>14</v>
      </c>
      <c r="U25" s="706">
        <f>H25</f>
        <v>100</v>
      </c>
      <c r="V25" s="705" t="s">
        <v>14</v>
      </c>
      <c r="W25" s="706">
        <f>J25</f>
        <v>100</v>
      </c>
      <c r="X25" s="1355"/>
      <c r="Y25" s="37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87"/>
      <c r="Q26" s="1352"/>
      <c r="R26" s="705"/>
      <c r="S26" s="706"/>
      <c r="T26" s="705"/>
      <c r="U26" s="706"/>
      <c r="V26" s="705"/>
      <c r="W26" s="706"/>
      <c r="X26" s="1355"/>
      <c r="Y26" s="378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87"/>
      <c r="Q27" s="1352" t="str">
        <f t="shared" ref="Q27:Q47" si="11">B27</f>
        <v>楼层</v>
      </c>
      <c r="R27" s="705" t="s">
        <v>14</v>
      </c>
      <c r="S27" s="706">
        <f>F27</f>
        <v>100</v>
      </c>
      <c r="T27" s="705" t="s">
        <v>14</v>
      </c>
      <c r="U27" s="706">
        <f>H27</f>
        <v>100</v>
      </c>
      <c r="V27" s="705" t="s">
        <v>14</v>
      </c>
      <c r="W27" s="706">
        <f>J27</f>
        <v>100</v>
      </c>
      <c r="X27" s="1355"/>
      <c r="Y27" s="378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87"/>
      <c r="Q28" s="1343" t="str">
        <f t="shared" si="11"/>
        <v>朝向</v>
      </c>
      <c r="R28" s="701" t="s">
        <v>14</v>
      </c>
      <c r="S28" s="702">
        <f>F28</f>
        <v>100</v>
      </c>
      <c r="T28" s="701" t="s">
        <v>14</v>
      </c>
      <c r="U28" s="702">
        <f>H28</f>
        <v>100</v>
      </c>
      <c r="V28" s="701" t="s">
        <v>14</v>
      </c>
      <c r="W28" s="702">
        <f>J28</f>
        <v>100</v>
      </c>
      <c r="X28" s="703"/>
      <c r="Y28" s="37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87"/>
      <c r="Q29" s="1352">
        <f t="shared" si="11"/>
        <v>111</v>
      </c>
      <c r="R29" s="705" t="s">
        <v>14</v>
      </c>
      <c r="S29" s="706">
        <f t="shared" ref="S29:S47" si="12">F29</f>
        <v>100</v>
      </c>
      <c r="T29" s="705" t="s">
        <v>14</v>
      </c>
      <c r="U29" s="706">
        <f t="shared" ref="U29:U47" si="13">H29</f>
        <v>100</v>
      </c>
      <c r="V29" s="705" t="s">
        <v>14</v>
      </c>
      <c r="W29" s="706">
        <f t="shared" ref="W29:W47" si="14">J29</f>
        <v>100</v>
      </c>
      <c r="X29" s="1355"/>
      <c r="Y29" s="37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87"/>
      <c r="Q30" s="1352">
        <f t="shared" si="11"/>
        <v>111</v>
      </c>
      <c r="R30" s="705" t="s">
        <v>14</v>
      </c>
      <c r="S30" s="706">
        <f t="shared" si="12"/>
        <v>100</v>
      </c>
      <c r="T30" s="705" t="s">
        <v>14</v>
      </c>
      <c r="U30" s="706">
        <f t="shared" si="13"/>
        <v>100</v>
      </c>
      <c r="V30" s="705" t="s">
        <v>14</v>
      </c>
      <c r="W30" s="706">
        <f t="shared" si="14"/>
        <v>100</v>
      </c>
      <c r="X30" s="1355"/>
      <c r="Y30" s="37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87"/>
      <c r="Q31" s="1352">
        <f t="shared" si="11"/>
        <v>111</v>
      </c>
      <c r="R31" s="705" t="s">
        <v>14</v>
      </c>
      <c r="S31" s="706">
        <f t="shared" si="12"/>
        <v>100</v>
      </c>
      <c r="T31" s="705" t="s">
        <v>14</v>
      </c>
      <c r="U31" s="706">
        <f t="shared" si="13"/>
        <v>100</v>
      </c>
      <c r="V31" s="705" t="s">
        <v>14</v>
      </c>
      <c r="W31" s="706">
        <f t="shared" si="14"/>
        <v>100</v>
      </c>
      <c r="X31" s="1355"/>
      <c r="Y31" s="37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87"/>
      <c r="Q32" s="1352">
        <f t="shared" si="11"/>
        <v>111</v>
      </c>
      <c r="R32" s="705" t="s">
        <v>14</v>
      </c>
      <c r="S32" s="706">
        <f t="shared" si="12"/>
        <v>100</v>
      </c>
      <c r="T32" s="705" t="s">
        <v>14</v>
      </c>
      <c r="U32" s="706">
        <f t="shared" si="13"/>
        <v>100</v>
      </c>
      <c r="V32" s="705" t="s">
        <v>14</v>
      </c>
      <c r="W32" s="706">
        <f t="shared" si="14"/>
        <v>100</v>
      </c>
      <c r="X32" s="1355"/>
      <c r="Y32" s="378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81" t="s">
        <v>1695</v>
      </c>
      <c r="Q33" s="1352" t="str">
        <f t="shared" si="11"/>
        <v>建筑类型</v>
      </c>
      <c r="R33" s="705" t="s">
        <v>14</v>
      </c>
      <c r="S33" s="706">
        <f t="shared" si="12"/>
        <v>100</v>
      </c>
      <c r="T33" s="705" t="s">
        <v>14</v>
      </c>
      <c r="U33" s="706">
        <f t="shared" si="13"/>
        <v>100</v>
      </c>
      <c r="V33" s="705" t="s">
        <v>14</v>
      </c>
      <c r="W33" s="706">
        <f t="shared" si="14"/>
        <v>100</v>
      </c>
      <c r="X33" s="1355"/>
      <c r="Y33" s="378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82"/>
      <c r="Q34" s="707" t="str">
        <f t="shared" si="11"/>
        <v>项目建筑规模</v>
      </c>
      <c r="R34" s="708" t="s">
        <v>14</v>
      </c>
      <c r="S34" s="709" t="e">
        <f t="shared" si="12"/>
        <v>#N/A</v>
      </c>
      <c r="T34" s="708" t="s">
        <v>14</v>
      </c>
      <c r="U34" s="709" t="e">
        <f t="shared" si="13"/>
        <v>#N/A</v>
      </c>
      <c r="V34" s="708" t="s">
        <v>14</v>
      </c>
      <c r="W34" s="709" t="e">
        <f t="shared" si="14"/>
        <v>#N/A</v>
      </c>
      <c r="X34" s="710"/>
      <c r="Y34" s="3784"/>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82"/>
      <c r="Q35" s="1352" t="str">
        <f t="shared" si="11"/>
        <v>建筑结构</v>
      </c>
      <c r="R35" s="705" t="s">
        <v>14</v>
      </c>
      <c r="S35" s="706">
        <f t="shared" si="12"/>
        <v>100</v>
      </c>
      <c r="T35" s="705" t="s">
        <v>14</v>
      </c>
      <c r="U35" s="706">
        <f t="shared" si="13"/>
        <v>100</v>
      </c>
      <c r="V35" s="705" t="s">
        <v>14</v>
      </c>
      <c r="W35" s="706">
        <f t="shared" si="14"/>
        <v>100</v>
      </c>
      <c r="X35" s="1355"/>
      <c r="Y35" s="378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82"/>
      <c r="Q36" s="1352" t="str">
        <f t="shared" si="11"/>
        <v>公共部分装修</v>
      </c>
      <c r="R36" s="705" t="s">
        <v>14</v>
      </c>
      <c r="S36" s="706">
        <f t="shared" si="12"/>
        <v>100</v>
      </c>
      <c r="T36" s="705" t="s">
        <v>14</v>
      </c>
      <c r="U36" s="706">
        <f t="shared" si="13"/>
        <v>100</v>
      </c>
      <c r="V36" s="705" t="s">
        <v>14</v>
      </c>
      <c r="W36" s="706">
        <f t="shared" si="14"/>
        <v>100</v>
      </c>
      <c r="X36" s="1355"/>
      <c r="Y36" s="378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82"/>
      <c r="Q37" s="1352" t="str">
        <f t="shared" si="11"/>
        <v>成新度</v>
      </c>
      <c r="R37" s="705" t="s">
        <v>14</v>
      </c>
      <c r="S37" s="706" t="e">
        <f t="shared" si="12"/>
        <v>#N/A</v>
      </c>
      <c r="T37" s="705" t="s">
        <v>14</v>
      </c>
      <c r="U37" s="706" t="e">
        <f t="shared" si="13"/>
        <v>#N/A</v>
      </c>
      <c r="V37" s="705" t="s">
        <v>14</v>
      </c>
      <c r="W37" s="706" t="e">
        <f t="shared" si="14"/>
        <v>#N/A</v>
      </c>
      <c r="X37" s="1355"/>
      <c r="Y37" s="378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82"/>
      <c r="Q38" s="1343" t="str">
        <f t="shared" si="11"/>
        <v>写字楼等级</v>
      </c>
      <c r="R38" s="701" t="s">
        <v>14</v>
      </c>
      <c r="S38" s="702">
        <f t="shared" si="12"/>
        <v>100</v>
      </c>
      <c r="T38" s="701" t="s">
        <v>14</v>
      </c>
      <c r="U38" s="702">
        <f t="shared" si="13"/>
        <v>100</v>
      </c>
      <c r="V38" s="701" t="s">
        <v>14</v>
      </c>
      <c r="W38" s="702">
        <f t="shared" si="14"/>
        <v>100</v>
      </c>
      <c r="X38" s="703"/>
      <c r="Y38" s="378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82" t="s">
        <v>1695</v>
      </c>
      <c r="Q39" s="1352" t="str">
        <f t="shared" si="11"/>
        <v>物业管理</v>
      </c>
      <c r="R39" s="705" t="s">
        <v>14</v>
      </c>
      <c r="S39" s="706">
        <f t="shared" si="12"/>
        <v>100</v>
      </c>
      <c r="T39" s="705" t="s">
        <v>14</v>
      </c>
      <c r="U39" s="706">
        <f t="shared" si="13"/>
        <v>100</v>
      </c>
      <c r="V39" s="705" t="s">
        <v>14</v>
      </c>
      <c r="W39" s="706">
        <f t="shared" si="14"/>
        <v>100</v>
      </c>
      <c r="X39" s="1355"/>
      <c r="Y39" s="378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82"/>
      <c r="Q40" s="1352" t="str">
        <f t="shared" si="11"/>
        <v>市政基础设施</v>
      </c>
      <c r="R40" s="705" t="s">
        <v>14</v>
      </c>
      <c r="S40" s="706">
        <f t="shared" si="12"/>
        <v>100</v>
      </c>
      <c r="T40" s="705" t="s">
        <v>14</v>
      </c>
      <c r="U40" s="706">
        <f t="shared" si="13"/>
        <v>100</v>
      </c>
      <c r="V40" s="705" t="s">
        <v>14</v>
      </c>
      <c r="W40" s="706">
        <f t="shared" si="14"/>
        <v>100</v>
      </c>
      <c r="X40" s="1355"/>
      <c r="Y40" s="378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82"/>
      <c r="Q41" s="1352" t="str">
        <f t="shared" si="11"/>
        <v>层高</v>
      </c>
      <c r="R41" s="705" t="s">
        <v>14</v>
      </c>
      <c r="S41" s="706">
        <f t="shared" si="12"/>
        <v>100</v>
      </c>
      <c r="T41" s="705" t="s">
        <v>14</v>
      </c>
      <c r="U41" s="706">
        <f t="shared" si="13"/>
        <v>100</v>
      </c>
      <c r="V41" s="705" t="s">
        <v>14</v>
      </c>
      <c r="W41" s="706">
        <f t="shared" si="14"/>
        <v>100</v>
      </c>
      <c r="X41" s="1355"/>
      <c r="Y41" s="378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82"/>
      <c r="Q42" s="707" t="str">
        <f t="shared" si="11"/>
        <v>单套建筑面积</v>
      </c>
      <c r="R42" s="708" t="s">
        <v>14</v>
      </c>
      <c r="S42" s="709">
        <f t="shared" si="12"/>
        <v>100</v>
      </c>
      <c r="T42" s="708" t="s">
        <v>14</v>
      </c>
      <c r="U42" s="709">
        <f t="shared" si="13"/>
        <v>100</v>
      </c>
      <c r="V42" s="708" t="s">
        <v>14</v>
      </c>
      <c r="W42" s="709">
        <f t="shared" si="14"/>
        <v>100</v>
      </c>
      <c r="X42" s="710"/>
      <c r="Y42" s="378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82"/>
      <c r="Q43" s="1352" t="str">
        <f t="shared" si="11"/>
        <v>内部装修</v>
      </c>
      <c r="R43" s="705" t="s">
        <v>14</v>
      </c>
      <c r="S43" s="706">
        <f t="shared" si="12"/>
        <v>100</v>
      </c>
      <c r="T43" s="705" t="s">
        <v>14</v>
      </c>
      <c r="U43" s="706">
        <f t="shared" si="13"/>
        <v>100</v>
      </c>
      <c r="V43" s="705" t="s">
        <v>14</v>
      </c>
      <c r="W43" s="706">
        <f t="shared" si="14"/>
        <v>100</v>
      </c>
      <c r="X43" s="1355"/>
      <c r="Y43" s="3784"/>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82"/>
      <c r="Q44" s="1352" t="str">
        <f t="shared" si="11"/>
        <v>内部装修维护情况</v>
      </c>
      <c r="R44" s="705" t="s">
        <v>14</v>
      </c>
      <c r="S44" s="706">
        <f t="shared" si="12"/>
        <v>100</v>
      </c>
      <c r="T44" s="705" t="s">
        <v>14</v>
      </c>
      <c r="U44" s="706">
        <f t="shared" si="13"/>
        <v>100</v>
      </c>
      <c r="V44" s="705" t="s">
        <v>14</v>
      </c>
      <c r="W44" s="706">
        <f t="shared" si="14"/>
        <v>100</v>
      </c>
      <c r="X44" s="1355"/>
      <c r="Y44" s="37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82"/>
      <c r="Q45" s="1343">
        <f t="shared" si="11"/>
        <v>111</v>
      </c>
      <c r="R45" s="701" t="s">
        <v>14</v>
      </c>
      <c r="S45" s="702">
        <f t="shared" si="12"/>
        <v>100</v>
      </c>
      <c r="T45" s="701" t="s">
        <v>14</v>
      </c>
      <c r="U45" s="702">
        <f t="shared" si="13"/>
        <v>100</v>
      </c>
      <c r="V45" s="701" t="s">
        <v>14</v>
      </c>
      <c r="W45" s="702">
        <f t="shared" si="14"/>
        <v>100</v>
      </c>
      <c r="X45" s="703"/>
      <c r="Y45" s="37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82"/>
      <c r="Q46" s="1352">
        <f t="shared" si="11"/>
        <v>111</v>
      </c>
      <c r="R46" s="705" t="s">
        <v>14</v>
      </c>
      <c r="S46" s="706">
        <f t="shared" si="12"/>
        <v>100</v>
      </c>
      <c r="T46" s="705" t="s">
        <v>14</v>
      </c>
      <c r="U46" s="706">
        <f t="shared" si="13"/>
        <v>100</v>
      </c>
      <c r="V46" s="705" t="s">
        <v>14</v>
      </c>
      <c r="W46" s="706">
        <f t="shared" si="14"/>
        <v>100</v>
      </c>
      <c r="X46" s="1355"/>
      <c r="Y46" s="37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83"/>
      <c r="Q47" s="1352">
        <f t="shared" si="11"/>
        <v>111</v>
      </c>
      <c r="R47" s="705" t="s">
        <v>14</v>
      </c>
      <c r="S47" s="706">
        <f t="shared" si="12"/>
        <v>100</v>
      </c>
      <c r="T47" s="705" t="s">
        <v>14</v>
      </c>
      <c r="U47" s="706">
        <f t="shared" si="13"/>
        <v>100</v>
      </c>
      <c r="V47" s="705" t="s">
        <v>14</v>
      </c>
      <c r="W47" s="706">
        <f t="shared" si="14"/>
        <v>100</v>
      </c>
      <c r="X47" s="1355"/>
      <c r="Y47" s="3785"/>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59" t="str">
        <f>A48</f>
        <v>成交单价（元/平方米）</v>
      </c>
      <c r="Q48" s="3777"/>
      <c r="R48" s="3778">
        <f>E48</f>
        <v>0</v>
      </c>
      <c r="S48" s="3778"/>
      <c r="T48" s="3778">
        <f>G48</f>
        <v>0</v>
      </c>
      <c r="U48" s="3778"/>
      <c r="V48" s="3778">
        <f>I48</f>
        <v>0</v>
      </c>
      <c r="W48" s="3778"/>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759" t="str">
        <f>A49</f>
        <v>比较价值（元/平方米）</v>
      </c>
      <c r="Q49" s="3777"/>
      <c r="R49" s="3778" t="e">
        <f>IF(F1="售价",ROUND(PRODUCT(R48,AA7:AA47),0),ROUND(PRODUCT(R48,AA7:AA47),1))</f>
        <v>#DIV/0!</v>
      </c>
      <c r="S49" s="3778"/>
      <c r="T49" s="3778" t="e">
        <f>IF(F1="售价",ROUND(PRODUCT(T48,AB7:AB47),0),ROUND(PRODUCT(T48,AB7:AB47),1))</f>
        <v>#DIV/0!</v>
      </c>
      <c r="U49" s="3778"/>
      <c r="V49" s="3778" t="e">
        <f>IF(F1="售价",ROUND(PRODUCT(V48,AC7:AC47),0),ROUND(PRODUCT(V48,AC7:AC47),1))</f>
        <v>#DIV/0!</v>
      </c>
      <c r="W49" s="377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800" t="str">
        <f>A50</f>
        <v>估价对象XX用房的比较价值（楼面单价，元/平方米）</v>
      </c>
      <c r="Q50" s="3801"/>
      <c r="R50" s="3802" t="e">
        <f>IF(F1="售价",ROUND(IF(D49="简单平均",AVERAGE(R49:V49),R49*F49+T49*H49+V49*J49),0),ROUND(IF(D49="简单平均",AVERAGE(R49:V49),R49*F49+T49*H49+V49*J49),1))</f>
        <v>#DIV/0!</v>
      </c>
      <c r="S50" s="3802"/>
      <c r="T50" s="3802"/>
      <c r="U50" s="3802"/>
      <c r="V50" s="3802"/>
      <c r="W50" s="3802"/>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292137.36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913"/>
      <c r="M4" s="914"/>
      <c r="N4" s="914"/>
      <c r="O4" s="914"/>
      <c r="P4" s="3764" t="s">
        <v>1774</v>
      </c>
      <c r="Q4" s="3765"/>
      <c r="R4" s="3747" t="s">
        <v>1770</v>
      </c>
      <c r="S4" s="3748"/>
      <c r="T4" s="3747" t="s">
        <v>1771</v>
      </c>
      <c r="U4" s="3748"/>
      <c r="V4" s="3772" t="s">
        <v>1772</v>
      </c>
      <c r="W4" s="3772"/>
      <c r="X4" s="1355"/>
      <c r="Y4" s="3747" t="s">
        <v>1774</v>
      </c>
      <c r="Z4" s="3748"/>
      <c r="AA4" s="3742" t="s">
        <v>1770</v>
      </c>
      <c r="AB4" s="3743" t="s">
        <v>1771</v>
      </c>
      <c r="AC4" s="3742" t="s">
        <v>1772</v>
      </c>
    </row>
    <row r="5" spans="1:29" ht="15">
      <c r="A5" s="358"/>
      <c r="B5" s="359"/>
      <c r="C5" s="3753" t="s">
        <v>1672</v>
      </c>
      <c r="D5" s="3754"/>
      <c r="E5" s="3751" t="s">
        <v>1673</v>
      </c>
      <c r="F5" s="3752"/>
      <c r="G5" s="3753" t="s">
        <v>1674</v>
      </c>
      <c r="H5" s="3754"/>
      <c r="I5" s="3753" t="s">
        <v>1675</v>
      </c>
      <c r="J5" s="3754"/>
      <c r="K5" s="559"/>
      <c r="L5" s="913"/>
      <c r="M5" s="914"/>
      <c r="N5" s="914"/>
      <c r="O5" s="914"/>
      <c r="P5" s="3766"/>
      <c r="Q5" s="3767"/>
      <c r="R5" s="3749"/>
      <c r="S5" s="3750"/>
      <c r="T5" s="3749"/>
      <c r="U5" s="3750"/>
      <c r="V5" s="3772"/>
      <c r="W5" s="3772"/>
      <c r="X5" s="1355"/>
      <c r="Y5" s="3749"/>
      <c r="Z5" s="3750"/>
      <c r="AA5" s="3743"/>
      <c r="AB5" s="3743"/>
      <c r="AC5" s="3743"/>
    </row>
    <row r="6" spans="1:29" ht="15.75" thickBot="1">
      <c r="A6" s="360"/>
      <c r="B6" s="361"/>
      <c r="C6" s="3755" t="s">
        <v>1676</v>
      </c>
      <c r="D6" s="3756"/>
      <c r="E6" s="3757" t="s">
        <v>1676</v>
      </c>
      <c r="F6" s="3758"/>
      <c r="G6" s="3755" t="s">
        <v>1676</v>
      </c>
      <c r="H6" s="3756"/>
      <c r="I6" s="3755" t="s">
        <v>1676</v>
      </c>
      <c r="J6" s="3756"/>
      <c r="K6" s="559" t="s">
        <v>1677</v>
      </c>
      <c r="L6" s="913"/>
      <c r="M6" s="914"/>
      <c r="N6" s="914"/>
      <c r="O6" s="914"/>
      <c r="P6" s="3768"/>
      <c r="Q6" s="3769"/>
      <c r="R6" s="3749"/>
      <c r="S6" s="3750"/>
      <c r="T6" s="3770"/>
      <c r="U6" s="3771"/>
      <c r="V6" s="3772"/>
      <c r="W6" s="3772"/>
      <c r="X6" s="1355"/>
      <c r="Y6" s="3770"/>
      <c r="Z6" s="3771"/>
      <c r="AA6" s="3744"/>
      <c r="AB6" s="3744"/>
      <c r="AC6" s="3744"/>
    </row>
    <row r="7" spans="1:29" s="108" customFormat="1" ht="15.75" thickBot="1">
      <c r="A7" s="362" t="s">
        <v>1678</v>
      </c>
      <c r="B7" s="363"/>
      <c r="C7" s="364">
        <f>'数据-取费表'!B2</f>
        <v>45631</v>
      </c>
      <c r="D7" s="365">
        <v>100</v>
      </c>
      <c r="E7" s="366"/>
      <c r="F7" s="367">
        <f>SUMIF(52:52,YEAR(E7)&amp;"-"&amp;MONTH(E7),53:53)</f>
        <v>0</v>
      </c>
      <c r="G7" s="366"/>
      <c r="H7" s="365">
        <f>SUMIF(52:52,YEAR(G7)&amp;"-"&amp;MONTH(G7),53:53)</f>
        <v>0</v>
      </c>
      <c r="I7" s="366"/>
      <c r="J7" s="365">
        <f>SUMIF(52:52,YEAR(I7)&amp;"-"&amp;MONTH(I7),53:53)</f>
        <v>0</v>
      </c>
      <c r="K7" s="560"/>
      <c r="L7" s="915"/>
      <c r="M7" s="916"/>
      <c r="N7" s="916"/>
      <c r="O7" s="916"/>
      <c r="P7" s="3745" t="s">
        <v>1679</v>
      </c>
      <c r="Q7" s="3773"/>
      <c r="R7" s="701" t="s">
        <v>14</v>
      </c>
      <c r="S7" s="702">
        <f t="shared" ref="S7:S15" si="0">F7</f>
        <v>0</v>
      </c>
      <c r="T7" s="701" t="s">
        <v>14</v>
      </c>
      <c r="U7" s="702">
        <f t="shared" ref="U7:U15" si="1">H7</f>
        <v>0</v>
      </c>
      <c r="V7" s="701" t="s">
        <v>14</v>
      </c>
      <c r="W7" s="702">
        <f t="shared" ref="W7:W15" si="2">J7</f>
        <v>0</v>
      </c>
      <c r="X7" s="703"/>
      <c r="Y7" s="3745" t="s">
        <v>1679</v>
      </c>
      <c r="Z7" s="374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5" t="s">
        <v>1682</v>
      </c>
      <c r="Q8" s="3746"/>
      <c r="R8" s="701" t="s">
        <v>14</v>
      </c>
      <c r="S8" s="702">
        <f t="shared" si="0"/>
        <v>100</v>
      </c>
      <c r="T8" s="701" t="s">
        <v>14</v>
      </c>
      <c r="U8" s="702">
        <f t="shared" si="1"/>
        <v>100</v>
      </c>
      <c r="V8" s="701" t="s">
        <v>14</v>
      </c>
      <c r="W8" s="702">
        <f t="shared" si="2"/>
        <v>100</v>
      </c>
      <c r="X8" s="703"/>
      <c r="Y8" s="3745" t="s">
        <v>1682</v>
      </c>
      <c r="Z8" s="374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7" t="s">
        <v>1685</v>
      </c>
      <c r="Q9" s="1343" t="str">
        <f t="shared" ref="Q9:Q15" si="6">B9</f>
        <v>用途</v>
      </c>
      <c r="R9" s="701" t="s">
        <v>14</v>
      </c>
      <c r="S9" s="702">
        <f t="shared" si="0"/>
        <v>100</v>
      </c>
      <c r="T9" s="701" t="s">
        <v>14</v>
      </c>
      <c r="U9" s="702">
        <f t="shared" si="1"/>
        <v>100</v>
      </c>
      <c r="V9" s="701" t="s">
        <v>14</v>
      </c>
      <c r="W9" s="702">
        <f t="shared" si="2"/>
        <v>100</v>
      </c>
      <c r="X9" s="703"/>
      <c r="Y9" s="3662"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77"/>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7"/>
      <c r="Q11" s="1343" t="str">
        <f t="shared" si="6"/>
        <v>容积率</v>
      </c>
      <c r="R11" s="701" t="s">
        <v>14</v>
      </c>
      <c r="S11" s="702">
        <f t="shared" si="0"/>
        <v>100</v>
      </c>
      <c r="T11" s="701" t="s">
        <v>14</v>
      </c>
      <c r="U11" s="702">
        <f t="shared" si="1"/>
        <v>100</v>
      </c>
      <c r="V11" s="701" t="s">
        <v>14</v>
      </c>
      <c r="W11" s="702">
        <f t="shared" si="2"/>
        <v>100</v>
      </c>
      <c r="X11" s="703"/>
      <c r="Y11" s="366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7"/>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7"/>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7"/>
      <c r="Q14" s="1343">
        <f t="shared" si="6"/>
        <v>111</v>
      </c>
      <c r="R14" s="701" t="s">
        <v>14</v>
      </c>
      <c r="S14" s="702">
        <f t="shared" si="0"/>
        <v>100</v>
      </c>
      <c r="T14" s="701" t="s">
        <v>14</v>
      </c>
      <c r="U14" s="702">
        <f t="shared" si="1"/>
        <v>100</v>
      </c>
      <c r="V14" s="701" t="s">
        <v>14</v>
      </c>
      <c r="W14" s="702">
        <f t="shared" si="2"/>
        <v>100</v>
      </c>
      <c r="X14" s="703"/>
      <c r="Y14" s="3662"/>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9" t="s">
        <v>1690</v>
      </c>
      <c r="Q15" s="1352" t="str">
        <f t="shared" si="6"/>
        <v>产业集聚程度</v>
      </c>
      <c r="R15" s="705" t="s">
        <v>14</v>
      </c>
      <c r="S15" s="706">
        <f t="shared" si="0"/>
        <v>100</v>
      </c>
      <c r="T15" s="705" t="s">
        <v>14</v>
      </c>
      <c r="U15" s="706">
        <f t="shared" si="1"/>
        <v>100</v>
      </c>
      <c r="V15" s="705" t="s">
        <v>14</v>
      </c>
      <c r="W15" s="706">
        <f t="shared" si="2"/>
        <v>100</v>
      </c>
      <c r="X15" s="1355"/>
      <c r="Y15" s="377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0"/>
      <c r="Q16" s="1352"/>
      <c r="R16" s="705"/>
      <c r="S16" s="706"/>
      <c r="T16" s="705"/>
      <c r="U16" s="706"/>
      <c r="V16" s="705"/>
      <c r="W16" s="706"/>
      <c r="X16" s="1355"/>
      <c r="Y16" s="378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0"/>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0"/>
      <c r="Q18" s="1352"/>
      <c r="R18" s="705"/>
      <c r="S18" s="706"/>
      <c r="T18" s="705"/>
      <c r="U18" s="706"/>
      <c r="V18" s="705"/>
      <c r="W18" s="706"/>
      <c r="X18" s="1355"/>
      <c r="Y18" s="378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0"/>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0"/>
      <c r="Q20" s="1352"/>
      <c r="R20" s="705"/>
      <c r="S20" s="706"/>
      <c r="T20" s="705"/>
      <c r="U20" s="706"/>
      <c r="V20" s="705"/>
      <c r="W20" s="706"/>
      <c r="X20" s="1355"/>
      <c r="Y20" s="378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0"/>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0"/>
      <c r="Q22" s="1352"/>
      <c r="R22" s="705"/>
      <c r="S22" s="706"/>
      <c r="T22" s="705"/>
      <c r="U22" s="706"/>
      <c r="V22" s="705"/>
      <c r="W22" s="706"/>
      <c r="X22" s="1355"/>
      <c r="Y22" s="378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0"/>
      <c r="Q23" s="1352" t="str">
        <f>B23</f>
        <v>环境质量</v>
      </c>
      <c r="R23" s="705" t="s">
        <v>14</v>
      </c>
      <c r="S23" s="706">
        <f>F23</f>
        <v>100</v>
      </c>
      <c r="T23" s="705" t="s">
        <v>14</v>
      </c>
      <c r="U23" s="706">
        <f>H23</f>
        <v>100</v>
      </c>
      <c r="V23" s="705" t="s">
        <v>14</v>
      </c>
      <c r="W23" s="706">
        <f>J23</f>
        <v>100</v>
      </c>
      <c r="X23" s="1355"/>
      <c r="Y23" s="37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0"/>
      <c r="Q24" s="1352"/>
      <c r="R24" s="705"/>
      <c r="S24" s="706"/>
      <c r="T24" s="705"/>
      <c r="U24" s="706"/>
      <c r="V24" s="705"/>
      <c r="W24" s="706"/>
      <c r="X24" s="1355"/>
      <c r="Y24" s="37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0"/>
      <c r="Q25" s="1352">
        <f>B25</f>
        <v>111</v>
      </c>
      <c r="R25" s="705" t="s">
        <v>14</v>
      </c>
      <c r="S25" s="706">
        <f>F25</f>
        <v>100</v>
      </c>
      <c r="T25" s="705" t="s">
        <v>14</v>
      </c>
      <c r="U25" s="706">
        <f>H25</f>
        <v>100</v>
      </c>
      <c r="V25" s="705" t="s">
        <v>14</v>
      </c>
      <c r="W25" s="706">
        <f>J25</f>
        <v>100</v>
      </c>
      <c r="X25" s="1355"/>
      <c r="Y25" s="37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0"/>
      <c r="Q26" s="1352">
        <f t="shared" ref="Q26:Q40" si="11">B26</f>
        <v>111</v>
      </c>
      <c r="R26" s="705" t="s">
        <v>14</v>
      </c>
      <c r="S26" s="706">
        <f>F26</f>
        <v>100</v>
      </c>
      <c r="T26" s="705" t="s">
        <v>14</v>
      </c>
      <c r="U26" s="706">
        <f>H26</f>
        <v>100</v>
      </c>
      <c r="V26" s="705" t="s">
        <v>14</v>
      </c>
      <c r="W26" s="706">
        <f>J26</f>
        <v>100</v>
      </c>
      <c r="X26" s="1355"/>
      <c r="Y26" s="37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0"/>
      <c r="Q27" s="1343">
        <f t="shared" si="11"/>
        <v>111</v>
      </c>
      <c r="R27" s="701" t="s">
        <v>14</v>
      </c>
      <c r="S27" s="702">
        <f>F27</f>
        <v>100</v>
      </c>
      <c r="T27" s="701" t="s">
        <v>14</v>
      </c>
      <c r="U27" s="702">
        <f>H27</f>
        <v>100</v>
      </c>
      <c r="V27" s="701" t="s">
        <v>14</v>
      </c>
      <c r="W27" s="702">
        <f>J27</f>
        <v>100</v>
      </c>
      <c r="X27" s="703"/>
      <c r="Y27" s="37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0"/>
      <c r="Q28" s="1352">
        <f t="shared" si="11"/>
        <v>111</v>
      </c>
      <c r="R28" s="705" t="s">
        <v>14</v>
      </c>
      <c r="S28" s="706">
        <f t="shared" ref="S28:S40" si="12">F28</f>
        <v>100</v>
      </c>
      <c r="T28" s="705" t="s">
        <v>14</v>
      </c>
      <c r="U28" s="706">
        <f t="shared" ref="U28:U40" si="13">H28</f>
        <v>100</v>
      </c>
      <c r="V28" s="705" t="s">
        <v>14</v>
      </c>
      <c r="W28" s="706">
        <f t="shared" ref="W28:W40" si="14">J28</f>
        <v>100</v>
      </c>
      <c r="X28" s="1355"/>
      <c r="Y28" s="378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3" t="s">
        <v>1695</v>
      </c>
      <c r="Q29" s="1352" t="str">
        <f t="shared" si="11"/>
        <v>建筑类型</v>
      </c>
      <c r="R29" s="705" t="s">
        <v>14</v>
      </c>
      <c r="S29" s="706">
        <f t="shared" si="12"/>
        <v>100</v>
      </c>
      <c r="T29" s="705" t="s">
        <v>14</v>
      </c>
      <c r="U29" s="706">
        <f t="shared" si="13"/>
        <v>100</v>
      </c>
      <c r="V29" s="705" t="s">
        <v>14</v>
      </c>
      <c r="W29" s="706">
        <f t="shared" si="14"/>
        <v>100</v>
      </c>
      <c r="X29" s="1355"/>
      <c r="Y29" s="378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4"/>
      <c r="Q30" s="707" t="str">
        <f t="shared" si="11"/>
        <v>项目建筑规模</v>
      </c>
      <c r="R30" s="708" t="s">
        <v>14</v>
      </c>
      <c r="S30" s="709" t="e">
        <f t="shared" si="12"/>
        <v>#N/A</v>
      </c>
      <c r="T30" s="708" t="s">
        <v>14</v>
      </c>
      <c r="U30" s="709" t="e">
        <f t="shared" si="13"/>
        <v>#N/A</v>
      </c>
      <c r="V30" s="708" t="s">
        <v>14</v>
      </c>
      <c r="W30" s="709" t="e">
        <f t="shared" si="14"/>
        <v>#N/A</v>
      </c>
      <c r="X30" s="710"/>
      <c r="Y30" s="378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4"/>
      <c r="Q31" s="1352" t="str">
        <f t="shared" si="11"/>
        <v>建筑结构</v>
      </c>
      <c r="R31" s="705" t="s">
        <v>14</v>
      </c>
      <c r="S31" s="706">
        <f t="shared" si="12"/>
        <v>100</v>
      </c>
      <c r="T31" s="705" t="s">
        <v>14</v>
      </c>
      <c r="U31" s="706">
        <f t="shared" si="13"/>
        <v>100</v>
      </c>
      <c r="V31" s="705" t="s">
        <v>14</v>
      </c>
      <c r="W31" s="706">
        <f t="shared" si="14"/>
        <v>100</v>
      </c>
      <c r="X31" s="1355"/>
      <c r="Y31" s="378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4"/>
      <c r="Q32" s="1352" t="str">
        <f t="shared" si="11"/>
        <v>公共部分装修</v>
      </c>
      <c r="R32" s="705" t="s">
        <v>14</v>
      </c>
      <c r="S32" s="706">
        <f t="shared" si="12"/>
        <v>100</v>
      </c>
      <c r="T32" s="705" t="s">
        <v>14</v>
      </c>
      <c r="U32" s="706">
        <f t="shared" si="13"/>
        <v>100</v>
      </c>
      <c r="V32" s="705" t="s">
        <v>14</v>
      </c>
      <c r="W32" s="706">
        <f t="shared" si="14"/>
        <v>100</v>
      </c>
      <c r="X32" s="1355"/>
      <c r="Y32" s="378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4"/>
      <c r="Q33" s="1352" t="str">
        <f t="shared" si="11"/>
        <v>成新度</v>
      </c>
      <c r="R33" s="705" t="s">
        <v>14</v>
      </c>
      <c r="S33" s="706" t="e">
        <f t="shared" si="12"/>
        <v>#N/A</v>
      </c>
      <c r="T33" s="705" t="s">
        <v>14</v>
      </c>
      <c r="U33" s="706" t="e">
        <f t="shared" si="13"/>
        <v>#N/A</v>
      </c>
      <c r="V33" s="705" t="s">
        <v>14</v>
      </c>
      <c r="W33" s="706" t="e">
        <f t="shared" si="14"/>
        <v>#N/A</v>
      </c>
      <c r="X33" s="1355"/>
      <c r="Y33" s="378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4"/>
      <c r="Q34" s="1343" t="str">
        <f t="shared" si="11"/>
        <v>物业管理</v>
      </c>
      <c r="R34" s="701" t="s">
        <v>14</v>
      </c>
      <c r="S34" s="702">
        <f t="shared" si="12"/>
        <v>100</v>
      </c>
      <c r="T34" s="701" t="s">
        <v>14</v>
      </c>
      <c r="U34" s="702">
        <f t="shared" si="13"/>
        <v>100</v>
      </c>
      <c r="V34" s="701" t="s">
        <v>14</v>
      </c>
      <c r="W34" s="702">
        <f t="shared" si="14"/>
        <v>100</v>
      </c>
      <c r="X34" s="703"/>
      <c r="Y34" s="378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4" t="s">
        <v>1695</v>
      </c>
      <c r="Q35" s="1352" t="str">
        <f t="shared" si="11"/>
        <v>市政基础设施</v>
      </c>
      <c r="R35" s="705" t="s">
        <v>14</v>
      </c>
      <c r="S35" s="706">
        <f t="shared" si="12"/>
        <v>100</v>
      </c>
      <c r="T35" s="705" t="s">
        <v>14</v>
      </c>
      <c r="U35" s="706">
        <f t="shared" si="13"/>
        <v>100</v>
      </c>
      <c r="V35" s="705" t="s">
        <v>14</v>
      </c>
      <c r="W35" s="706">
        <f t="shared" si="14"/>
        <v>100</v>
      </c>
      <c r="X35" s="1355"/>
      <c r="Y35" s="378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4"/>
      <c r="Q36" s="1352" t="str">
        <f t="shared" si="11"/>
        <v>内部装修</v>
      </c>
      <c r="R36" s="705" t="s">
        <v>14</v>
      </c>
      <c r="S36" s="706">
        <f t="shared" si="12"/>
        <v>100</v>
      </c>
      <c r="T36" s="705" t="s">
        <v>14</v>
      </c>
      <c r="U36" s="706">
        <f t="shared" si="13"/>
        <v>100</v>
      </c>
      <c r="V36" s="705" t="s">
        <v>14</v>
      </c>
      <c r="W36" s="706">
        <f t="shared" si="14"/>
        <v>100</v>
      </c>
      <c r="X36" s="1355"/>
      <c r="Y36" s="378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4"/>
      <c r="Q37" s="1352" t="str">
        <f t="shared" si="11"/>
        <v>内部装修状况</v>
      </c>
      <c r="R37" s="705" t="s">
        <v>14</v>
      </c>
      <c r="S37" s="706">
        <f t="shared" si="12"/>
        <v>100</v>
      </c>
      <c r="T37" s="705" t="s">
        <v>14</v>
      </c>
      <c r="U37" s="706">
        <f t="shared" si="13"/>
        <v>100</v>
      </c>
      <c r="V37" s="705" t="s">
        <v>14</v>
      </c>
      <c r="W37" s="706">
        <f t="shared" si="14"/>
        <v>100</v>
      </c>
      <c r="X37" s="1355"/>
      <c r="Y37" s="37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4"/>
      <c r="Q38" s="707">
        <f t="shared" si="11"/>
        <v>111</v>
      </c>
      <c r="R38" s="708" t="s">
        <v>14</v>
      </c>
      <c r="S38" s="709">
        <f t="shared" si="12"/>
        <v>100</v>
      </c>
      <c r="T38" s="708" t="s">
        <v>14</v>
      </c>
      <c r="U38" s="709">
        <f t="shared" si="13"/>
        <v>100</v>
      </c>
      <c r="V38" s="708" t="s">
        <v>14</v>
      </c>
      <c r="W38" s="709">
        <f t="shared" si="14"/>
        <v>100</v>
      </c>
      <c r="X38" s="710"/>
      <c r="Y38" s="37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4"/>
      <c r="Q39" s="1352">
        <f t="shared" si="11"/>
        <v>111</v>
      </c>
      <c r="R39" s="705" t="s">
        <v>14</v>
      </c>
      <c r="S39" s="706">
        <f t="shared" si="12"/>
        <v>100</v>
      </c>
      <c r="T39" s="705" t="s">
        <v>14</v>
      </c>
      <c r="U39" s="706">
        <f t="shared" si="13"/>
        <v>100</v>
      </c>
      <c r="V39" s="705" t="s">
        <v>14</v>
      </c>
      <c r="W39" s="706">
        <f t="shared" si="14"/>
        <v>100</v>
      </c>
      <c r="X39" s="1355"/>
      <c r="Y39" s="37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5"/>
      <c r="Q40" s="1352">
        <f t="shared" si="11"/>
        <v>111</v>
      </c>
      <c r="R40" s="705" t="s">
        <v>14</v>
      </c>
      <c r="S40" s="706">
        <f t="shared" si="12"/>
        <v>100</v>
      </c>
      <c r="T40" s="705" t="s">
        <v>14</v>
      </c>
      <c r="U40" s="706">
        <f t="shared" si="13"/>
        <v>100</v>
      </c>
      <c r="V40" s="705" t="s">
        <v>14</v>
      </c>
      <c r="W40" s="706">
        <f t="shared" si="14"/>
        <v>100</v>
      </c>
      <c r="X40" s="1355"/>
      <c r="Y40" s="378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77" t="str">
        <f>A41</f>
        <v>成交单价（元/平方米）</v>
      </c>
      <c r="Q41" s="3777"/>
      <c r="R41" s="3778">
        <f>E41</f>
        <v>0</v>
      </c>
      <c r="S41" s="3778"/>
      <c r="T41" s="3778">
        <f>G41</f>
        <v>0</v>
      </c>
      <c r="U41" s="3778"/>
      <c r="V41" s="3778">
        <f>I41</f>
        <v>0</v>
      </c>
      <c r="W41" s="3778"/>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77" t="str">
        <f>A42</f>
        <v>比较价值（元/平方米）</v>
      </c>
      <c r="Q42" s="3777"/>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47" t="s">
        <v>1770</v>
      </c>
      <c r="S4" s="3748"/>
      <c r="T4" s="3747" t="s">
        <v>1771</v>
      </c>
      <c r="U4" s="3748"/>
      <c r="V4" s="3772" t="s">
        <v>1772</v>
      </c>
      <c r="W4" s="3772"/>
      <c r="X4" s="1355"/>
      <c r="Y4" s="3747" t="s">
        <v>1774</v>
      </c>
      <c r="Z4" s="3748"/>
      <c r="AA4" s="3742" t="s">
        <v>1770</v>
      </c>
      <c r="AB4" s="3743" t="s">
        <v>1771</v>
      </c>
      <c r="AC4" s="3742" t="s">
        <v>1772</v>
      </c>
    </row>
    <row r="5" spans="1:29" ht="15">
      <c r="A5" s="358"/>
      <c r="B5" s="359"/>
      <c r="C5" s="3753" t="s">
        <v>1672</v>
      </c>
      <c r="D5" s="3754"/>
      <c r="E5" s="3751" t="s">
        <v>1673</v>
      </c>
      <c r="F5" s="3752"/>
      <c r="G5" s="3753" t="s">
        <v>1674</v>
      </c>
      <c r="H5" s="3754"/>
      <c r="I5" s="3753" t="s">
        <v>1675</v>
      </c>
      <c r="J5" s="3754"/>
      <c r="K5" s="559"/>
      <c r="L5" s="2713"/>
      <c r="M5" s="2714"/>
      <c r="N5" s="2714"/>
      <c r="O5" s="2714"/>
      <c r="P5" s="3766"/>
      <c r="Q5" s="3767"/>
      <c r="R5" s="3749"/>
      <c r="S5" s="3750"/>
      <c r="T5" s="3749"/>
      <c r="U5" s="3750"/>
      <c r="V5" s="3772"/>
      <c r="W5" s="3772"/>
      <c r="X5" s="1355"/>
      <c r="Y5" s="3749"/>
      <c r="Z5" s="3750"/>
      <c r="AA5" s="3743"/>
      <c r="AB5" s="3743"/>
      <c r="AC5" s="3743"/>
    </row>
    <row r="6" spans="1:29" ht="15.75" thickBot="1">
      <c r="A6" s="360"/>
      <c r="B6" s="361"/>
      <c r="C6" s="3755" t="s">
        <v>1676</v>
      </c>
      <c r="D6" s="3756"/>
      <c r="E6" s="3757" t="s">
        <v>1676</v>
      </c>
      <c r="F6" s="3758"/>
      <c r="G6" s="3755" t="s">
        <v>1676</v>
      </c>
      <c r="H6" s="3756"/>
      <c r="I6" s="3755" t="s">
        <v>1676</v>
      </c>
      <c r="J6" s="3756"/>
      <c r="K6" s="559" t="s">
        <v>1677</v>
      </c>
      <c r="L6" s="2713"/>
      <c r="M6" s="2714"/>
      <c r="N6" s="2714"/>
      <c r="O6" s="2714"/>
      <c r="P6" s="3768"/>
      <c r="Q6" s="3769"/>
      <c r="R6" s="3749"/>
      <c r="S6" s="3750"/>
      <c r="T6" s="3770"/>
      <c r="U6" s="3771"/>
      <c r="V6" s="3772"/>
      <c r="W6" s="3772"/>
      <c r="X6" s="1355"/>
      <c r="Y6" s="3770"/>
      <c r="Z6" s="3771"/>
      <c r="AA6" s="3744"/>
      <c r="AB6" s="3744"/>
      <c r="AC6" s="3744"/>
    </row>
    <row r="7" spans="1:29" s="108" customFormat="1" ht="15.75" thickBot="1">
      <c r="A7" s="362" t="s">
        <v>1678</v>
      </c>
      <c r="B7" s="363"/>
      <c r="C7" s="364">
        <f>'数据-取费表'!B2</f>
        <v>45631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45" t="s">
        <v>1679</v>
      </c>
      <c r="Q7" s="3773"/>
      <c r="R7" s="701" t="s">
        <v>14</v>
      </c>
      <c r="S7" s="702">
        <f t="shared" ref="S7:S14" si="0">F7</f>
        <v>0</v>
      </c>
      <c r="T7" s="701" t="s">
        <v>14</v>
      </c>
      <c r="U7" s="702">
        <f t="shared" ref="U7:U14" si="1">H7</f>
        <v>0</v>
      </c>
      <c r="V7" s="701" t="s">
        <v>14</v>
      </c>
      <c r="W7" s="702">
        <f t="shared" ref="W7:W14" si="2">J7</f>
        <v>0</v>
      </c>
      <c r="X7" s="703"/>
      <c r="Y7" s="3745" t="s">
        <v>1679</v>
      </c>
      <c r="Z7" s="374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45" t="s">
        <v>1682</v>
      </c>
      <c r="Q8" s="3746"/>
      <c r="R8" s="701" t="s">
        <v>14</v>
      </c>
      <c r="S8" s="702">
        <f t="shared" si="0"/>
        <v>100</v>
      </c>
      <c r="T8" s="701" t="s">
        <v>14</v>
      </c>
      <c r="U8" s="702">
        <f t="shared" si="1"/>
        <v>100</v>
      </c>
      <c r="V8" s="701" t="s">
        <v>14</v>
      </c>
      <c r="W8" s="702">
        <f t="shared" si="2"/>
        <v>100</v>
      </c>
      <c r="X8" s="703"/>
      <c r="Y8" s="3745" t="s">
        <v>1682</v>
      </c>
      <c r="Z8" s="374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77" t="s">
        <v>1685</v>
      </c>
      <c r="Q9" s="1343" t="str">
        <f t="shared" ref="Q9:Q14" si="6">B9</f>
        <v>用途</v>
      </c>
      <c r="R9" s="701" t="s">
        <v>14</v>
      </c>
      <c r="S9" s="702">
        <f t="shared" si="0"/>
        <v>100</v>
      </c>
      <c r="T9" s="701" t="s">
        <v>14</v>
      </c>
      <c r="U9" s="702">
        <f t="shared" si="1"/>
        <v>100</v>
      </c>
      <c r="V9" s="701" t="s">
        <v>14</v>
      </c>
      <c r="W9" s="702">
        <f t="shared" si="2"/>
        <v>100</v>
      </c>
      <c r="X9" s="703"/>
      <c r="Y9" s="3662"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77"/>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77"/>
      <c r="Q11" s="1343">
        <f t="shared" si="6"/>
        <v>111</v>
      </c>
      <c r="R11" s="701" t="s">
        <v>14</v>
      </c>
      <c r="S11" s="702">
        <f t="shared" si="0"/>
        <v>100</v>
      </c>
      <c r="T11" s="701" t="s">
        <v>14</v>
      </c>
      <c r="U11" s="702">
        <f t="shared" si="1"/>
        <v>100</v>
      </c>
      <c r="V11" s="701" t="s">
        <v>14</v>
      </c>
      <c r="W11" s="702">
        <f t="shared" si="2"/>
        <v>100</v>
      </c>
      <c r="X11" s="703"/>
      <c r="Y11" s="366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77"/>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77"/>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79" t="s">
        <v>1690</v>
      </c>
      <c r="Q14" s="1352" t="str">
        <f t="shared" si="6"/>
        <v>交通便捷度</v>
      </c>
      <c r="R14" s="705" t="s">
        <v>14</v>
      </c>
      <c r="S14" s="706">
        <f t="shared" si="0"/>
        <v>100</v>
      </c>
      <c r="T14" s="705" t="s">
        <v>14</v>
      </c>
      <c r="U14" s="706">
        <f t="shared" si="1"/>
        <v>100</v>
      </c>
      <c r="V14" s="705" t="s">
        <v>14</v>
      </c>
      <c r="W14" s="706">
        <f t="shared" si="2"/>
        <v>100</v>
      </c>
      <c r="X14" s="1355"/>
      <c r="Y14" s="377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80"/>
      <c r="Q15" s="1352"/>
      <c r="R15" s="705"/>
      <c r="S15" s="706"/>
      <c r="T15" s="705"/>
      <c r="U15" s="706"/>
      <c r="V15" s="705"/>
      <c r="W15" s="706"/>
      <c r="X15" s="1355"/>
      <c r="Y15" s="3780"/>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80"/>
      <c r="Q16" s="1352" t="str">
        <f>B16</f>
        <v>公共配套设施</v>
      </c>
      <c r="R16" s="705" t="s">
        <v>14</v>
      </c>
      <c r="S16" s="706">
        <f>F16</f>
        <v>100</v>
      </c>
      <c r="T16" s="705" t="s">
        <v>14</v>
      </c>
      <c r="U16" s="706">
        <f>H16</f>
        <v>100</v>
      </c>
      <c r="V16" s="705" t="s">
        <v>14</v>
      </c>
      <c r="W16" s="706">
        <f>J16</f>
        <v>100</v>
      </c>
      <c r="X16" s="1355"/>
      <c r="Y16" s="37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80"/>
      <c r="Q17" s="1352"/>
      <c r="R17" s="705"/>
      <c r="S17" s="706"/>
      <c r="T17" s="705"/>
      <c r="U17" s="706"/>
      <c r="V17" s="705"/>
      <c r="W17" s="706"/>
      <c r="X17" s="1355"/>
      <c r="Y17" s="3780"/>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80"/>
      <c r="Q18" s="1352" t="str">
        <f>B18</f>
        <v>基础设施水平</v>
      </c>
      <c r="R18" s="705" t="s">
        <v>14</v>
      </c>
      <c r="S18" s="706">
        <f>F18</f>
        <v>100</v>
      </c>
      <c r="T18" s="705" t="s">
        <v>14</v>
      </c>
      <c r="U18" s="706">
        <f>H18</f>
        <v>100</v>
      </c>
      <c r="V18" s="705" t="s">
        <v>14</v>
      </c>
      <c r="W18" s="706">
        <f>J18</f>
        <v>100</v>
      </c>
      <c r="X18" s="1355"/>
      <c r="Y18" s="37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80"/>
      <c r="Q19" s="1352"/>
      <c r="R19" s="705"/>
      <c r="S19" s="706"/>
      <c r="T19" s="705"/>
      <c r="U19" s="706"/>
      <c r="V19" s="705"/>
      <c r="W19" s="706"/>
      <c r="X19" s="1355"/>
      <c r="Y19" s="3780"/>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80"/>
      <c r="Q20" s="1352" t="str">
        <f>B20</f>
        <v>自然及人文环境</v>
      </c>
      <c r="R20" s="705" t="s">
        <v>14</v>
      </c>
      <c r="S20" s="706">
        <f>F20</f>
        <v>100</v>
      </c>
      <c r="T20" s="705" t="s">
        <v>14</v>
      </c>
      <c r="U20" s="706">
        <f>H20</f>
        <v>100</v>
      </c>
      <c r="V20" s="705" t="s">
        <v>14</v>
      </c>
      <c r="W20" s="706">
        <f>J20</f>
        <v>100</v>
      </c>
      <c r="X20" s="1355"/>
      <c r="Y20" s="37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80"/>
      <c r="Q21" s="1352"/>
      <c r="R21" s="705"/>
      <c r="S21" s="706"/>
      <c r="T21" s="705"/>
      <c r="U21" s="706"/>
      <c r="V21" s="705"/>
      <c r="W21" s="706"/>
      <c r="X21" s="1355"/>
      <c r="Y21" s="378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80"/>
      <c r="Q22" s="1352" t="str">
        <f>B22</f>
        <v>楼层</v>
      </c>
      <c r="R22" s="705" t="s">
        <v>14</v>
      </c>
      <c r="S22" s="706">
        <f>F22</f>
        <v>100</v>
      </c>
      <c r="T22" s="705" t="s">
        <v>14</v>
      </c>
      <c r="U22" s="706">
        <f>H22</f>
        <v>100</v>
      </c>
      <c r="V22" s="705" t="s">
        <v>14</v>
      </c>
      <c r="W22" s="706">
        <f>J22</f>
        <v>100</v>
      </c>
      <c r="X22" s="1355"/>
      <c r="Y22" s="37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80"/>
      <c r="Q23" s="1352">
        <f>B23</f>
        <v>111</v>
      </c>
      <c r="R23" s="705" t="s">
        <v>14</v>
      </c>
      <c r="S23" s="706">
        <f>F23</f>
        <v>100</v>
      </c>
      <c r="T23" s="705" t="s">
        <v>14</v>
      </c>
      <c r="U23" s="706">
        <f>H23</f>
        <v>100</v>
      </c>
      <c r="V23" s="705" t="s">
        <v>14</v>
      </c>
      <c r="W23" s="706">
        <f>J23</f>
        <v>100</v>
      </c>
      <c r="X23" s="1355"/>
      <c r="Y23" s="37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80"/>
      <c r="Q24" s="1352">
        <f t="shared" ref="Q24:Q36" si="11">B24</f>
        <v>111</v>
      </c>
      <c r="R24" s="705" t="s">
        <v>14</v>
      </c>
      <c r="S24" s="706">
        <f>F24</f>
        <v>100</v>
      </c>
      <c r="T24" s="705" t="s">
        <v>14</v>
      </c>
      <c r="U24" s="706">
        <f>H24</f>
        <v>100</v>
      </c>
      <c r="V24" s="705" t="s">
        <v>14</v>
      </c>
      <c r="W24" s="706">
        <f>J24</f>
        <v>100</v>
      </c>
      <c r="X24" s="1355"/>
      <c r="Y24" s="37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80"/>
      <c r="Q25" s="1343">
        <f t="shared" si="11"/>
        <v>111</v>
      </c>
      <c r="R25" s="701" t="s">
        <v>14</v>
      </c>
      <c r="S25" s="702">
        <f>F25</f>
        <v>100</v>
      </c>
      <c r="T25" s="701" t="s">
        <v>14</v>
      </c>
      <c r="U25" s="702">
        <f>H25</f>
        <v>100</v>
      </c>
      <c r="V25" s="701" t="s">
        <v>14</v>
      </c>
      <c r="W25" s="702">
        <f>J25</f>
        <v>100</v>
      </c>
      <c r="X25" s="703"/>
      <c r="Y25" s="378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0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84"/>
      <c r="Q27" s="707" t="str">
        <f t="shared" si="11"/>
        <v>项目停车位配比</v>
      </c>
      <c r="R27" s="708" t="s">
        <v>14</v>
      </c>
      <c r="S27" s="709">
        <f t="shared" si="12"/>
        <v>100</v>
      </c>
      <c r="T27" s="708" t="s">
        <v>14</v>
      </c>
      <c r="U27" s="709">
        <f t="shared" si="13"/>
        <v>100</v>
      </c>
      <c r="V27" s="708" t="s">
        <v>14</v>
      </c>
      <c r="W27" s="709">
        <f t="shared" si="14"/>
        <v>100</v>
      </c>
      <c r="X27" s="710"/>
      <c r="Y27" s="378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84"/>
      <c r="Q28" s="1352" t="str">
        <f t="shared" si="11"/>
        <v>公共部分装修</v>
      </c>
      <c r="R28" s="705" t="s">
        <v>14</v>
      </c>
      <c r="S28" s="706">
        <f t="shared" si="12"/>
        <v>100</v>
      </c>
      <c r="T28" s="705" t="s">
        <v>14</v>
      </c>
      <c r="U28" s="706">
        <f t="shared" si="13"/>
        <v>100</v>
      </c>
      <c r="V28" s="705" t="s">
        <v>14</v>
      </c>
      <c r="W28" s="706">
        <f t="shared" si="14"/>
        <v>100</v>
      </c>
      <c r="X28" s="1355"/>
      <c r="Y28" s="378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84"/>
      <c r="Q29" s="1352" t="str">
        <f t="shared" si="11"/>
        <v>成新率</v>
      </c>
      <c r="R29" s="705" t="s">
        <v>14</v>
      </c>
      <c r="S29" s="706" t="e">
        <f t="shared" si="12"/>
        <v>#N/A</v>
      </c>
      <c r="T29" s="705" t="s">
        <v>14</v>
      </c>
      <c r="U29" s="706" t="e">
        <f t="shared" si="13"/>
        <v>#N/A</v>
      </c>
      <c r="V29" s="705" t="s">
        <v>14</v>
      </c>
      <c r="W29" s="706" t="e">
        <f t="shared" si="14"/>
        <v>#N/A</v>
      </c>
      <c r="X29" s="1355"/>
      <c r="Y29" s="378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84"/>
      <c r="Q30" s="1352" t="str">
        <f t="shared" si="11"/>
        <v>物业等级</v>
      </c>
      <c r="R30" s="705" t="s">
        <v>14</v>
      </c>
      <c r="S30" s="706">
        <f t="shared" si="12"/>
        <v>100</v>
      </c>
      <c r="T30" s="705" t="s">
        <v>14</v>
      </c>
      <c r="U30" s="706">
        <f t="shared" si="13"/>
        <v>100</v>
      </c>
      <c r="V30" s="705" t="s">
        <v>14</v>
      </c>
      <c r="W30" s="706">
        <f t="shared" si="14"/>
        <v>100</v>
      </c>
      <c r="X30" s="1355"/>
      <c r="Y30" s="378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84"/>
      <c r="Q31" s="1343" t="str">
        <f t="shared" si="11"/>
        <v>停车位面积</v>
      </c>
      <c r="R31" s="701" t="s">
        <v>14</v>
      </c>
      <c r="S31" s="702" t="e">
        <f t="shared" si="12"/>
        <v>#N/A</v>
      </c>
      <c r="T31" s="701" t="s">
        <v>14</v>
      </c>
      <c r="U31" s="702" t="e">
        <f t="shared" si="13"/>
        <v>#N/A</v>
      </c>
      <c r="V31" s="701" t="s">
        <v>14</v>
      </c>
      <c r="W31" s="702" t="e">
        <f t="shared" si="14"/>
        <v>#N/A</v>
      </c>
      <c r="X31" s="703"/>
      <c r="Y31" s="378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84" t="s">
        <v>1695</v>
      </c>
      <c r="Q32" s="1352" t="str">
        <f t="shared" si="11"/>
        <v>车位类型</v>
      </c>
      <c r="R32" s="705" t="s">
        <v>14</v>
      </c>
      <c r="S32" s="706">
        <f t="shared" si="12"/>
        <v>100</v>
      </c>
      <c r="T32" s="705" t="s">
        <v>14</v>
      </c>
      <c r="U32" s="706">
        <f t="shared" si="13"/>
        <v>100</v>
      </c>
      <c r="V32" s="705" t="s">
        <v>14</v>
      </c>
      <c r="W32" s="706">
        <f t="shared" si="14"/>
        <v>100</v>
      </c>
      <c r="X32" s="1355"/>
      <c r="Y32" s="378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84"/>
      <c r="Q33" s="1352" t="str">
        <f t="shared" si="11"/>
        <v>是否直接入户</v>
      </c>
      <c r="R33" s="705" t="s">
        <v>14</v>
      </c>
      <c r="S33" s="706">
        <f t="shared" si="12"/>
        <v>100</v>
      </c>
      <c r="T33" s="705" t="s">
        <v>14</v>
      </c>
      <c r="U33" s="706">
        <f t="shared" si="13"/>
        <v>100</v>
      </c>
      <c r="V33" s="705" t="s">
        <v>14</v>
      </c>
      <c r="W33" s="706">
        <f t="shared" si="14"/>
        <v>100</v>
      </c>
      <c r="X33" s="1355"/>
      <c r="Y33" s="37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84"/>
      <c r="Q34" s="1352">
        <f t="shared" si="11"/>
        <v>111</v>
      </c>
      <c r="R34" s="705" t="s">
        <v>14</v>
      </c>
      <c r="S34" s="706">
        <f t="shared" si="12"/>
        <v>100</v>
      </c>
      <c r="T34" s="705" t="s">
        <v>14</v>
      </c>
      <c r="U34" s="706">
        <f t="shared" si="13"/>
        <v>100</v>
      </c>
      <c r="V34" s="705" t="s">
        <v>14</v>
      </c>
      <c r="W34" s="706">
        <f t="shared" si="14"/>
        <v>100</v>
      </c>
      <c r="X34" s="1355"/>
      <c r="Y34" s="37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84"/>
      <c r="Q35" s="707">
        <f t="shared" si="11"/>
        <v>111</v>
      </c>
      <c r="R35" s="708" t="s">
        <v>14</v>
      </c>
      <c r="S35" s="709">
        <f t="shared" si="12"/>
        <v>100</v>
      </c>
      <c r="T35" s="708" t="s">
        <v>14</v>
      </c>
      <c r="U35" s="709">
        <f t="shared" si="13"/>
        <v>100</v>
      </c>
      <c r="V35" s="708" t="s">
        <v>14</v>
      </c>
      <c r="W35" s="709">
        <f t="shared" si="14"/>
        <v>100</v>
      </c>
      <c r="X35" s="710"/>
      <c r="Y35" s="37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84"/>
      <c r="Q36" s="1352">
        <f t="shared" si="11"/>
        <v>111</v>
      </c>
      <c r="R36" s="705" t="s">
        <v>14</v>
      </c>
      <c r="S36" s="706">
        <f t="shared" si="12"/>
        <v>100</v>
      </c>
      <c r="T36" s="705" t="s">
        <v>14</v>
      </c>
      <c r="U36" s="706">
        <f t="shared" si="13"/>
        <v>100</v>
      </c>
      <c r="V36" s="705" t="s">
        <v>14</v>
      </c>
      <c r="W36" s="706">
        <f t="shared" si="14"/>
        <v>100</v>
      </c>
      <c r="X36" s="1355"/>
      <c r="Y36" s="3784"/>
      <c r="Z36" s="1356">
        <f t="shared" si="15"/>
        <v>111</v>
      </c>
      <c r="AA36" s="1353">
        <f t="shared" si="3"/>
        <v>1</v>
      </c>
      <c r="AB36" s="1353">
        <f t="shared" si="4"/>
        <v>1</v>
      </c>
      <c r="AC36" s="1353">
        <f t="shared" si="5"/>
        <v>1</v>
      </c>
    </row>
    <row r="37" spans="1:29" ht="15">
      <c r="A37" s="430" t="s">
        <v>1843</v>
      </c>
      <c r="B37" s="1973" t="s">
        <v>3354</v>
      </c>
      <c r="C37" s="1154" t="s">
        <v>0</v>
      </c>
      <c r="D37" s="1155"/>
      <c r="E37" s="1156"/>
      <c r="F37" s="1157"/>
      <c r="G37" s="1158"/>
      <c r="H37" s="1159"/>
      <c r="I37" s="1156"/>
      <c r="J37" s="1159"/>
      <c r="K37" s="568"/>
      <c r="L37" s="2722"/>
      <c r="M37" s="2723"/>
      <c r="N37" s="2714"/>
      <c r="O37" s="2723"/>
      <c r="P37" s="3777" t="str">
        <f>A37</f>
        <v>成交单价</v>
      </c>
      <c r="Q37" s="3777"/>
      <c r="R37" s="3778">
        <f>E37</f>
        <v>0</v>
      </c>
      <c r="S37" s="3778"/>
      <c r="T37" s="3778">
        <f>G37</f>
        <v>0</v>
      </c>
      <c r="U37" s="3778"/>
      <c r="V37" s="3778">
        <f>I37</f>
        <v>0</v>
      </c>
      <c r="W37" s="3778"/>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77" t="str">
        <f>A38</f>
        <v>比较价值（元/平方米）</v>
      </c>
      <c r="Q38" s="3777"/>
      <c r="R38" s="3778" t="e">
        <f>IF(F1="售价",ROUND(PRODUCT(R37,AA7:AA36),0),ROUND(PRODUCT(R37,AA7:AA36),1))</f>
        <v>#DIV/0!</v>
      </c>
      <c r="S38" s="3778"/>
      <c r="T38" s="3778" t="e">
        <f>IF(F1="售价",ROUND(PRODUCT(T37,AB7:AB36),0),ROUND(PRODUCT(T37,AB7:AB36),1))</f>
        <v>#DIV/0!</v>
      </c>
      <c r="U38" s="3778"/>
      <c r="V38" s="3778" t="e">
        <f>IF(F1="售价",ROUND(PRODUCT(V37,AC7:AC36),0),ROUND(PRODUCT(V37,AC7:AC36),1))</f>
        <v>#DIV/0!</v>
      </c>
      <c r="W38" s="377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74" t="str">
        <f>A39</f>
        <v>估价对象XX用房的比较价值（楼面单价，元/平方米）</v>
      </c>
      <c r="Q39" s="3775"/>
      <c r="R39" s="3804" t="e">
        <f>IF(F1="售价",ROUND(IF(D38="简单平均",AVERAGE(R38:W38),R38*F38+T38*H38+V38*J38),0),ROUND(IF(D38="简单平均",AVERAGE(R38:V38),R38*F38+T38*H38+V38*J38),1))</f>
        <v>#DIV/0!</v>
      </c>
      <c r="S39" s="3804"/>
      <c r="T39" s="3804"/>
      <c r="U39" s="3804"/>
      <c r="V39" s="3804"/>
      <c r="W39" s="380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47" t="s">
        <v>1770</v>
      </c>
      <c r="S4" s="3748"/>
      <c r="T4" s="3747" t="s">
        <v>1771</v>
      </c>
      <c r="U4" s="3748"/>
      <c r="V4" s="3772" t="s">
        <v>1772</v>
      </c>
      <c r="W4" s="3772"/>
      <c r="X4" s="1355"/>
      <c r="Y4" s="3747" t="s">
        <v>1774</v>
      </c>
      <c r="Z4" s="3748"/>
      <c r="AA4" s="3742" t="s">
        <v>1770</v>
      </c>
      <c r="AB4" s="3743" t="s">
        <v>1771</v>
      </c>
      <c r="AC4" s="3742" t="s">
        <v>1772</v>
      </c>
    </row>
    <row r="5" spans="1:29" ht="15">
      <c r="A5" s="358"/>
      <c r="B5" s="359"/>
      <c r="C5" s="3753" t="s">
        <v>1672</v>
      </c>
      <c r="D5" s="3754"/>
      <c r="E5" s="3751" t="s">
        <v>1673</v>
      </c>
      <c r="F5" s="3752"/>
      <c r="G5" s="3753" t="s">
        <v>1674</v>
      </c>
      <c r="H5" s="3754"/>
      <c r="I5" s="3753" t="s">
        <v>1675</v>
      </c>
      <c r="J5" s="3754"/>
      <c r="K5" s="559"/>
      <c r="L5" s="2713"/>
      <c r="M5" s="2714"/>
      <c r="N5" s="2714"/>
      <c r="O5" s="2714"/>
      <c r="P5" s="3766"/>
      <c r="Q5" s="3767"/>
      <c r="R5" s="3749"/>
      <c r="S5" s="3750"/>
      <c r="T5" s="3749"/>
      <c r="U5" s="3750"/>
      <c r="V5" s="3772"/>
      <c r="W5" s="3772"/>
      <c r="X5" s="1355"/>
      <c r="Y5" s="3749"/>
      <c r="Z5" s="3750"/>
      <c r="AA5" s="3743"/>
      <c r="AB5" s="3743"/>
      <c r="AC5" s="3743"/>
    </row>
    <row r="6" spans="1:29" ht="15.75" thickBot="1">
      <c r="A6" s="360"/>
      <c r="B6" s="361"/>
      <c r="C6" s="3755" t="s">
        <v>1676</v>
      </c>
      <c r="D6" s="3756"/>
      <c r="E6" s="3757" t="s">
        <v>1676</v>
      </c>
      <c r="F6" s="3758"/>
      <c r="G6" s="3755" t="s">
        <v>1676</v>
      </c>
      <c r="H6" s="3756"/>
      <c r="I6" s="3755" t="s">
        <v>1676</v>
      </c>
      <c r="J6" s="3756"/>
      <c r="K6" s="559" t="s">
        <v>1677</v>
      </c>
      <c r="L6" s="2713"/>
      <c r="M6" s="2714"/>
      <c r="N6" s="2714"/>
      <c r="O6" s="2714"/>
      <c r="P6" s="3768"/>
      <c r="Q6" s="3769"/>
      <c r="R6" s="3749"/>
      <c r="S6" s="3750"/>
      <c r="T6" s="3770"/>
      <c r="U6" s="3771"/>
      <c r="V6" s="3772"/>
      <c r="W6" s="3772"/>
      <c r="X6" s="1355"/>
      <c r="Y6" s="3770"/>
      <c r="Z6" s="3771"/>
      <c r="AA6" s="3744"/>
      <c r="AB6" s="3744"/>
      <c r="AC6" s="3744"/>
    </row>
    <row r="7" spans="1:29" s="108" customFormat="1" ht="15.75" thickBot="1">
      <c r="A7" s="362" t="s">
        <v>1678</v>
      </c>
      <c r="B7" s="363"/>
      <c r="C7" s="364">
        <f>'数据-取费表'!B2</f>
        <v>45631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45" t="s">
        <v>1679</v>
      </c>
      <c r="Q7" s="3773"/>
      <c r="R7" s="701" t="s">
        <v>14</v>
      </c>
      <c r="S7" s="702">
        <f t="shared" ref="S7:S14" si="0">F7</f>
        <v>0</v>
      </c>
      <c r="T7" s="701" t="s">
        <v>14</v>
      </c>
      <c r="U7" s="702">
        <f t="shared" ref="U7:U14" si="1">H7</f>
        <v>0</v>
      </c>
      <c r="V7" s="701" t="s">
        <v>14</v>
      </c>
      <c r="W7" s="702">
        <f t="shared" ref="W7:W14" si="2">J7</f>
        <v>0</v>
      </c>
      <c r="X7" s="703"/>
      <c r="Y7" s="3745" t="s">
        <v>1679</v>
      </c>
      <c r="Z7" s="374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45" t="s">
        <v>1682</v>
      </c>
      <c r="Q8" s="3746"/>
      <c r="R8" s="701" t="s">
        <v>14</v>
      </c>
      <c r="S8" s="702">
        <f t="shared" si="0"/>
        <v>100</v>
      </c>
      <c r="T8" s="701" t="s">
        <v>14</v>
      </c>
      <c r="U8" s="702">
        <f t="shared" si="1"/>
        <v>100</v>
      </c>
      <c r="V8" s="701" t="s">
        <v>14</v>
      </c>
      <c r="W8" s="702">
        <f t="shared" si="2"/>
        <v>100</v>
      </c>
      <c r="X8" s="703"/>
      <c r="Y8" s="3745" t="s">
        <v>1682</v>
      </c>
      <c r="Z8" s="374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77" t="s">
        <v>1685</v>
      </c>
      <c r="Q9" s="1343" t="str">
        <f t="shared" ref="Q9:Q14" si="6">B9</f>
        <v>用途</v>
      </c>
      <c r="R9" s="701" t="s">
        <v>14</v>
      </c>
      <c r="S9" s="702">
        <f t="shared" si="0"/>
        <v>100</v>
      </c>
      <c r="T9" s="701" t="s">
        <v>14</v>
      </c>
      <c r="U9" s="702">
        <f t="shared" si="1"/>
        <v>100</v>
      </c>
      <c r="V9" s="701" t="s">
        <v>14</v>
      </c>
      <c r="W9" s="702">
        <f t="shared" si="2"/>
        <v>100</v>
      </c>
      <c r="X9" s="703"/>
      <c r="Y9" s="3662"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77"/>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77"/>
      <c r="Q11" s="1343">
        <f t="shared" si="6"/>
        <v>111</v>
      </c>
      <c r="R11" s="701" t="s">
        <v>14</v>
      </c>
      <c r="S11" s="702">
        <f t="shared" si="0"/>
        <v>100</v>
      </c>
      <c r="T11" s="701" t="s">
        <v>14</v>
      </c>
      <c r="U11" s="702">
        <f t="shared" si="1"/>
        <v>100</v>
      </c>
      <c r="V11" s="701" t="s">
        <v>14</v>
      </c>
      <c r="W11" s="702">
        <f t="shared" si="2"/>
        <v>100</v>
      </c>
      <c r="X11" s="703"/>
      <c r="Y11" s="366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77"/>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77"/>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79" t="s">
        <v>1690</v>
      </c>
      <c r="Q14" s="1352" t="str">
        <f t="shared" si="6"/>
        <v>交通便捷度</v>
      </c>
      <c r="R14" s="705" t="s">
        <v>14</v>
      </c>
      <c r="S14" s="706">
        <f t="shared" si="0"/>
        <v>100</v>
      </c>
      <c r="T14" s="705" t="s">
        <v>14</v>
      </c>
      <c r="U14" s="706">
        <f t="shared" si="1"/>
        <v>100</v>
      </c>
      <c r="V14" s="705" t="s">
        <v>14</v>
      </c>
      <c r="W14" s="706">
        <f t="shared" si="2"/>
        <v>100</v>
      </c>
      <c r="X14" s="1355"/>
      <c r="Y14" s="377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80"/>
      <c r="Q15" s="1352"/>
      <c r="R15" s="705"/>
      <c r="S15" s="706"/>
      <c r="T15" s="705"/>
      <c r="U15" s="706"/>
      <c r="V15" s="705"/>
      <c r="W15" s="706"/>
      <c r="X15" s="1355"/>
      <c r="Y15" s="3780"/>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80"/>
      <c r="Q16" s="1352" t="str">
        <f>B16</f>
        <v>公共配套设施</v>
      </c>
      <c r="R16" s="705" t="s">
        <v>14</v>
      </c>
      <c r="S16" s="706">
        <f>F16</f>
        <v>100</v>
      </c>
      <c r="T16" s="705" t="s">
        <v>14</v>
      </c>
      <c r="U16" s="706">
        <f>H16</f>
        <v>100</v>
      </c>
      <c r="V16" s="705" t="s">
        <v>14</v>
      </c>
      <c r="W16" s="706">
        <f>J16</f>
        <v>100</v>
      </c>
      <c r="X16" s="1355"/>
      <c r="Y16" s="37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80"/>
      <c r="Q17" s="1352"/>
      <c r="R17" s="705"/>
      <c r="S17" s="706"/>
      <c r="T17" s="705"/>
      <c r="U17" s="706"/>
      <c r="V17" s="705"/>
      <c r="W17" s="706"/>
      <c r="X17" s="1355"/>
      <c r="Y17" s="3780"/>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80"/>
      <c r="Q18" s="1352" t="str">
        <f>B18</f>
        <v>基础设施水平</v>
      </c>
      <c r="R18" s="705" t="s">
        <v>14</v>
      </c>
      <c r="S18" s="706">
        <f>F18</f>
        <v>100</v>
      </c>
      <c r="T18" s="705" t="s">
        <v>14</v>
      </c>
      <c r="U18" s="706">
        <f>H18</f>
        <v>100</v>
      </c>
      <c r="V18" s="705" t="s">
        <v>14</v>
      </c>
      <c r="W18" s="706">
        <f>J18</f>
        <v>100</v>
      </c>
      <c r="X18" s="1355"/>
      <c r="Y18" s="37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80"/>
      <c r="Q19" s="1352"/>
      <c r="R19" s="705"/>
      <c r="S19" s="706"/>
      <c r="T19" s="705"/>
      <c r="U19" s="706"/>
      <c r="V19" s="705"/>
      <c r="W19" s="706"/>
      <c r="X19" s="1355"/>
      <c r="Y19" s="3780"/>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80"/>
      <c r="Q20" s="1352" t="str">
        <f>B20</f>
        <v>自然及人文环境</v>
      </c>
      <c r="R20" s="705" t="s">
        <v>14</v>
      </c>
      <c r="S20" s="706">
        <f>F20</f>
        <v>100</v>
      </c>
      <c r="T20" s="705" t="s">
        <v>14</v>
      </c>
      <c r="U20" s="706">
        <f>H20</f>
        <v>100</v>
      </c>
      <c r="V20" s="705" t="s">
        <v>14</v>
      </c>
      <c r="W20" s="706">
        <f>J20</f>
        <v>100</v>
      </c>
      <c r="X20" s="1355"/>
      <c r="Y20" s="37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80"/>
      <c r="Q21" s="1352"/>
      <c r="R21" s="705"/>
      <c r="S21" s="706"/>
      <c r="T21" s="705"/>
      <c r="U21" s="706"/>
      <c r="V21" s="705"/>
      <c r="W21" s="706"/>
      <c r="X21" s="1355"/>
      <c r="Y21" s="378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80"/>
      <c r="Q22" s="1352" t="str">
        <f>B22</f>
        <v>楼层</v>
      </c>
      <c r="R22" s="705" t="s">
        <v>14</v>
      </c>
      <c r="S22" s="706">
        <f>F22</f>
        <v>100</v>
      </c>
      <c r="T22" s="705" t="s">
        <v>14</v>
      </c>
      <c r="U22" s="706">
        <f>H22</f>
        <v>100</v>
      </c>
      <c r="V22" s="705" t="s">
        <v>14</v>
      </c>
      <c r="W22" s="706">
        <f>J22</f>
        <v>100</v>
      </c>
      <c r="X22" s="1355"/>
      <c r="Y22" s="37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80"/>
      <c r="Q23" s="1352">
        <f>B23</f>
        <v>111</v>
      </c>
      <c r="R23" s="705" t="s">
        <v>14</v>
      </c>
      <c r="S23" s="706">
        <f>F23</f>
        <v>100</v>
      </c>
      <c r="T23" s="705" t="s">
        <v>14</v>
      </c>
      <c r="U23" s="706">
        <f>H23</f>
        <v>100</v>
      </c>
      <c r="V23" s="705" t="s">
        <v>14</v>
      </c>
      <c r="W23" s="706">
        <f>J23</f>
        <v>100</v>
      </c>
      <c r="X23" s="1355"/>
      <c r="Y23" s="37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80"/>
      <c r="Q24" s="1352">
        <f t="shared" ref="Q24:Q34" si="11">B24</f>
        <v>111</v>
      </c>
      <c r="R24" s="705" t="s">
        <v>14</v>
      </c>
      <c r="S24" s="706">
        <f>F24</f>
        <v>100</v>
      </c>
      <c r="T24" s="705" t="s">
        <v>14</v>
      </c>
      <c r="U24" s="706">
        <f>H24</f>
        <v>100</v>
      </c>
      <c r="V24" s="705" t="s">
        <v>14</v>
      </c>
      <c r="W24" s="706">
        <f>J24</f>
        <v>100</v>
      </c>
      <c r="X24" s="1355"/>
      <c r="Y24" s="37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80"/>
      <c r="Q25" s="1343">
        <f t="shared" si="11"/>
        <v>111</v>
      </c>
      <c r="R25" s="701" t="s">
        <v>14</v>
      </c>
      <c r="S25" s="702">
        <f>F25</f>
        <v>100</v>
      </c>
      <c r="T25" s="701" t="s">
        <v>14</v>
      </c>
      <c r="U25" s="702">
        <f>H25</f>
        <v>100</v>
      </c>
      <c r="V25" s="701" t="s">
        <v>14</v>
      </c>
      <c r="W25" s="702">
        <f>J25</f>
        <v>100</v>
      </c>
      <c r="X25" s="703"/>
      <c r="Y25" s="378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0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84"/>
      <c r="Q27" s="707" t="str">
        <f t="shared" si="11"/>
        <v>成新率</v>
      </c>
      <c r="R27" s="708" t="s">
        <v>14</v>
      </c>
      <c r="S27" s="709" t="e">
        <f t="shared" si="12"/>
        <v>#N/A</v>
      </c>
      <c r="T27" s="708" t="s">
        <v>14</v>
      </c>
      <c r="U27" s="709" t="e">
        <f t="shared" si="13"/>
        <v>#N/A</v>
      </c>
      <c r="V27" s="708" t="s">
        <v>14</v>
      </c>
      <c r="W27" s="709" t="e">
        <f t="shared" si="14"/>
        <v>#N/A</v>
      </c>
      <c r="X27" s="710"/>
      <c r="Y27" s="378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84"/>
      <c r="Q28" s="1352" t="str">
        <f t="shared" si="11"/>
        <v>物业等级</v>
      </c>
      <c r="R28" s="705" t="s">
        <v>14</v>
      </c>
      <c r="S28" s="706">
        <f t="shared" si="12"/>
        <v>100</v>
      </c>
      <c r="T28" s="705" t="s">
        <v>14</v>
      </c>
      <c r="U28" s="706">
        <f t="shared" si="13"/>
        <v>100</v>
      </c>
      <c r="V28" s="705" t="s">
        <v>14</v>
      </c>
      <c r="W28" s="706">
        <f t="shared" si="14"/>
        <v>100</v>
      </c>
      <c r="X28" s="1355"/>
      <c r="Y28" s="378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84"/>
      <c r="Q29" s="1352" t="str">
        <f t="shared" si="11"/>
        <v>有无电梯</v>
      </c>
      <c r="R29" s="705" t="s">
        <v>14</v>
      </c>
      <c r="S29" s="706">
        <f t="shared" si="12"/>
        <v>100</v>
      </c>
      <c r="T29" s="705" t="s">
        <v>14</v>
      </c>
      <c r="U29" s="706">
        <f t="shared" si="13"/>
        <v>100</v>
      </c>
      <c r="V29" s="705" t="s">
        <v>14</v>
      </c>
      <c r="W29" s="706">
        <f t="shared" si="14"/>
        <v>100</v>
      </c>
      <c r="X29" s="1355"/>
      <c r="Y29" s="378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84"/>
      <c r="Q30" s="1352" t="str">
        <f t="shared" si="11"/>
        <v>建筑面积</v>
      </c>
      <c r="R30" s="705" t="s">
        <v>14</v>
      </c>
      <c r="S30" s="706" t="e">
        <f t="shared" si="12"/>
        <v>#N/A</v>
      </c>
      <c r="T30" s="705" t="s">
        <v>14</v>
      </c>
      <c r="U30" s="706" t="e">
        <f t="shared" si="13"/>
        <v>#N/A</v>
      </c>
      <c r="V30" s="705" t="s">
        <v>14</v>
      </c>
      <c r="W30" s="706" t="e">
        <f t="shared" si="14"/>
        <v>#N/A</v>
      </c>
      <c r="X30" s="1355"/>
      <c r="Y30" s="378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84"/>
      <c r="Q31" s="1343" t="str">
        <f t="shared" si="11"/>
        <v>是否封闭</v>
      </c>
      <c r="R31" s="701" t="s">
        <v>14</v>
      </c>
      <c r="S31" s="702">
        <f t="shared" si="12"/>
        <v>100</v>
      </c>
      <c r="T31" s="701" t="s">
        <v>14</v>
      </c>
      <c r="U31" s="702">
        <f t="shared" si="13"/>
        <v>100</v>
      </c>
      <c r="V31" s="701" t="s">
        <v>14</v>
      </c>
      <c r="W31" s="702">
        <f t="shared" si="14"/>
        <v>100</v>
      </c>
      <c r="X31" s="703"/>
      <c r="Y31" s="37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84" t="s">
        <v>1695</v>
      </c>
      <c r="Q32" s="1352">
        <f t="shared" si="11"/>
        <v>111</v>
      </c>
      <c r="R32" s="705" t="s">
        <v>14</v>
      </c>
      <c r="S32" s="706">
        <f t="shared" si="12"/>
        <v>100</v>
      </c>
      <c r="T32" s="705" t="s">
        <v>14</v>
      </c>
      <c r="U32" s="706">
        <f t="shared" si="13"/>
        <v>100</v>
      </c>
      <c r="V32" s="705" t="s">
        <v>14</v>
      </c>
      <c r="W32" s="706">
        <f t="shared" si="14"/>
        <v>100</v>
      </c>
      <c r="X32" s="1355"/>
      <c r="Y32" s="378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84"/>
      <c r="Q33" s="1352">
        <f t="shared" si="11"/>
        <v>111</v>
      </c>
      <c r="R33" s="705" t="s">
        <v>14</v>
      </c>
      <c r="S33" s="706">
        <f t="shared" si="12"/>
        <v>100</v>
      </c>
      <c r="T33" s="705" t="s">
        <v>14</v>
      </c>
      <c r="U33" s="706">
        <f t="shared" si="13"/>
        <v>100</v>
      </c>
      <c r="V33" s="705" t="s">
        <v>14</v>
      </c>
      <c r="W33" s="706">
        <f t="shared" si="14"/>
        <v>100</v>
      </c>
      <c r="X33" s="1355"/>
      <c r="Y33" s="37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84"/>
      <c r="Q34" s="1352">
        <f t="shared" si="11"/>
        <v>111</v>
      </c>
      <c r="R34" s="705" t="s">
        <v>14</v>
      </c>
      <c r="S34" s="706">
        <f t="shared" si="12"/>
        <v>100</v>
      </c>
      <c r="T34" s="705" t="s">
        <v>14</v>
      </c>
      <c r="U34" s="706">
        <f t="shared" si="13"/>
        <v>100</v>
      </c>
      <c r="V34" s="705" t="s">
        <v>14</v>
      </c>
      <c r="W34" s="706">
        <f t="shared" si="14"/>
        <v>100</v>
      </c>
      <c r="X34" s="1355"/>
      <c r="Y34" s="378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77" t="str">
        <f>A35</f>
        <v>成交单价（元/平方米）</v>
      </c>
      <c r="Q35" s="3777"/>
      <c r="R35" s="3778">
        <f>E35</f>
        <v>0</v>
      </c>
      <c r="S35" s="3778"/>
      <c r="T35" s="3778">
        <f>G35</f>
        <v>0</v>
      </c>
      <c r="U35" s="3778"/>
      <c r="V35" s="3778">
        <f>I35</f>
        <v>0</v>
      </c>
      <c r="W35" s="3778"/>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77" t="str">
        <f>A36</f>
        <v>比较价值（元/平方米）</v>
      </c>
      <c r="Q36" s="3777"/>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74" t="str">
        <f>A37</f>
        <v>估价对象XX用房的比较价值（楼面单价，元/平方米）</v>
      </c>
      <c r="Q37" s="3775"/>
      <c r="R37" s="3804" t="e">
        <f>IF(F1="售价",ROUND(IF(D36="简单平均",AVERAGE(R36:W36),R36*F36+T36*H36+V36*J36),0),ROUND(IF(D36="简单平均",AVERAGE(R36:V36),R36*F36+T36*H36+V36*J36),1))</f>
        <v>#DIV/0!</v>
      </c>
      <c r="S37" s="3804"/>
      <c r="T37" s="3804"/>
      <c r="U37" s="3804"/>
      <c r="V37" s="3804"/>
      <c r="W37" s="380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47" t="s">
        <v>1770</v>
      </c>
      <c r="S4" s="3748"/>
      <c r="T4" s="3747" t="s">
        <v>1771</v>
      </c>
      <c r="U4" s="3748"/>
      <c r="V4" s="3772" t="s">
        <v>1772</v>
      </c>
      <c r="W4" s="3772"/>
      <c r="X4" s="1355"/>
      <c r="Y4" s="3747" t="s">
        <v>1774</v>
      </c>
      <c r="Z4" s="3748"/>
      <c r="AA4" s="3742" t="s">
        <v>1770</v>
      </c>
      <c r="AB4" s="3743" t="s">
        <v>1771</v>
      </c>
      <c r="AC4" s="3742" t="s">
        <v>1772</v>
      </c>
    </row>
    <row r="5" spans="1:30" ht="15">
      <c r="A5" s="358"/>
      <c r="B5" s="359"/>
      <c r="C5" s="3753" t="s">
        <v>1672</v>
      </c>
      <c r="D5" s="3754"/>
      <c r="E5" s="3751" t="s">
        <v>1673</v>
      </c>
      <c r="F5" s="3752"/>
      <c r="G5" s="3753" t="s">
        <v>1674</v>
      </c>
      <c r="H5" s="3754"/>
      <c r="I5" s="3753" t="s">
        <v>1675</v>
      </c>
      <c r="J5" s="3754"/>
      <c r="K5" s="559"/>
      <c r="L5" s="2713"/>
      <c r="M5" s="2714"/>
      <c r="N5" s="2714"/>
      <c r="O5" s="2714"/>
      <c r="P5" s="3766"/>
      <c r="Q5" s="3767"/>
      <c r="R5" s="3749"/>
      <c r="S5" s="3750"/>
      <c r="T5" s="3749"/>
      <c r="U5" s="3750"/>
      <c r="V5" s="3772"/>
      <c r="W5" s="3772"/>
      <c r="X5" s="1355"/>
      <c r="Y5" s="3749"/>
      <c r="Z5" s="3750"/>
      <c r="AA5" s="3743"/>
      <c r="AB5" s="3743"/>
      <c r="AC5" s="3743"/>
    </row>
    <row r="6" spans="1:30" ht="15.75" thickBot="1">
      <c r="A6" s="360"/>
      <c r="B6" s="361"/>
      <c r="C6" s="3755" t="s">
        <v>1676</v>
      </c>
      <c r="D6" s="3756"/>
      <c r="E6" s="3757" t="s">
        <v>1676</v>
      </c>
      <c r="F6" s="3758"/>
      <c r="G6" s="3755" t="s">
        <v>1676</v>
      </c>
      <c r="H6" s="3756"/>
      <c r="I6" s="3755" t="s">
        <v>1676</v>
      </c>
      <c r="J6" s="3756"/>
      <c r="K6" s="559" t="s">
        <v>1677</v>
      </c>
      <c r="L6" s="2713"/>
      <c r="M6" s="2714"/>
      <c r="N6" s="2714"/>
      <c r="O6" s="2714"/>
      <c r="P6" s="3768"/>
      <c r="Q6" s="3769"/>
      <c r="R6" s="3749"/>
      <c r="S6" s="3750"/>
      <c r="T6" s="3770"/>
      <c r="U6" s="3771"/>
      <c r="V6" s="3772"/>
      <c r="W6" s="3772"/>
      <c r="X6" s="1355"/>
      <c r="Y6" s="3770"/>
      <c r="Z6" s="3771"/>
      <c r="AA6" s="3744"/>
      <c r="AB6" s="3744"/>
      <c r="AC6" s="3744"/>
    </row>
    <row r="7" spans="1:30" s="108" customFormat="1" ht="15.75" thickBot="1">
      <c r="A7" s="362" t="s">
        <v>1678</v>
      </c>
      <c r="B7" s="363"/>
      <c r="C7" s="364">
        <f>'数据-取费表'!B2</f>
        <v>45631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45" t="s">
        <v>1679</v>
      </c>
      <c r="Q7" s="3773"/>
      <c r="R7" s="701" t="s">
        <v>14</v>
      </c>
      <c r="S7" s="702">
        <f t="shared" ref="S7:S15" si="0">F7</f>
        <v>0</v>
      </c>
      <c r="T7" s="701" t="s">
        <v>14</v>
      </c>
      <c r="U7" s="702">
        <f t="shared" ref="U7:U15" si="1">H7</f>
        <v>0</v>
      </c>
      <c r="V7" s="701" t="s">
        <v>14</v>
      </c>
      <c r="W7" s="702">
        <f t="shared" ref="W7:W15" si="2">J7</f>
        <v>0</v>
      </c>
      <c r="X7" s="703"/>
      <c r="Y7" s="3745" t="s">
        <v>1679</v>
      </c>
      <c r="Z7" s="3746"/>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45" t="s">
        <v>1682</v>
      </c>
      <c r="Q8" s="3746"/>
      <c r="R8" s="701" t="s">
        <v>14</v>
      </c>
      <c r="S8" s="702">
        <f t="shared" si="0"/>
        <v>0</v>
      </c>
      <c r="T8" s="701" t="s">
        <v>14</v>
      </c>
      <c r="U8" s="702">
        <f t="shared" si="1"/>
        <v>0</v>
      </c>
      <c r="V8" s="701" t="s">
        <v>14</v>
      </c>
      <c r="W8" s="702">
        <f t="shared" si="2"/>
        <v>0</v>
      </c>
      <c r="X8" s="703"/>
      <c r="Y8" s="3745" t="s">
        <v>1682</v>
      </c>
      <c r="Z8" s="3746"/>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77" t="s">
        <v>1685</v>
      </c>
      <c r="Q9" s="1343" t="str">
        <f t="shared" ref="Q9:Q15" si="6">B9</f>
        <v>用途</v>
      </c>
      <c r="R9" s="701" t="s">
        <v>14</v>
      </c>
      <c r="S9" s="702">
        <f t="shared" si="0"/>
        <v>100</v>
      </c>
      <c r="T9" s="701" t="s">
        <v>14</v>
      </c>
      <c r="U9" s="702">
        <f t="shared" si="1"/>
        <v>100</v>
      </c>
      <c r="V9" s="701" t="s">
        <v>14</v>
      </c>
      <c r="W9" s="702">
        <f t="shared" si="2"/>
        <v>100</v>
      </c>
      <c r="X9" s="703"/>
      <c r="Y9" s="3662"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109</v>
      </c>
      <c r="G10" s="414"/>
      <c r="H10" s="127">
        <f>ROUND(100/'数据-取费表'!G16,0)</f>
        <v>109</v>
      </c>
      <c r="I10" s="414"/>
      <c r="J10" s="127">
        <f>ROUND(100/'数据-取费表'!G16,0)</f>
        <v>109</v>
      </c>
      <c r="K10" s="620"/>
      <c r="L10" s="2717"/>
      <c r="M10" s="2718"/>
      <c r="N10" s="2718"/>
      <c r="O10" s="2771"/>
      <c r="P10" s="3777"/>
      <c r="Q10" s="1343" t="str">
        <f t="shared" si="6"/>
        <v>土地使用年限（年）</v>
      </c>
      <c r="R10" s="701" t="s">
        <v>14</v>
      </c>
      <c r="S10" s="702">
        <f t="shared" si="0"/>
        <v>109</v>
      </c>
      <c r="T10" s="701" t="s">
        <v>14</v>
      </c>
      <c r="U10" s="702">
        <f t="shared" si="1"/>
        <v>109</v>
      </c>
      <c r="V10" s="701" t="s">
        <v>14</v>
      </c>
      <c r="W10" s="702">
        <f t="shared" si="2"/>
        <v>109</v>
      </c>
      <c r="X10" s="703"/>
      <c r="Y10" s="3662"/>
      <c r="Z10" s="52" t="str">
        <f t="shared" si="7"/>
        <v>土地使用年限（年）</v>
      </c>
      <c r="AA10" s="704">
        <f t="shared" si="3"/>
        <v>0.91743119266055051</v>
      </c>
      <c r="AB10" s="704">
        <f t="shared" si="4"/>
        <v>0.91743119266055051</v>
      </c>
      <c r="AC10" s="704">
        <f t="shared" si="5"/>
        <v>0.91743119266055051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77"/>
      <c r="Q11" s="1343" t="str">
        <f t="shared" si="6"/>
        <v>容积率</v>
      </c>
      <c r="R11" s="701" t="s">
        <v>14</v>
      </c>
      <c r="S11" s="702" t="e">
        <f t="shared" si="0"/>
        <v>#N/A</v>
      </c>
      <c r="T11" s="701" t="s">
        <v>14</v>
      </c>
      <c r="U11" s="702" t="e">
        <f t="shared" si="1"/>
        <v>#N/A</v>
      </c>
      <c r="V11" s="701" t="s">
        <v>14</v>
      </c>
      <c r="W11" s="702" t="e">
        <f t="shared" si="2"/>
        <v>#N/A</v>
      </c>
      <c r="X11" s="703"/>
      <c r="Y11" s="3662"/>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77"/>
      <c r="Q12" s="1343" t="str">
        <f t="shared" si="6"/>
        <v>配建</v>
      </c>
      <c r="R12" s="701" t="s">
        <v>14</v>
      </c>
      <c r="S12" s="702">
        <f t="shared" si="0"/>
        <v>100</v>
      </c>
      <c r="T12" s="701" t="s">
        <v>14</v>
      </c>
      <c r="U12" s="702">
        <f t="shared" si="1"/>
        <v>100</v>
      </c>
      <c r="V12" s="701" t="s">
        <v>14</v>
      </c>
      <c r="W12" s="702">
        <f t="shared" si="2"/>
        <v>100</v>
      </c>
      <c r="X12" s="703"/>
      <c r="Y12" s="366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77"/>
      <c r="Q13" s="1343">
        <f t="shared" si="6"/>
        <v>111</v>
      </c>
      <c r="R13" s="701" t="s">
        <v>14</v>
      </c>
      <c r="S13" s="702">
        <f t="shared" si="0"/>
        <v>100</v>
      </c>
      <c r="T13" s="701" t="s">
        <v>14</v>
      </c>
      <c r="U13" s="702">
        <f t="shared" si="1"/>
        <v>100</v>
      </c>
      <c r="V13" s="701" t="s">
        <v>14</v>
      </c>
      <c r="W13" s="702">
        <f t="shared" si="2"/>
        <v>100</v>
      </c>
      <c r="X13" s="703"/>
      <c r="Y13" s="366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77"/>
      <c r="Q14" s="1343">
        <f t="shared" si="6"/>
        <v>111</v>
      </c>
      <c r="R14" s="701" t="s">
        <v>14</v>
      </c>
      <c r="S14" s="702">
        <f t="shared" si="0"/>
        <v>100</v>
      </c>
      <c r="T14" s="701" t="s">
        <v>14</v>
      </c>
      <c r="U14" s="702">
        <f t="shared" si="1"/>
        <v>100</v>
      </c>
      <c r="V14" s="701" t="s">
        <v>14</v>
      </c>
      <c r="W14" s="702">
        <f t="shared" si="2"/>
        <v>100</v>
      </c>
      <c r="X14" s="703"/>
      <c r="Y14" s="3662"/>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79" t="s">
        <v>1690</v>
      </c>
      <c r="Q15" s="1352" t="str">
        <f t="shared" si="6"/>
        <v>居住社区成熟度</v>
      </c>
      <c r="R15" s="705" t="s">
        <v>14</v>
      </c>
      <c r="S15" s="706">
        <f t="shared" si="0"/>
        <v>100</v>
      </c>
      <c r="T15" s="705" t="s">
        <v>14</v>
      </c>
      <c r="U15" s="706">
        <f t="shared" si="1"/>
        <v>100</v>
      </c>
      <c r="V15" s="705" t="s">
        <v>14</v>
      </c>
      <c r="W15" s="706">
        <f t="shared" si="2"/>
        <v>100</v>
      </c>
      <c r="X15" s="1355"/>
      <c r="Y15" s="377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80"/>
      <c r="Q16" s="1352"/>
      <c r="R16" s="705"/>
      <c r="S16" s="706"/>
      <c r="T16" s="705"/>
      <c r="U16" s="706"/>
      <c r="V16" s="705"/>
      <c r="W16" s="706"/>
      <c r="X16" s="1355"/>
      <c r="Y16" s="3780"/>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80"/>
      <c r="Q17" s="1352" t="str">
        <f>B17</f>
        <v>商业繁华度</v>
      </c>
      <c r="R17" s="705" t="s">
        <v>14</v>
      </c>
      <c r="S17" s="706">
        <f>F17</f>
        <v>100</v>
      </c>
      <c r="T17" s="705" t="s">
        <v>14</v>
      </c>
      <c r="U17" s="706">
        <f>H17</f>
        <v>100</v>
      </c>
      <c r="V17" s="705" t="s">
        <v>14</v>
      </c>
      <c r="W17" s="706">
        <f>J17</f>
        <v>100</v>
      </c>
      <c r="X17" s="1355"/>
      <c r="Y17" s="37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80"/>
      <c r="Q18" s="1352"/>
      <c r="R18" s="705"/>
      <c r="S18" s="706"/>
      <c r="T18" s="705"/>
      <c r="U18" s="706"/>
      <c r="V18" s="705"/>
      <c r="W18" s="706"/>
      <c r="X18" s="1355"/>
      <c r="Y18" s="3780"/>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80"/>
      <c r="Q19" s="1352" t="str">
        <f>B19</f>
        <v>办公集聚程度</v>
      </c>
      <c r="R19" s="705" t="s">
        <v>14</v>
      </c>
      <c r="S19" s="706">
        <f>F19</f>
        <v>100</v>
      </c>
      <c r="T19" s="705" t="s">
        <v>14</v>
      </c>
      <c r="U19" s="706">
        <f>H19</f>
        <v>100</v>
      </c>
      <c r="V19" s="705" t="s">
        <v>14</v>
      </c>
      <c r="W19" s="706">
        <f>J19</f>
        <v>100</v>
      </c>
      <c r="X19" s="1355"/>
      <c r="Y19" s="37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80"/>
      <c r="Q20" s="1352"/>
      <c r="R20" s="705"/>
      <c r="S20" s="706"/>
      <c r="T20" s="705"/>
      <c r="U20" s="706"/>
      <c r="V20" s="705"/>
      <c r="W20" s="706"/>
      <c r="X20" s="1355"/>
      <c r="Y20" s="3780"/>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80"/>
      <c r="Q21" s="1352" t="str">
        <f>B21</f>
        <v>交通便捷度</v>
      </c>
      <c r="R21" s="705" t="s">
        <v>14</v>
      </c>
      <c r="S21" s="706">
        <f>F21</f>
        <v>100</v>
      </c>
      <c r="T21" s="705" t="s">
        <v>14</v>
      </c>
      <c r="U21" s="706">
        <f>H21</f>
        <v>100</v>
      </c>
      <c r="V21" s="705" t="s">
        <v>14</v>
      </c>
      <c r="W21" s="706">
        <f>J21</f>
        <v>100</v>
      </c>
      <c r="X21" s="1355"/>
      <c r="Y21" s="37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80"/>
      <c r="Q22" s="1352"/>
      <c r="R22" s="705"/>
      <c r="S22" s="706"/>
      <c r="T22" s="705"/>
      <c r="U22" s="706"/>
      <c r="V22" s="705"/>
      <c r="W22" s="706"/>
      <c r="X22" s="1355"/>
      <c r="Y22" s="378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80"/>
      <c r="Q23" s="1352" t="str">
        <f t="shared" ref="Q23:Q37" si="8">B23</f>
        <v>区域土地利用方向</v>
      </c>
      <c r="R23" s="705" t="s">
        <v>14</v>
      </c>
      <c r="S23" s="706">
        <f>F23</f>
        <v>100</v>
      </c>
      <c r="T23" s="705" t="s">
        <v>14</v>
      </c>
      <c r="U23" s="706">
        <f>H23</f>
        <v>100</v>
      </c>
      <c r="V23" s="705" t="s">
        <v>14</v>
      </c>
      <c r="W23" s="706">
        <f>J23</f>
        <v>100</v>
      </c>
      <c r="X23" s="1355"/>
      <c r="Y23" s="37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80"/>
      <c r="Q24" s="1352"/>
      <c r="R24" s="705"/>
      <c r="S24" s="706"/>
      <c r="T24" s="705"/>
      <c r="U24" s="706"/>
      <c r="V24" s="705"/>
      <c r="W24" s="706"/>
      <c r="X24" s="1355"/>
      <c r="Y24" s="3780"/>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80"/>
      <c r="Q25" s="1352" t="str">
        <f t="shared" si="8"/>
        <v>自然及人文环境状况</v>
      </c>
      <c r="R25" s="705" t="s">
        <v>14</v>
      </c>
      <c r="S25" s="706">
        <f>F25</f>
        <v>100</v>
      </c>
      <c r="T25" s="705" t="s">
        <v>14</v>
      </c>
      <c r="U25" s="706">
        <f>H25</f>
        <v>100</v>
      </c>
      <c r="V25" s="705" t="s">
        <v>14</v>
      </c>
      <c r="W25" s="706">
        <f>J25</f>
        <v>100</v>
      </c>
      <c r="X25" s="1355"/>
      <c r="Y25" s="37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80"/>
      <c r="Q26" s="1352"/>
      <c r="R26" s="705"/>
      <c r="S26" s="706"/>
      <c r="T26" s="705"/>
      <c r="U26" s="706"/>
      <c r="V26" s="705"/>
      <c r="W26" s="706"/>
      <c r="X26" s="1355"/>
      <c r="Y26" s="3780"/>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80"/>
      <c r="Q27" s="1343" t="str">
        <f t="shared" si="8"/>
        <v>公共配套设施</v>
      </c>
      <c r="R27" s="701" t="s">
        <v>14</v>
      </c>
      <c r="S27" s="702">
        <f>F27</f>
        <v>100</v>
      </c>
      <c r="T27" s="701" t="s">
        <v>14</v>
      </c>
      <c r="U27" s="702">
        <f>H27</f>
        <v>100</v>
      </c>
      <c r="V27" s="701" t="s">
        <v>14</v>
      </c>
      <c r="W27" s="702">
        <f>J27</f>
        <v>100</v>
      </c>
      <c r="X27" s="703"/>
      <c r="Y27" s="37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80"/>
      <c r="Q28" s="1343"/>
      <c r="R28" s="701"/>
      <c r="S28" s="702"/>
      <c r="T28" s="701"/>
      <c r="U28" s="702"/>
      <c r="V28" s="701"/>
      <c r="W28" s="702"/>
      <c r="X28" s="703"/>
      <c r="Y28" s="3780"/>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80"/>
      <c r="Q29" s="1343" t="str">
        <f t="shared" ref="Q29" si="9">B29</f>
        <v>基础设施水平</v>
      </c>
      <c r="R29" s="701" t="s">
        <v>14</v>
      </c>
      <c r="S29" s="702">
        <f>F29</f>
        <v>100</v>
      </c>
      <c r="T29" s="701" t="s">
        <v>14</v>
      </c>
      <c r="U29" s="702">
        <f>H29</f>
        <v>100</v>
      </c>
      <c r="V29" s="701" t="s">
        <v>14</v>
      </c>
      <c r="W29" s="702">
        <f>J29</f>
        <v>100</v>
      </c>
      <c r="X29" s="703"/>
      <c r="Y29" s="37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80"/>
      <c r="Q30" s="1343"/>
      <c r="R30" s="701"/>
      <c r="S30" s="702"/>
      <c r="T30" s="701"/>
      <c r="U30" s="702"/>
      <c r="V30" s="701"/>
      <c r="W30" s="702"/>
      <c r="X30" s="703"/>
      <c r="Y30" s="378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80"/>
      <c r="Q32" s="1352" t="str">
        <f t="shared" si="8"/>
        <v>毗邻道路的类型与等级</v>
      </c>
      <c r="R32" s="705" t="s">
        <v>14</v>
      </c>
      <c r="S32" s="706">
        <f t="shared" si="10"/>
        <v>100</v>
      </c>
      <c r="T32" s="705" t="s">
        <v>14</v>
      </c>
      <c r="U32" s="706">
        <f t="shared" si="11"/>
        <v>100</v>
      </c>
      <c r="V32" s="705" t="s">
        <v>14</v>
      </c>
      <c r="W32" s="706">
        <f t="shared" si="12"/>
        <v>100</v>
      </c>
      <c r="X32" s="1355"/>
      <c r="Y32" s="37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80"/>
      <c r="Q33" s="1352"/>
      <c r="R33" s="705"/>
      <c r="S33" s="706"/>
      <c r="T33" s="705"/>
      <c r="U33" s="706"/>
      <c r="V33" s="705"/>
      <c r="W33" s="706"/>
      <c r="X33" s="1355"/>
      <c r="Y33" s="378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80"/>
      <c r="Q34" s="1352" t="str">
        <f t="shared" si="8"/>
        <v>土地级别</v>
      </c>
      <c r="R34" s="705" t="s">
        <v>14</v>
      </c>
      <c r="S34" s="706">
        <f t="shared" si="10"/>
        <v>100</v>
      </c>
      <c r="T34" s="705" t="s">
        <v>14</v>
      </c>
      <c r="U34" s="706">
        <f t="shared" si="11"/>
        <v>100</v>
      </c>
      <c r="V34" s="705" t="s">
        <v>14</v>
      </c>
      <c r="W34" s="706">
        <f t="shared" si="12"/>
        <v>100</v>
      </c>
      <c r="X34" s="1355"/>
      <c r="Y34" s="37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80"/>
      <c r="Q35" s="1352">
        <f t="shared" si="8"/>
        <v>111</v>
      </c>
      <c r="R35" s="705" t="s">
        <v>14</v>
      </c>
      <c r="S35" s="706">
        <f t="shared" si="10"/>
        <v>100</v>
      </c>
      <c r="T35" s="705" t="s">
        <v>14</v>
      </c>
      <c r="U35" s="706">
        <f t="shared" si="11"/>
        <v>100</v>
      </c>
      <c r="V35" s="705" t="s">
        <v>14</v>
      </c>
      <c r="W35" s="706">
        <f t="shared" si="12"/>
        <v>100</v>
      </c>
      <c r="X35" s="1355"/>
      <c r="Y35" s="37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03" t="s">
        <v>1695</v>
      </c>
      <c r="Q36" s="1352">
        <f t="shared" si="8"/>
        <v>111</v>
      </c>
      <c r="R36" s="705" t="s">
        <v>14</v>
      </c>
      <c r="S36" s="706">
        <f t="shared" si="10"/>
        <v>100</v>
      </c>
      <c r="T36" s="705" t="s">
        <v>14</v>
      </c>
      <c r="U36" s="706">
        <f t="shared" si="11"/>
        <v>100</v>
      </c>
      <c r="V36" s="705" t="s">
        <v>14</v>
      </c>
      <c r="W36" s="706">
        <f t="shared" si="12"/>
        <v>100</v>
      </c>
      <c r="X36" s="1355"/>
      <c r="Y36" s="378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84"/>
      <c r="Q37" s="1352">
        <f t="shared" si="8"/>
        <v>111</v>
      </c>
      <c r="R37" s="708" t="s">
        <v>14</v>
      </c>
      <c r="S37" s="709">
        <f t="shared" si="10"/>
        <v>100</v>
      </c>
      <c r="T37" s="708" t="s">
        <v>14</v>
      </c>
      <c r="U37" s="709">
        <f t="shared" si="11"/>
        <v>100</v>
      </c>
      <c r="V37" s="708" t="s">
        <v>14</v>
      </c>
      <c r="W37" s="709">
        <f t="shared" si="12"/>
        <v>100</v>
      </c>
      <c r="X37" s="710"/>
      <c r="Y37" s="378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84"/>
      <c r="Q38" s="1352" t="str">
        <f>B38</f>
        <v>宗地面积</v>
      </c>
      <c r="R38" s="705" t="s">
        <v>14</v>
      </c>
      <c r="S38" s="706" t="e">
        <f t="shared" si="10"/>
        <v>#N/A</v>
      </c>
      <c r="T38" s="705" t="s">
        <v>14</v>
      </c>
      <c r="U38" s="706" t="e">
        <f t="shared" si="11"/>
        <v>#N/A</v>
      </c>
      <c r="V38" s="705" t="s">
        <v>14</v>
      </c>
      <c r="W38" s="706" t="e">
        <f t="shared" si="12"/>
        <v>#N/A</v>
      </c>
      <c r="X38" s="1355"/>
      <c r="Y38" s="378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84"/>
      <c r="Q39" s="1352" t="str">
        <f t="shared" ref="Q39:Q45" si="14">B39</f>
        <v>宗地形状</v>
      </c>
      <c r="R39" s="705" t="s">
        <v>14</v>
      </c>
      <c r="S39" s="706">
        <f t="shared" si="10"/>
        <v>100</v>
      </c>
      <c r="T39" s="705" t="s">
        <v>14</v>
      </c>
      <c r="U39" s="706">
        <f t="shared" si="11"/>
        <v>100</v>
      </c>
      <c r="V39" s="705" t="s">
        <v>14</v>
      </c>
      <c r="W39" s="706">
        <f t="shared" si="12"/>
        <v>100</v>
      </c>
      <c r="X39" s="1355"/>
      <c r="Y39" s="378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84"/>
      <c r="Q40" s="1352" t="str">
        <f t="shared" si="14"/>
        <v>临街宽度及深度</v>
      </c>
      <c r="R40" s="705" t="s">
        <v>14</v>
      </c>
      <c r="S40" s="706">
        <f t="shared" si="10"/>
        <v>100</v>
      </c>
      <c r="T40" s="705" t="s">
        <v>14</v>
      </c>
      <c r="U40" s="706">
        <f t="shared" si="11"/>
        <v>100</v>
      </c>
      <c r="V40" s="705" t="s">
        <v>14</v>
      </c>
      <c r="W40" s="706">
        <f t="shared" si="12"/>
        <v>100</v>
      </c>
      <c r="X40" s="1355"/>
      <c r="Y40" s="378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84"/>
      <c r="Q41" s="1352" t="str">
        <f t="shared" si="14"/>
        <v>宗地开发程度</v>
      </c>
      <c r="R41" s="701" t="s">
        <v>14</v>
      </c>
      <c r="S41" s="702">
        <f t="shared" si="10"/>
        <v>100</v>
      </c>
      <c r="T41" s="701" t="s">
        <v>14</v>
      </c>
      <c r="U41" s="702">
        <f t="shared" si="11"/>
        <v>100</v>
      </c>
      <c r="V41" s="701" t="s">
        <v>14</v>
      </c>
      <c r="W41" s="702">
        <f t="shared" si="12"/>
        <v>100</v>
      </c>
      <c r="X41" s="703"/>
      <c r="Y41" s="378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84" t="s">
        <v>1695</v>
      </c>
      <c r="Q42" s="1352" t="str">
        <f t="shared" si="14"/>
        <v>工程地质条件</v>
      </c>
      <c r="R42" s="705" t="s">
        <v>14</v>
      </c>
      <c r="S42" s="706">
        <f t="shared" si="10"/>
        <v>100</v>
      </c>
      <c r="T42" s="705" t="s">
        <v>14</v>
      </c>
      <c r="U42" s="706">
        <f t="shared" si="11"/>
        <v>100</v>
      </c>
      <c r="V42" s="705" t="s">
        <v>14</v>
      </c>
      <c r="W42" s="706">
        <f t="shared" si="12"/>
        <v>100</v>
      </c>
      <c r="X42" s="1355"/>
      <c r="Y42" s="378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84"/>
      <c r="Q43" s="1352">
        <f t="shared" si="14"/>
        <v>111</v>
      </c>
      <c r="R43" s="705" t="s">
        <v>14</v>
      </c>
      <c r="S43" s="706">
        <f t="shared" si="10"/>
        <v>100</v>
      </c>
      <c r="T43" s="705" t="s">
        <v>14</v>
      </c>
      <c r="U43" s="706">
        <f t="shared" si="11"/>
        <v>100</v>
      </c>
      <c r="V43" s="705" t="s">
        <v>14</v>
      </c>
      <c r="W43" s="706">
        <f t="shared" si="12"/>
        <v>100</v>
      </c>
      <c r="X43" s="1355"/>
      <c r="Y43" s="37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84"/>
      <c r="Q44" s="1352">
        <f t="shared" si="14"/>
        <v>111</v>
      </c>
      <c r="R44" s="705" t="s">
        <v>14</v>
      </c>
      <c r="S44" s="706">
        <f t="shared" si="10"/>
        <v>100</v>
      </c>
      <c r="T44" s="705" t="s">
        <v>14</v>
      </c>
      <c r="U44" s="706">
        <f t="shared" si="11"/>
        <v>100</v>
      </c>
      <c r="V44" s="705" t="s">
        <v>14</v>
      </c>
      <c r="W44" s="706">
        <f t="shared" si="12"/>
        <v>100</v>
      </c>
      <c r="X44" s="1355"/>
      <c r="Y44" s="37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84"/>
      <c r="Q45" s="1352">
        <f t="shared" si="14"/>
        <v>111</v>
      </c>
      <c r="R45" s="708" t="s">
        <v>14</v>
      </c>
      <c r="S45" s="709">
        <f t="shared" si="10"/>
        <v>100</v>
      </c>
      <c r="T45" s="708" t="s">
        <v>14</v>
      </c>
      <c r="U45" s="709">
        <f t="shared" si="11"/>
        <v>100</v>
      </c>
      <c r="V45" s="708" t="s">
        <v>14</v>
      </c>
      <c r="W45" s="709">
        <f t="shared" si="12"/>
        <v>100</v>
      </c>
      <c r="X45" s="710"/>
      <c r="Y45" s="378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77" t="str">
        <f>A46</f>
        <v>成交单价</v>
      </c>
      <c r="Q46" s="3777"/>
      <c r="R46" s="3772">
        <f>E46</f>
        <v>0</v>
      </c>
      <c r="S46" s="3772"/>
      <c r="T46" s="3772">
        <f>G46</f>
        <v>0</v>
      </c>
      <c r="U46" s="3772"/>
      <c r="V46" s="3772">
        <f>I46</f>
        <v>0</v>
      </c>
      <c r="W46" s="3772"/>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77" t="str">
        <f>A47</f>
        <v>比较价值（元/平方米）</v>
      </c>
      <c r="Q47" s="3777"/>
      <c r="R47" s="3805" t="e">
        <f>ROUND(PRODUCT(R46,AA7:AA45),0)</f>
        <v>#DIV/0!</v>
      </c>
      <c r="S47" s="3805"/>
      <c r="T47" s="3805" t="e">
        <f>ROUND(PRODUCT(T46,AB7:AB45),0)</f>
        <v>#DIV/0!</v>
      </c>
      <c r="U47" s="3805"/>
      <c r="V47" s="3805" t="e">
        <f>ROUND(PRODUCT(V46,AC7:AC45),0)</f>
        <v>#DIV/0!</v>
      </c>
      <c r="W47" s="380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74" t="str">
        <f>A48</f>
        <v>估价对象XX用房的比较价值（楼面单价，元/平方米）</v>
      </c>
      <c r="Q48" s="3775"/>
      <c r="R48" s="3806" t="e">
        <f>ROUND(IF(D47="简单平均",AVERAGE(R47:W47),R47*F47+T47*H47+V47*J47),0)</f>
        <v>#DIV/0!</v>
      </c>
      <c r="S48" s="3806"/>
      <c r="T48" s="3806"/>
      <c r="U48" s="3806"/>
      <c r="V48" s="3806"/>
      <c r="W48" s="380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60" t="s">
        <v>1886</v>
      </c>
      <c r="H55" s="3807"/>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212732.69</v>
      </c>
      <c r="F56" s="886" t="e">
        <f t="shared" ref="F56:F64" si="15">ROUND(B56*E56/10000,0)</f>
        <v>#DIV/0!</v>
      </c>
      <c r="G56" s="3759"/>
      <c r="H56" s="377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39209.79</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251942.48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47" t="s">
        <v>1770</v>
      </c>
      <c r="S4" s="3748"/>
      <c r="T4" s="3747" t="s">
        <v>1771</v>
      </c>
      <c r="U4" s="3748"/>
      <c r="V4" s="3772" t="s">
        <v>1772</v>
      </c>
      <c r="W4" s="3772"/>
      <c r="X4" s="1355"/>
      <c r="Y4" s="3747" t="s">
        <v>1774</v>
      </c>
      <c r="Z4" s="3748"/>
      <c r="AA4" s="3742" t="s">
        <v>1770</v>
      </c>
      <c r="AB4" s="3743" t="s">
        <v>1771</v>
      </c>
      <c r="AC4" s="3742" t="s">
        <v>1772</v>
      </c>
    </row>
    <row r="5" spans="1:29" ht="15">
      <c r="A5" s="358"/>
      <c r="B5" s="359"/>
      <c r="C5" s="3753" t="s">
        <v>1672</v>
      </c>
      <c r="D5" s="3754"/>
      <c r="E5" s="3751" t="s">
        <v>1673</v>
      </c>
      <c r="F5" s="3752"/>
      <c r="G5" s="3753" t="s">
        <v>1674</v>
      </c>
      <c r="H5" s="3754"/>
      <c r="I5" s="3753" t="s">
        <v>1675</v>
      </c>
      <c r="J5" s="3754"/>
      <c r="K5" s="559"/>
      <c r="L5" s="2713"/>
      <c r="M5" s="2714"/>
      <c r="N5" s="2714"/>
      <c r="O5" s="2714"/>
      <c r="P5" s="3766"/>
      <c r="Q5" s="3767"/>
      <c r="R5" s="3749"/>
      <c r="S5" s="3750"/>
      <c r="T5" s="3749"/>
      <c r="U5" s="3750"/>
      <c r="V5" s="3772"/>
      <c r="W5" s="3772"/>
      <c r="X5" s="1355"/>
      <c r="Y5" s="3749"/>
      <c r="Z5" s="3750"/>
      <c r="AA5" s="3743"/>
      <c r="AB5" s="3743"/>
      <c r="AC5" s="3743"/>
    </row>
    <row r="6" spans="1:29" ht="15.75" thickBot="1">
      <c r="A6" s="360"/>
      <c r="B6" s="361"/>
      <c r="C6" s="3808" t="s">
        <v>1918</v>
      </c>
      <c r="D6" s="3809"/>
      <c r="E6" s="3810" t="s">
        <v>1918</v>
      </c>
      <c r="F6" s="3811"/>
      <c r="G6" s="3808" t="s">
        <v>1918</v>
      </c>
      <c r="H6" s="3809"/>
      <c r="I6" s="3808" t="s">
        <v>1918</v>
      </c>
      <c r="J6" s="3809"/>
      <c r="K6" s="559" t="s">
        <v>1677</v>
      </c>
      <c r="L6" s="2713"/>
      <c r="M6" s="2714"/>
      <c r="N6" s="2714"/>
      <c r="O6" s="2714"/>
      <c r="P6" s="3768"/>
      <c r="Q6" s="3769"/>
      <c r="R6" s="3749"/>
      <c r="S6" s="3750"/>
      <c r="T6" s="3770"/>
      <c r="U6" s="3771"/>
      <c r="V6" s="3772"/>
      <c r="W6" s="3772"/>
      <c r="X6" s="1355"/>
      <c r="Y6" s="3770"/>
      <c r="Z6" s="3771"/>
      <c r="AA6" s="3744"/>
      <c r="AB6" s="3744"/>
      <c r="AC6" s="3744"/>
    </row>
    <row r="7" spans="1:29" s="108" customFormat="1" ht="15.75" thickBot="1">
      <c r="A7" s="362" t="s">
        <v>1678</v>
      </c>
      <c r="B7" s="363"/>
      <c r="C7" s="364">
        <f>'数据-取费表'!B2</f>
        <v>45631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45" t="s">
        <v>1679</v>
      </c>
      <c r="Q7" s="3773"/>
      <c r="R7" s="701" t="s">
        <v>14</v>
      </c>
      <c r="S7" s="702">
        <f t="shared" ref="S7:S15" si="0">F7</f>
        <v>0</v>
      </c>
      <c r="T7" s="701" t="s">
        <v>14</v>
      </c>
      <c r="U7" s="702">
        <f t="shared" ref="U7:U15" si="1">H7</f>
        <v>0</v>
      </c>
      <c r="V7" s="701" t="s">
        <v>14</v>
      </c>
      <c r="W7" s="702">
        <f t="shared" ref="W7:W15" si="2">J7</f>
        <v>0</v>
      </c>
      <c r="X7" s="703"/>
      <c r="Y7" s="3745" t="s">
        <v>1679</v>
      </c>
      <c r="Z7" s="374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45" t="s">
        <v>1682</v>
      </c>
      <c r="Q8" s="3746"/>
      <c r="R8" s="701" t="s">
        <v>14</v>
      </c>
      <c r="S8" s="702">
        <f t="shared" si="0"/>
        <v>0</v>
      </c>
      <c r="T8" s="701" t="s">
        <v>14</v>
      </c>
      <c r="U8" s="702">
        <f t="shared" si="1"/>
        <v>0</v>
      </c>
      <c r="V8" s="701" t="s">
        <v>14</v>
      </c>
      <c r="W8" s="702">
        <f t="shared" si="2"/>
        <v>0</v>
      </c>
      <c r="X8" s="703"/>
      <c r="Y8" s="3745" t="s">
        <v>1682</v>
      </c>
      <c r="Z8" s="3746"/>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77" t="s">
        <v>1685</v>
      </c>
      <c r="Q9" s="1343" t="str">
        <f t="shared" ref="Q9:Q15" si="6">B9</f>
        <v>用途</v>
      </c>
      <c r="R9" s="701" t="s">
        <v>14</v>
      </c>
      <c r="S9" s="702">
        <f t="shared" si="0"/>
        <v>100</v>
      </c>
      <c r="T9" s="701" t="s">
        <v>14</v>
      </c>
      <c r="U9" s="702">
        <f t="shared" si="1"/>
        <v>100</v>
      </c>
      <c r="V9" s="701" t="s">
        <v>14</v>
      </c>
      <c r="W9" s="702">
        <f t="shared" si="2"/>
        <v>100</v>
      </c>
      <c r="X9" s="703"/>
      <c r="Y9" s="3662"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109</v>
      </c>
      <c r="G10" s="383"/>
      <c r="H10" s="127">
        <f>ROUND(100/'数据-取费表'!G16,0)</f>
        <v>109</v>
      </c>
      <c r="I10" s="383"/>
      <c r="J10" s="127">
        <f>ROUND(100/'数据-取费表'!G16,0)</f>
        <v>109</v>
      </c>
      <c r="K10" s="620"/>
      <c r="L10" s="2717"/>
      <c r="M10" s="2718"/>
      <c r="N10" s="2718"/>
      <c r="O10" s="2771"/>
      <c r="P10" s="3777"/>
      <c r="Q10" s="1343" t="str">
        <f t="shared" si="6"/>
        <v>土地使用年限（年）</v>
      </c>
      <c r="R10" s="701" t="s">
        <v>14</v>
      </c>
      <c r="S10" s="702">
        <f t="shared" si="0"/>
        <v>109</v>
      </c>
      <c r="T10" s="701" t="s">
        <v>14</v>
      </c>
      <c r="U10" s="702">
        <f t="shared" si="1"/>
        <v>109</v>
      </c>
      <c r="V10" s="701" t="s">
        <v>14</v>
      </c>
      <c r="W10" s="702">
        <f t="shared" si="2"/>
        <v>109</v>
      </c>
      <c r="X10" s="703"/>
      <c r="Y10" s="3662"/>
      <c r="Z10" s="52" t="str">
        <f t="shared" si="7"/>
        <v>土地使用年限（年）</v>
      </c>
      <c r="AA10" s="704">
        <f t="shared" si="3"/>
        <v>0.91743119266055051</v>
      </c>
      <c r="AB10" s="704">
        <f t="shared" si="4"/>
        <v>0.91743119266055051</v>
      </c>
      <c r="AC10" s="704">
        <f t="shared" si="5"/>
        <v>0.91743119266055051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77"/>
      <c r="Q11" s="1343" t="str">
        <f t="shared" si="6"/>
        <v>容积率</v>
      </c>
      <c r="R11" s="701" t="s">
        <v>14</v>
      </c>
      <c r="S11" s="702" t="e">
        <f t="shared" si="0"/>
        <v>#N/A</v>
      </c>
      <c r="T11" s="701" t="s">
        <v>14</v>
      </c>
      <c r="U11" s="702" t="e">
        <f t="shared" si="1"/>
        <v>#N/A</v>
      </c>
      <c r="V11" s="701" t="s">
        <v>14</v>
      </c>
      <c r="W11" s="702" t="e">
        <f t="shared" si="2"/>
        <v>#N/A</v>
      </c>
      <c r="X11" s="703"/>
      <c r="Y11" s="366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77"/>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77"/>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77"/>
      <c r="Q14" s="1343">
        <f t="shared" si="6"/>
        <v>111</v>
      </c>
      <c r="R14" s="701" t="s">
        <v>14</v>
      </c>
      <c r="S14" s="702">
        <f t="shared" si="0"/>
        <v>100</v>
      </c>
      <c r="T14" s="701" t="s">
        <v>14</v>
      </c>
      <c r="U14" s="702">
        <f t="shared" si="1"/>
        <v>100</v>
      </c>
      <c r="V14" s="701" t="s">
        <v>14</v>
      </c>
      <c r="W14" s="702">
        <f t="shared" si="2"/>
        <v>100</v>
      </c>
      <c r="X14" s="703"/>
      <c r="Y14" s="3662"/>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79" t="s">
        <v>1690</v>
      </c>
      <c r="Q15" s="1352" t="str">
        <f t="shared" si="6"/>
        <v>产业集聚程度</v>
      </c>
      <c r="R15" s="705" t="s">
        <v>14</v>
      </c>
      <c r="S15" s="706">
        <f t="shared" si="0"/>
        <v>100</v>
      </c>
      <c r="T15" s="705" t="s">
        <v>14</v>
      </c>
      <c r="U15" s="706">
        <f t="shared" si="1"/>
        <v>100</v>
      </c>
      <c r="V15" s="705" t="s">
        <v>14</v>
      </c>
      <c r="W15" s="706">
        <f t="shared" si="2"/>
        <v>100</v>
      </c>
      <c r="X15" s="1355"/>
      <c r="Y15" s="377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80"/>
      <c r="Q16" s="1352"/>
      <c r="R16" s="705"/>
      <c r="S16" s="706"/>
      <c r="T16" s="705"/>
      <c r="U16" s="706"/>
      <c r="V16" s="705"/>
      <c r="W16" s="706"/>
      <c r="X16" s="1355"/>
      <c r="Y16" s="378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80"/>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80"/>
      <c r="Q18" s="1352"/>
      <c r="R18" s="705"/>
      <c r="S18" s="706"/>
      <c r="T18" s="705"/>
      <c r="U18" s="706"/>
      <c r="V18" s="705"/>
      <c r="W18" s="706"/>
      <c r="X18" s="1355"/>
      <c r="Y18" s="378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80"/>
      <c r="Q19" s="1352" t="str">
        <f t="shared" ref="Q19:Q33" si="8">B19</f>
        <v>区域土地利用方向</v>
      </c>
      <c r="R19" s="705" t="s">
        <v>14</v>
      </c>
      <c r="S19" s="706">
        <f>F19</f>
        <v>100</v>
      </c>
      <c r="T19" s="705" t="s">
        <v>14</v>
      </c>
      <c r="U19" s="706">
        <f>H19</f>
        <v>100</v>
      </c>
      <c r="V19" s="705" t="s">
        <v>14</v>
      </c>
      <c r="W19" s="706">
        <f>J19</f>
        <v>100</v>
      </c>
      <c r="X19" s="1355"/>
      <c r="Y19" s="37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80"/>
      <c r="Q20" s="1352"/>
      <c r="R20" s="705"/>
      <c r="S20" s="706"/>
      <c r="T20" s="705"/>
      <c r="U20" s="706"/>
      <c r="V20" s="705"/>
      <c r="W20" s="706"/>
      <c r="X20" s="1355"/>
      <c r="Y20" s="378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80"/>
      <c r="Q21" s="1352" t="str">
        <f t="shared" si="8"/>
        <v>环境状况</v>
      </c>
      <c r="R21" s="705" t="s">
        <v>14</v>
      </c>
      <c r="S21" s="706">
        <f>F21</f>
        <v>100</v>
      </c>
      <c r="T21" s="705" t="s">
        <v>14</v>
      </c>
      <c r="U21" s="706">
        <f>H21</f>
        <v>100</v>
      </c>
      <c r="V21" s="705" t="s">
        <v>14</v>
      </c>
      <c r="W21" s="706">
        <f>J21</f>
        <v>100</v>
      </c>
      <c r="X21" s="1355"/>
      <c r="Y21" s="37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80"/>
      <c r="Q22" s="1352"/>
      <c r="R22" s="705"/>
      <c r="S22" s="706"/>
      <c r="T22" s="705"/>
      <c r="U22" s="706"/>
      <c r="V22" s="705"/>
      <c r="W22" s="706"/>
      <c r="X22" s="1355"/>
      <c r="Y22" s="378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80"/>
      <c r="Q23" s="1343" t="str">
        <f t="shared" si="8"/>
        <v>公共配套设施</v>
      </c>
      <c r="R23" s="701" t="s">
        <v>14</v>
      </c>
      <c r="S23" s="702">
        <f>F23</f>
        <v>100</v>
      </c>
      <c r="T23" s="701" t="s">
        <v>14</v>
      </c>
      <c r="U23" s="702">
        <f>H23</f>
        <v>100</v>
      </c>
      <c r="V23" s="701" t="s">
        <v>14</v>
      </c>
      <c r="W23" s="702">
        <f>J23</f>
        <v>100</v>
      </c>
      <c r="X23" s="703"/>
      <c r="Y23" s="37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80"/>
      <c r="Q24" s="1343"/>
      <c r="R24" s="701"/>
      <c r="S24" s="702"/>
      <c r="T24" s="701"/>
      <c r="U24" s="702"/>
      <c r="V24" s="701"/>
      <c r="W24" s="702"/>
      <c r="X24" s="703"/>
      <c r="Y24" s="378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80"/>
      <c r="Q25" s="1343" t="str">
        <f t="shared" ref="Q25" si="9">B25</f>
        <v>基础设施水平</v>
      </c>
      <c r="R25" s="701" t="s">
        <v>14</v>
      </c>
      <c r="S25" s="702">
        <f>F25</f>
        <v>100</v>
      </c>
      <c r="T25" s="701" t="s">
        <v>14</v>
      </c>
      <c r="U25" s="702">
        <f>H25</f>
        <v>100</v>
      </c>
      <c r="V25" s="701" t="s">
        <v>14</v>
      </c>
      <c r="W25" s="702">
        <f>J25</f>
        <v>100</v>
      </c>
      <c r="X25" s="703"/>
      <c r="Y25" s="37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80"/>
      <c r="Q26" s="1343"/>
      <c r="R26" s="701"/>
      <c r="S26" s="702"/>
      <c r="T26" s="701"/>
      <c r="U26" s="702"/>
      <c r="V26" s="701"/>
      <c r="W26" s="702"/>
      <c r="X26" s="703"/>
      <c r="Y26" s="378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80"/>
      <c r="Q28" s="1352" t="str">
        <f t="shared" si="8"/>
        <v>毗邻道路的类型与等级</v>
      </c>
      <c r="R28" s="705" t="s">
        <v>14</v>
      </c>
      <c r="S28" s="706">
        <f t="shared" si="10"/>
        <v>100</v>
      </c>
      <c r="T28" s="705" t="s">
        <v>14</v>
      </c>
      <c r="U28" s="706">
        <f t="shared" si="11"/>
        <v>100</v>
      </c>
      <c r="V28" s="705" t="s">
        <v>14</v>
      </c>
      <c r="W28" s="706">
        <f t="shared" si="12"/>
        <v>100</v>
      </c>
      <c r="X28" s="1355"/>
      <c r="Y28" s="37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80"/>
      <c r="Q29" s="1352"/>
      <c r="R29" s="705"/>
      <c r="S29" s="706"/>
      <c r="T29" s="705"/>
      <c r="U29" s="706"/>
      <c r="V29" s="705"/>
      <c r="W29" s="706"/>
      <c r="X29" s="1355"/>
      <c r="Y29" s="378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80"/>
      <c r="Q30" s="1352" t="str">
        <f t="shared" si="8"/>
        <v>土地级别</v>
      </c>
      <c r="R30" s="705" t="s">
        <v>14</v>
      </c>
      <c r="S30" s="706">
        <f t="shared" si="10"/>
        <v>100</v>
      </c>
      <c r="T30" s="705" t="s">
        <v>14</v>
      </c>
      <c r="U30" s="706">
        <f t="shared" si="11"/>
        <v>100</v>
      </c>
      <c r="V30" s="705" t="s">
        <v>14</v>
      </c>
      <c r="W30" s="706">
        <f t="shared" si="12"/>
        <v>100</v>
      </c>
      <c r="X30" s="1355"/>
      <c r="Y30" s="37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80"/>
      <c r="Q31" s="1352">
        <f t="shared" si="8"/>
        <v>111</v>
      </c>
      <c r="R31" s="705" t="s">
        <v>14</v>
      </c>
      <c r="S31" s="706">
        <f t="shared" si="10"/>
        <v>100</v>
      </c>
      <c r="T31" s="705" t="s">
        <v>14</v>
      </c>
      <c r="U31" s="706">
        <f t="shared" si="11"/>
        <v>100</v>
      </c>
      <c r="V31" s="705" t="s">
        <v>14</v>
      </c>
      <c r="W31" s="706">
        <f t="shared" si="12"/>
        <v>100</v>
      </c>
      <c r="X31" s="1355"/>
      <c r="Y31" s="37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03" t="s">
        <v>1695</v>
      </c>
      <c r="Q32" s="1352">
        <f t="shared" si="8"/>
        <v>111</v>
      </c>
      <c r="R32" s="705" t="s">
        <v>14</v>
      </c>
      <c r="S32" s="706">
        <f t="shared" si="10"/>
        <v>100</v>
      </c>
      <c r="T32" s="705" t="s">
        <v>14</v>
      </c>
      <c r="U32" s="706">
        <f t="shared" si="11"/>
        <v>100</v>
      </c>
      <c r="V32" s="705" t="s">
        <v>14</v>
      </c>
      <c r="W32" s="706">
        <f t="shared" si="12"/>
        <v>100</v>
      </c>
      <c r="X32" s="1355"/>
      <c r="Y32" s="3784"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84"/>
      <c r="Q33" s="1352">
        <f t="shared" si="8"/>
        <v>111</v>
      </c>
      <c r="R33" s="708" t="s">
        <v>14</v>
      </c>
      <c r="S33" s="709">
        <f t="shared" si="10"/>
        <v>100</v>
      </c>
      <c r="T33" s="708" t="s">
        <v>14</v>
      </c>
      <c r="U33" s="709">
        <f t="shared" si="11"/>
        <v>100</v>
      </c>
      <c r="V33" s="708" t="s">
        <v>14</v>
      </c>
      <c r="W33" s="709">
        <f t="shared" si="12"/>
        <v>100</v>
      </c>
      <c r="X33" s="710"/>
      <c r="Y33" s="378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84"/>
      <c r="Q34" s="1352" t="str">
        <f>B34</f>
        <v>宗地面积</v>
      </c>
      <c r="R34" s="705" t="s">
        <v>14</v>
      </c>
      <c r="S34" s="706" t="e">
        <f t="shared" si="10"/>
        <v>#N/A</v>
      </c>
      <c r="T34" s="705" t="s">
        <v>14</v>
      </c>
      <c r="U34" s="706" t="e">
        <f t="shared" si="11"/>
        <v>#N/A</v>
      </c>
      <c r="V34" s="705" t="s">
        <v>14</v>
      </c>
      <c r="W34" s="706" t="e">
        <f t="shared" si="12"/>
        <v>#N/A</v>
      </c>
      <c r="X34" s="1355"/>
      <c r="Y34" s="378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84"/>
      <c r="Q35" s="1352" t="str">
        <f t="shared" ref="Q35:Q40" si="14">B35</f>
        <v>宗地形状</v>
      </c>
      <c r="R35" s="705" t="s">
        <v>14</v>
      </c>
      <c r="S35" s="706">
        <f t="shared" si="10"/>
        <v>100</v>
      </c>
      <c r="T35" s="705" t="s">
        <v>14</v>
      </c>
      <c r="U35" s="706">
        <f t="shared" si="11"/>
        <v>100</v>
      </c>
      <c r="V35" s="705" t="s">
        <v>14</v>
      </c>
      <c r="W35" s="706">
        <f t="shared" si="12"/>
        <v>100</v>
      </c>
      <c r="X35" s="1355"/>
      <c r="Y35" s="378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84"/>
      <c r="Q36" s="1352" t="str">
        <f t="shared" si="14"/>
        <v>宗地开发程度</v>
      </c>
      <c r="R36" s="701" t="s">
        <v>14</v>
      </c>
      <c r="S36" s="702">
        <f t="shared" si="10"/>
        <v>100</v>
      </c>
      <c r="T36" s="701" t="s">
        <v>14</v>
      </c>
      <c r="U36" s="702">
        <f t="shared" si="11"/>
        <v>100</v>
      </c>
      <c r="V36" s="701" t="s">
        <v>14</v>
      </c>
      <c r="W36" s="702">
        <f t="shared" si="12"/>
        <v>100</v>
      </c>
      <c r="X36" s="703"/>
      <c r="Y36" s="378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84" t="s">
        <v>1695</v>
      </c>
      <c r="Q37" s="1352" t="str">
        <f t="shared" si="14"/>
        <v>工程地质条件</v>
      </c>
      <c r="R37" s="705" t="s">
        <v>14</v>
      </c>
      <c r="S37" s="706">
        <f t="shared" si="10"/>
        <v>100</v>
      </c>
      <c r="T37" s="705" t="s">
        <v>14</v>
      </c>
      <c r="U37" s="706">
        <f t="shared" si="11"/>
        <v>100</v>
      </c>
      <c r="V37" s="705" t="s">
        <v>14</v>
      </c>
      <c r="W37" s="706">
        <f t="shared" si="12"/>
        <v>100</v>
      </c>
      <c r="X37" s="1355"/>
      <c r="Y37" s="378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84"/>
      <c r="Q38" s="1352">
        <f t="shared" si="14"/>
        <v>111</v>
      </c>
      <c r="R38" s="705" t="s">
        <v>14</v>
      </c>
      <c r="S38" s="706">
        <f t="shared" si="10"/>
        <v>100</v>
      </c>
      <c r="T38" s="705" t="s">
        <v>14</v>
      </c>
      <c r="U38" s="706">
        <f t="shared" si="11"/>
        <v>100</v>
      </c>
      <c r="V38" s="705" t="s">
        <v>14</v>
      </c>
      <c r="W38" s="706">
        <f t="shared" si="12"/>
        <v>100</v>
      </c>
      <c r="X38" s="1355"/>
      <c r="Y38" s="37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84"/>
      <c r="Q39" s="1352">
        <f t="shared" si="14"/>
        <v>111</v>
      </c>
      <c r="R39" s="705" t="s">
        <v>14</v>
      </c>
      <c r="S39" s="706">
        <f t="shared" si="10"/>
        <v>100</v>
      </c>
      <c r="T39" s="705" t="s">
        <v>14</v>
      </c>
      <c r="U39" s="706">
        <f t="shared" si="11"/>
        <v>100</v>
      </c>
      <c r="V39" s="705" t="s">
        <v>14</v>
      </c>
      <c r="W39" s="706">
        <f t="shared" si="12"/>
        <v>100</v>
      </c>
      <c r="X39" s="1355"/>
      <c r="Y39" s="37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84"/>
      <c r="Q40" s="1352">
        <f t="shared" si="14"/>
        <v>111</v>
      </c>
      <c r="R40" s="708" t="s">
        <v>14</v>
      </c>
      <c r="S40" s="709">
        <f t="shared" si="10"/>
        <v>100</v>
      </c>
      <c r="T40" s="708" t="s">
        <v>14</v>
      </c>
      <c r="U40" s="709">
        <f t="shared" si="11"/>
        <v>100</v>
      </c>
      <c r="V40" s="708" t="s">
        <v>14</v>
      </c>
      <c r="W40" s="709">
        <f t="shared" si="12"/>
        <v>100</v>
      </c>
      <c r="X40" s="710"/>
      <c r="Y40" s="378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77" t="str">
        <f>A41</f>
        <v>成交单价</v>
      </c>
      <c r="Q41" s="3777"/>
      <c r="R41" s="3772">
        <f>E41</f>
        <v>0</v>
      </c>
      <c r="S41" s="3772"/>
      <c r="T41" s="3772">
        <f>G41</f>
        <v>0</v>
      </c>
      <c r="U41" s="3772"/>
      <c r="V41" s="3772">
        <f>I41</f>
        <v>0</v>
      </c>
      <c r="W41" s="3772"/>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77" t="str">
        <f>A42</f>
        <v>比较价值（元/平方米）</v>
      </c>
      <c r="Q42" s="3777"/>
      <c r="R42" s="3805" t="e">
        <f>ROUND(PRODUCT(R41,AA7:AA40),0)</f>
        <v>#DIV/0!</v>
      </c>
      <c r="S42" s="3805"/>
      <c r="T42" s="3805" t="e">
        <f>ROUND(PRODUCT(T41,AB7:AB40),0)</f>
        <v>#DIV/0!</v>
      </c>
      <c r="U42" s="3805"/>
      <c r="V42" s="3805" t="e">
        <f>ROUND(PRODUCT(V41,AC7:AC40),0)</f>
        <v>#DIV/0!</v>
      </c>
      <c r="W42" s="380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74" t="str">
        <f>A43</f>
        <v>估价对象XX用房的比较价值（楼面单价，元/平方米）</v>
      </c>
      <c r="Q43" s="3775"/>
      <c r="R43" s="3806" t="e">
        <f>ROUND(IF(D42="简单平均",AVERAGE(R42:W42),R42*F42+T42*H42+V42*J42),0)</f>
        <v>#DIV/0!</v>
      </c>
      <c r="S43" s="3806"/>
      <c r="T43" s="3806"/>
      <c r="U43" s="3806"/>
      <c r="V43" s="3806"/>
      <c r="W43" s="380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60" t="s">
        <v>1886</v>
      </c>
      <c r="H50" s="3807"/>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212732.69</v>
      </c>
      <c r="F51" s="639" t="e">
        <f t="shared" ref="F51:F60" si="15">ROUND(B51*E51/10000,0)</f>
        <v>#DIV/0!</v>
      </c>
      <c r="G51" s="3759"/>
      <c r="H51" s="377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39209.79</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95778.03</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15" t="s">
        <v>2083</v>
      </c>
      <c r="D1" s="3816"/>
      <c r="E1" s="3816"/>
      <c r="F1" s="3816"/>
      <c r="G1" s="3816"/>
      <c r="H1" s="3816"/>
      <c r="I1" s="3816"/>
      <c r="J1" s="3816"/>
      <c r="K1" s="3816"/>
      <c r="L1" s="3816"/>
      <c r="M1" s="3816"/>
      <c r="N1" s="3816"/>
      <c r="O1" s="3816"/>
      <c r="P1" s="3816"/>
      <c r="Q1" s="3816"/>
      <c r="R1" s="3816"/>
      <c r="S1" s="381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12" t="s">
        <v>27</v>
      </c>
      <c r="D22" s="3813"/>
      <c r="E22" s="3813"/>
      <c r="F22" s="3813"/>
      <c r="G22" s="3813"/>
      <c r="H22" s="3813"/>
      <c r="I22" s="3813"/>
      <c r="J22" s="3813"/>
      <c r="K22" s="3813"/>
      <c r="L22" s="3813"/>
      <c r="M22" s="3813"/>
      <c r="N22" s="3813"/>
      <c r="O22" s="3813"/>
      <c r="P22" s="3813"/>
      <c r="Q22" s="381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85819</v>
      </c>
      <c r="C2" s="2145" t="s">
        <v>2073</v>
      </c>
      <c r="D2" s="2145" t="s">
        <v>2074</v>
      </c>
      <c r="E2" s="2611">
        <f ca="1">SUMIF(E6:E13,"&lt;&gt;#ref!",E6:E13)</f>
        <v>284547.17</v>
      </c>
      <c r="F2" s="2791"/>
      <c r="G2" s="2791"/>
      <c r="H2" s="2791"/>
      <c r="I2" s="2791"/>
      <c r="J2" s="2791"/>
      <c r="K2" s="2791"/>
      <c r="L2" s="2791"/>
      <c r="M2" s="2791"/>
      <c r="N2" s="2791"/>
      <c r="O2" s="2791"/>
      <c r="P2" s="2791"/>
    </row>
    <row r="3" spans="1:16" ht="15.75">
      <c r="A3" s="2145" t="s">
        <v>2075</v>
      </c>
      <c r="B3" s="2601">
        <f ca="1">ROUND(B2*10000/E2,0)</f>
        <v>3016</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85819</v>
      </c>
      <c r="C6" s="2145" t="s">
        <v>2073</v>
      </c>
      <c r="D6" s="2791"/>
      <c r="E6" s="2611">
        <f ca="1">SUMIF(INDIRECT("'"&amp;A6&amp;"'"&amp;"!C:C"),"建筑面积",INDIRECT("'"&amp;A6&amp;"'"&amp;"!D:D"))</f>
        <v>284547.17</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91" sqref="C9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284547.17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85819</v>
      </c>
      <c r="C2" s="1999" t="s">
        <v>1934</v>
      </c>
      <c r="D2" s="2000" t="s">
        <v>1935</v>
      </c>
      <c r="E2" s="3420" t="s">
        <v>3422</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Ⅶ-通1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5784</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3016</v>
      </c>
      <c r="C3" s="1999" t="s">
        <v>1940</v>
      </c>
      <c r="D3" s="2000" t="s">
        <v>1941</v>
      </c>
      <c r="E3" s="3418" t="s">
        <v>2459</v>
      </c>
      <c r="F3" s="2004" t="s">
        <v>3505</v>
      </c>
      <c r="G3" s="752">
        <f>IF(F3="宗地容积率",'数据-汇总表'!I4,IF(F3="估价对象容积率",'数据-汇总表'!I6,'数据-汇总表'!I7))</f>
        <v>2.17</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4559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25"/>
      <c r="B4" s="3826"/>
      <c r="C4" s="3826"/>
      <c r="D4" s="3827"/>
      <c r="E4" s="3827"/>
      <c r="F4" s="3827"/>
      <c r="G4" s="3827"/>
      <c r="H4" s="3827"/>
      <c r="I4" s="3827"/>
      <c r="J4" s="382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3853</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5055</v>
      </c>
      <c r="D5" s="1339">
        <f>ROUND(C6*C17+C20,0)</f>
        <v>5055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3398</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5100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3266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5100</v>
      </c>
      <c r="N7" s="866">
        <f>SUMPRODUCT((因素修正幅度!B190:B233=I2)*(因素修正幅度!C3:G3=E2)*(因素修正幅度!C190:G233))</f>
        <v>0.13</v>
      </c>
      <c r="O7" s="1119"/>
      <c r="P7" s="1119"/>
      <c r="Q7" s="1119"/>
      <c r="R7" s="1212">
        <v>6</v>
      </c>
      <c r="S7" s="3417"/>
      <c r="T7" s="3359">
        <f t="shared" si="0"/>
        <v>0</v>
      </c>
      <c r="U7" s="1213"/>
      <c r="V7" s="3359">
        <f t="shared" si="1"/>
        <v>0</v>
      </c>
      <c r="W7" s="1358" t="s">
        <v>1954</v>
      </c>
      <c r="X7" s="1214" t="str">
        <f>G2</f>
        <v>七级</v>
      </c>
      <c r="Y7" s="1214" t="s">
        <v>1955</v>
      </c>
      <c r="Z7" s="1215">
        <f>G3</f>
        <v>2.17</v>
      </c>
      <c r="AA7" s="1216"/>
      <c r="AB7" s="1216"/>
      <c r="AC7" s="1217"/>
      <c r="AD7" s="1218"/>
      <c r="AE7" s="1218"/>
      <c r="AF7" s="1218"/>
      <c r="AG7" s="1218"/>
      <c r="AH7" s="1218"/>
      <c r="AI7" s="1218"/>
      <c r="AJ7" s="1219"/>
    </row>
    <row r="8" spans="1:36" ht="15">
      <c r="A8" s="3297"/>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22" t="s">
        <v>1959</v>
      </c>
      <c r="X8" s="382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24"/>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2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829" t="s">
        <v>3255</v>
      </c>
      <c r="B20" s="167" t="s">
        <v>1993</v>
      </c>
      <c r="C20" s="3323">
        <f>ROUND(IF(F21="与级别开发程度一致",0,(G21-E21)/C21),0)</f>
        <v>-45</v>
      </c>
      <c r="D20" s="3339" t="s">
        <v>1997</v>
      </c>
      <c r="E20" s="3340"/>
      <c r="F20" s="3835" t="s">
        <v>1994</v>
      </c>
      <c r="G20" s="3836"/>
      <c r="H20" s="3324" t="s">
        <v>3506</v>
      </c>
      <c r="I20" s="3324" t="s">
        <v>3507</v>
      </c>
      <c r="J20" s="3325" t="s">
        <v>3508</v>
      </c>
      <c r="K20" s="2047" t="s">
        <v>3509</v>
      </c>
      <c r="L20" s="2047" t="s">
        <v>3510</v>
      </c>
      <c r="M20" s="2047"/>
      <c r="N20" s="2047"/>
      <c r="O20" s="2048" t="s">
        <v>3511</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830"/>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3512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0.8</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4" t="s">
        <v>2001</v>
      </c>
      <c r="E23" s="761">
        <v>44197</v>
      </c>
      <c r="F23" s="2054" t="s">
        <v>2002</v>
      </c>
      <c r="G23" s="762">
        <f>'数据-取费表'!B2</f>
        <v>45631</v>
      </c>
      <c r="H23" s="3341" t="s">
        <v>3256</v>
      </c>
      <c r="I23" s="3342" t="str">
        <f>IF(H23="季度增幅（自定义）",SUMIF(N25:N28,E2,O25:O28),"")</f>
        <v/>
      </c>
      <c r="J23" s="3444" t="s">
        <v>3513</v>
      </c>
      <c r="K23" s="1125"/>
      <c r="L23" s="2055" t="s">
        <v>2003</v>
      </c>
      <c r="M23" s="1328">
        <f>ROUND(SUMIF(地价!B2:G2,E2,地价!B16:G16),0)</f>
        <v>0</v>
      </c>
      <c r="N23" s="2056" t="s">
        <v>2004</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0.91600000000000004</v>
      </c>
      <c r="D24" s="2060" t="s">
        <v>2006</v>
      </c>
      <c r="E24" s="1335">
        <f>存贷款利率!E27/100</f>
        <v>4.3499999999999997E-2</v>
      </c>
      <c r="F24" s="2060" t="s">
        <v>1998</v>
      </c>
      <c r="G24" s="768">
        <f>SUMIF(M30:Q30,E2,M33:Q33)</f>
        <v>0.05</v>
      </c>
      <c r="H24" s="2060" t="s">
        <v>2007</v>
      </c>
      <c r="I24" s="769">
        <f>SUMIF('数据-取费表'!C6:C15,E2,'数据-取费表'!F6:F15)/COUNTIF('数据-取费表'!C6:C15,E2)</f>
        <v>37.07</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0.98170000000000002</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0.98170000000000002</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1.0147999999999999</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85819</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1355</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3780</v>
      </c>
      <c r="D33" s="2098">
        <f>'数据-汇总表'!F19</f>
        <v>212732.69</v>
      </c>
      <c r="E33" s="773">
        <f>ROUND(C33*D33/10000,0)</f>
        <v>80413</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945</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3"/>
      <c r="B37" s="2113" t="s">
        <v>2035</v>
      </c>
      <c r="C37" s="175">
        <f>ROUND(D5*C22*C23*C24*C28*F37,0)</f>
        <v>2311</v>
      </c>
      <c r="D37" s="2098"/>
      <c r="E37" s="171">
        <f>ROUND(C37*D37/10000,0)</f>
        <v>0</v>
      </c>
      <c r="F37" s="171">
        <f>SUMIF(修正!A57:A68,G2,修正!B57:B68)</f>
        <v>0.6</v>
      </c>
      <c r="G37" s="171">
        <f>ROUND(IF(E2="工业",C37*$M$42,C37*$M$41),0)</f>
        <v>578</v>
      </c>
      <c r="H37" s="171">
        <f>D37</f>
        <v>0</v>
      </c>
      <c r="I37" s="171">
        <f>ROUND(G37*H37/10000,0)</f>
        <v>0</v>
      </c>
      <c r="J37" s="3010"/>
      <c r="K37" s="3357" t="s">
        <v>3266</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4"/>
      <c r="B38" s="2041" t="s">
        <v>2036</v>
      </c>
      <c r="C38" s="175">
        <f>ROUND(D5*C22*C23*C24*C28*F38,0)</f>
        <v>1155</v>
      </c>
      <c r="D38" s="2098"/>
      <c r="E38" s="171">
        <f t="shared" ref="E38:E42" si="4">ROUND(C38*D38/10000,0)</f>
        <v>0</v>
      </c>
      <c r="F38" s="171">
        <f>SUMIF(修正!A57:A68,G2,修正!C57:C68)</f>
        <v>0.3</v>
      </c>
      <c r="G38" s="171">
        <f>ROUND(IF(E2="工业",C38*$M$42,C38*$M$41),0)</f>
        <v>289</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34"/>
      <c r="B39" s="2041" t="s">
        <v>3259</v>
      </c>
      <c r="C39" s="175">
        <f>ROUND(D5*C22*C23*C24*C28*F39,0)</f>
        <v>963</v>
      </c>
      <c r="D39" s="2098"/>
      <c r="E39" s="171">
        <f t="shared" si="4"/>
        <v>0</v>
      </c>
      <c r="F39" s="171">
        <f>SUMIF(修正!A57:A68,G2,修正!D57:D68)</f>
        <v>0.25</v>
      </c>
      <c r="G39" s="171">
        <f>ROUND(IF(E2="工业",C39*$M$42,C39*$M$41),0)</f>
        <v>241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963</v>
      </c>
      <c r="D40" s="2098">
        <f>'数据-基础表'!K5-'数据-基础表'!K18-'数据-基础表'!K20-'数据-基础表'!K22-'数据-基础表'!K28</f>
        <v>32604.689999999995</v>
      </c>
      <c r="E40" s="171">
        <f t="shared" si="4"/>
        <v>3140</v>
      </c>
      <c r="F40" s="175">
        <f>SUMIF(修正!A57:A68,G2,修正!E57:E68)</f>
        <v>0.25</v>
      </c>
      <c r="G40" s="171">
        <f>ROUND(IF(E2="工业",C40*$M$42,C40*$M$41),0)</f>
        <v>241</v>
      </c>
      <c r="H40" s="171">
        <f t="shared" si="5"/>
        <v>32604.689999999995</v>
      </c>
      <c r="I40" s="171">
        <f t="shared" si="6"/>
        <v>786</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963</v>
      </c>
      <c r="D41" s="2098"/>
      <c r="E41" s="171">
        <f t="shared" si="4"/>
        <v>0</v>
      </c>
      <c r="F41" s="175">
        <f>SUMIF(修正!A57:A68,G2,修正!F57:F68)</f>
        <v>0.25</v>
      </c>
      <c r="G41" s="171">
        <f>ROUND(IF(E2="工业",C41*$M$42,C41*$M$41),0)</f>
        <v>241</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578</v>
      </c>
      <c r="D42" s="2103">
        <f>'数据-基础表'!M31</f>
        <v>39209.79</v>
      </c>
      <c r="E42" s="187">
        <f t="shared" si="4"/>
        <v>2266</v>
      </c>
      <c r="F42" s="767">
        <f>SUMIF(修正!A57:A68,G2,修正!G57:G68)</f>
        <v>0.15</v>
      </c>
      <c r="G42" s="187">
        <f>ROUND(IF(E2="工业",C42*$M$42,C42*$M$41),0)</f>
        <v>145</v>
      </c>
      <c r="H42" s="187">
        <f t="shared" si="5"/>
        <v>39209.79</v>
      </c>
      <c r="I42" s="187">
        <f t="shared" si="6"/>
        <v>569</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0.91600000000000004</v>
      </c>
      <c r="D44" s="171" t="s">
        <v>1998</v>
      </c>
      <c r="E44" s="2153">
        <f>G24</f>
        <v>0.05</v>
      </c>
      <c r="F44" s="171" t="s">
        <v>2007</v>
      </c>
      <c r="G44" s="183">
        <f>项目基本情况!F15</f>
        <v>37.07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hidden="1">
      <c r="A81" s="2126" t="s">
        <v>2068</v>
      </c>
      <c r="B81" s="2127">
        <f>1+E83</f>
        <v>1</v>
      </c>
      <c r="C81" s="741"/>
      <c r="D81" s="741"/>
      <c r="E81" s="742"/>
      <c r="F81" s="2129"/>
      <c r="G81" s="3"/>
      <c r="H81" s="3"/>
      <c r="I81" s="3"/>
      <c r="J81" s="4"/>
      <c r="K81" s="4"/>
      <c r="L81" s="4"/>
      <c r="M81" s="4"/>
      <c r="N81" s="4"/>
      <c r="Z81" s="1998"/>
      <c r="AA81" s="2053"/>
      <c r="AG81" s="1121"/>
      <c r="AK81" s="2053"/>
    </row>
    <row r="82" spans="1:37" ht="24.75" hidden="1">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hidden="1">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hidden="1">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hidden="1">
      <c r="A86" s="2130" t="s">
        <v>2066</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hidden="1">
      <c r="A87" s="2130" t="s">
        <v>2058</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hidden="1">
      <c r="A88" s="2130" t="s">
        <v>2059</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hidden="1">
      <c r="A89" s="2130" t="s">
        <v>2056</v>
      </c>
      <c r="B89" s="2136" t="s">
        <v>2070</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hidden="1"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1.0147999999999999</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t="s">
        <v>3514</v>
      </c>
      <c r="D93" s="3364">
        <f>SUMIF($J$92:$N$92,C93,J93:N93)</f>
        <v>0</v>
      </c>
      <c r="E93" s="3380">
        <f>ROUND(SUM(D93:D101),4)</f>
        <v>1.4800000000000001E-2</v>
      </c>
      <c r="F93" s="1814">
        <f>IF(E2="公共服务",SUMIF(L1:L12,G2,N1:N12),"——")</f>
        <v>0.13</v>
      </c>
      <c r="G93" s="3371">
        <f>H93</f>
        <v>1.6199999999999999E-2</v>
      </c>
      <c r="H93" s="3419">
        <f>IFERROR(ROUNDDOWN($F$93*I93/2,4),"——")</f>
        <v>1.6199999999999999E-2</v>
      </c>
      <c r="I93" s="3365">
        <v>0.25</v>
      </c>
      <c r="J93" s="3343">
        <f t="shared" ref="J93:J101" si="27">K93+$G93</f>
        <v>3.2399999999999998E-2</v>
      </c>
      <c r="K93" s="3343">
        <f t="shared" ref="K93:K101" si="28">$L93+$G93</f>
        <v>1.6199999999999999E-2</v>
      </c>
      <c r="L93" s="3343">
        <v>0</v>
      </c>
      <c r="M93" s="3343">
        <f t="shared" ref="M93:N101" si="29">L93-$G93</f>
        <v>-1.6199999999999999E-2</v>
      </c>
      <c r="N93" s="3343">
        <f t="shared" si="29"/>
        <v>-3.2399999999999998E-2</v>
      </c>
    </row>
    <row r="94" spans="1:37" ht="38.25">
      <c r="A94" s="3377" t="s">
        <v>3273</v>
      </c>
      <c r="B94" s="3368" t="str">
        <f>估价对象房地状况!C18</f>
        <v>估价对象周边道路状况、公共交通通达情况、停车便捷程度，综合评价交通便捷度较好</v>
      </c>
      <c r="C94" s="2044" t="s">
        <v>3514</v>
      </c>
      <c r="D94" s="3364">
        <f t="shared" ref="D94:D101" si="30">SUMIF($J$60:$N$60,C94,J94:N94)</f>
        <v>0</v>
      </c>
      <c r="E94" s="3381"/>
      <c r="F94" s="1814"/>
      <c r="G94" s="3371">
        <f t="shared" ref="G94:G101" si="31">H94</f>
        <v>1.6899999999999998E-2</v>
      </c>
      <c r="H94" s="3419">
        <f>IFERROR(ROUNDDOWN($F$93*I94/2,4),"——")</f>
        <v>1.6899999999999998E-2</v>
      </c>
      <c r="I94" s="3365">
        <v>0.26</v>
      </c>
      <c r="J94" s="3343">
        <f t="shared" si="27"/>
        <v>3.3799999999999997E-2</v>
      </c>
      <c r="K94" s="3343">
        <f t="shared" si="28"/>
        <v>1.6899999999999998E-2</v>
      </c>
      <c r="L94" s="3343">
        <v>0</v>
      </c>
      <c r="M94" s="3343">
        <f t="shared" si="29"/>
        <v>-1.6899999999999998E-2</v>
      </c>
      <c r="N94" s="3343">
        <f t="shared" si="29"/>
        <v>-3.3799999999999997E-2</v>
      </c>
    </row>
    <row r="95" spans="1:37" ht="36">
      <c r="A95" s="3367" t="s">
        <v>3269</v>
      </c>
      <c r="B95" s="3368">
        <f>估价对象房地状况!C19</f>
        <v>0</v>
      </c>
      <c r="C95" s="2044" t="s">
        <v>3515</v>
      </c>
      <c r="D95" s="3364">
        <f t="shared" si="30"/>
        <v>7.1000000000000004E-3</v>
      </c>
      <c r="E95" s="3381"/>
      <c r="F95" s="1814"/>
      <c r="G95" s="3371">
        <f t="shared" si="31"/>
        <v>7.1000000000000004E-3</v>
      </c>
      <c r="H95" s="3419">
        <f t="shared" ref="H95:H101" si="32">IFERROR(ROUNDDOWN($F$93*I95/2,4),"——")</f>
        <v>7.1000000000000004E-3</v>
      </c>
      <c r="I95" s="3365">
        <v>0.11</v>
      </c>
      <c r="J95" s="3343">
        <f t="shared" si="27"/>
        <v>1.4200000000000001E-2</v>
      </c>
      <c r="K95" s="3343">
        <f t="shared" si="28"/>
        <v>7.1000000000000004E-3</v>
      </c>
      <c r="L95" s="3343">
        <v>0</v>
      </c>
      <c r="M95" s="3343">
        <f t="shared" si="29"/>
        <v>-7.1000000000000004E-3</v>
      </c>
      <c r="N95" s="3343">
        <f t="shared" si="29"/>
        <v>-1.4200000000000001E-2</v>
      </c>
    </row>
    <row r="96" spans="1:37" ht="36.75">
      <c r="A96" s="3377" t="s">
        <v>3274</v>
      </c>
      <c r="B96" s="3383" t="s">
        <v>3285</v>
      </c>
      <c r="C96" s="2044" t="s">
        <v>3515</v>
      </c>
      <c r="D96" s="3364">
        <f t="shared" si="30"/>
        <v>3.2000000000000002E-3</v>
      </c>
      <c r="E96" s="3381"/>
      <c r="F96" s="1814"/>
      <c r="G96" s="3371">
        <f t="shared" si="31"/>
        <v>3.2000000000000002E-3</v>
      </c>
      <c r="H96" s="3419">
        <f t="shared" si="32"/>
        <v>3.2000000000000002E-3</v>
      </c>
      <c r="I96" s="3365">
        <v>0.05</v>
      </c>
      <c r="J96" s="3343">
        <f t="shared" si="27"/>
        <v>6.4000000000000003E-3</v>
      </c>
      <c r="K96" s="3343">
        <f t="shared" si="28"/>
        <v>3.2000000000000002E-3</v>
      </c>
      <c r="L96" s="3343">
        <v>0</v>
      </c>
      <c r="M96" s="3343">
        <f t="shared" si="29"/>
        <v>-3.2000000000000002E-3</v>
      </c>
      <c r="N96" s="3343">
        <f t="shared" si="29"/>
        <v>-6.4000000000000003E-3</v>
      </c>
    </row>
    <row r="97" spans="1:14" ht="24">
      <c r="A97" s="3377" t="s">
        <v>3275</v>
      </c>
      <c r="B97" s="3368">
        <f>估价对象房地状况!C24</f>
        <v>0</v>
      </c>
      <c r="C97" s="2044" t="s">
        <v>3514</v>
      </c>
      <c r="D97" s="3364">
        <f t="shared" si="30"/>
        <v>0</v>
      </c>
      <c r="E97" s="3381"/>
      <c r="F97" s="1814"/>
      <c r="G97" s="3371">
        <f t="shared" si="31"/>
        <v>3.2000000000000002E-3</v>
      </c>
      <c r="H97" s="3419">
        <f t="shared" si="32"/>
        <v>3.2000000000000002E-3</v>
      </c>
      <c r="I97" s="3365">
        <v>0.05</v>
      </c>
      <c r="J97" s="3343">
        <f t="shared" si="27"/>
        <v>6.4000000000000003E-3</v>
      </c>
      <c r="K97" s="3343">
        <f t="shared" si="28"/>
        <v>3.2000000000000002E-3</v>
      </c>
      <c r="L97" s="3343">
        <v>0</v>
      </c>
      <c r="M97" s="3343">
        <f t="shared" si="29"/>
        <v>-3.2000000000000002E-3</v>
      </c>
      <c r="N97" s="3343">
        <f t="shared" si="29"/>
        <v>-6.4000000000000003E-3</v>
      </c>
    </row>
    <row r="98" spans="1:14" ht="24">
      <c r="A98" s="3377" t="s">
        <v>3276</v>
      </c>
      <c r="B98" s="3384" t="s">
        <v>3286</v>
      </c>
      <c r="C98" s="2044" t="s">
        <v>3515</v>
      </c>
      <c r="D98" s="3364">
        <f t="shared" si="30"/>
        <v>3.8999999999999998E-3</v>
      </c>
      <c r="E98" s="3381"/>
      <c r="F98" s="1814"/>
      <c r="G98" s="3371">
        <f t="shared" si="31"/>
        <v>3.8999999999999998E-3</v>
      </c>
      <c r="H98" s="3419">
        <f t="shared" si="32"/>
        <v>3.8999999999999998E-3</v>
      </c>
      <c r="I98" s="3365">
        <v>0.06</v>
      </c>
      <c r="J98" s="3343">
        <f t="shared" si="27"/>
        <v>7.7999999999999996E-3</v>
      </c>
      <c r="K98" s="3343">
        <f t="shared" si="28"/>
        <v>3.8999999999999998E-3</v>
      </c>
      <c r="L98" s="3343">
        <v>0</v>
      </c>
      <c r="M98" s="3343">
        <f t="shared" si="29"/>
        <v>-3.8999999999999998E-3</v>
      </c>
      <c r="N98" s="3343">
        <f t="shared" si="29"/>
        <v>-7.7999999999999996E-3</v>
      </c>
    </row>
    <row r="99" spans="1:14" ht="25.5">
      <c r="A99" s="3377" t="s">
        <v>3277</v>
      </c>
      <c r="B99" s="3368" t="str">
        <f>估价对象房地状况!C21</f>
        <v>估价对象所在区域公共配套设施齐备情况</v>
      </c>
      <c r="C99" s="2044" t="s">
        <v>3516</v>
      </c>
      <c r="D99" s="3364">
        <f t="shared" si="30"/>
        <v>-3.8999999999999998E-3</v>
      </c>
      <c r="E99" s="3381"/>
      <c r="F99" s="1814"/>
      <c r="G99" s="3371">
        <f t="shared" si="31"/>
        <v>3.8999999999999998E-3</v>
      </c>
      <c r="H99" s="3419">
        <f t="shared" si="32"/>
        <v>3.8999999999999998E-3</v>
      </c>
      <c r="I99" s="3365">
        <v>0.06</v>
      </c>
      <c r="J99" s="3343">
        <f t="shared" si="27"/>
        <v>7.7999999999999996E-3</v>
      </c>
      <c r="K99" s="3343">
        <f t="shared" si="28"/>
        <v>3.8999999999999998E-3</v>
      </c>
      <c r="L99" s="3343">
        <v>0</v>
      </c>
      <c r="M99" s="3343">
        <f t="shared" si="29"/>
        <v>-3.8999999999999998E-3</v>
      </c>
      <c r="N99" s="3343">
        <f t="shared" si="29"/>
        <v>-7.7999999999999996E-3</v>
      </c>
    </row>
    <row r="100" spans="1:14" ht="25.5">
      <c r="A100" s="3377" t="s">
        <v>3278</v>
      </c>
      <c r="B100" s="3368" t="str">
        <f>估价对象房地状况!C22</f>
        <v>估价对象所在区域基础设施水平</v>
      </c>
      <c r="C100" s="2044" t="s">
        <v>3514</v>
      </c>
      <c r="D100" s="3364">
        <f t="shared" si="30"/>
        <v>0</v>
      </c>
      <c r="E100" s="3381"/>
      <c r="F100" s="1814"/>
      <c r="G100" s="3371">
        <f t="shared" si="31"/>
        <v>5.7999999999999996E-3</v>
      </c>
      <c r="H100" s="3419">
        <f t="shared" si="32"/>
        <v>5.7999999999999996E-3</v>
      </c>
      <c r="I100" s="3365">
        <v>0.09</v>
      </c>
      <c r="J100" s="3343">
        <f t="shared" si="27"/>
        <v>1.1599999999999999E-2</v>
      </c>
      <c r="K100" s="3343">
        <f t="shared" si="28"/>
        <v>5.7999999999999996E-3</v>
      </c>
      <c r="L100" s="3343">
        <v>0</v>
      </c>
      <c r="M100" s="3343">
        <f t="shared" si="29"/>
        <v>-5.7999999999999996E-3</v>
      </c>
      <c r="N100" s="3343">
        <f t="shared" si="29"/>
        <v>-1.1599999999999999E-2</v>
      </c>
    </row>
    <row r="101" spans="1:14" ht="26.25" thickBot="1">
      <c r="A101" s="3378" t="s">
        <v>3279</v>
      </c>
      <c r="B101" s="3385" t="str">
        <f>估价对象房地状况!C20</f>
        <v>区域自然环境：；人文环境；综合评价环境状况一般</v>
      </c>
      <c r="C101" s="2044" t="s">
        <v>3515</v>
      </c>
      <c r="D101" s="3364">
        <f t="shared" si="30"/>
        <v>4.4999999999999997E-3</v>
      </c>
      <c r="E101" s="3382"/>
      <c r="F101" s="1814"/>
      <c r="G101" s="3371">
        <f t="shared" si="31"/>
        <v>4.4999999999999997E-3</v>
      </c>
      <c r="H101" s="3419">
        <f t="shared" si="32"/>
        <v>4.4999999999999997E-3</v>
      </c>
      <c r="I101" s="3366">
        <v>7.0000000000000007E-2</v>
      </c>
      <c r="J101" s="3343">
        <f t="shared" si="27"/>
        <v>8.9999999999999993E-3</v>
      </c>
      <c r="K101" s="3343">
        <f t="shared" si="28"/>
        <v>4.4999999999999997E-3</v>
      </c>
      <c r="L101" s="3343">
        <v>0</v>
      </c>
      <c r="M101" s="3343">
        <f t="shared" si="29"/>
        <v>-4.4999999999999997E-3</v>
      </c>
      <c r="N101" s="3343">
        <f t="shared" si="29"/>
        <v>-8.9999999999999993E-3</v>
      </c>
    </row>
    <row r="103" spans="1:14">
      <c r="A103" s="3831" t="s">
        <v>3294</v>
      </c>
      <c r="B103" s="3831"/>
      <c r="C103" s="3831"/>
      <c r="D103" s="3831"/>
      <c r="E103" s="3831"/>
      <c r="F103" s="3831"/>
      <c r="G103" s="3831"/>
      <c r="H103" s="3831"/>
      <c r="I103" s="3831"/>
      <c r="J103" s="3831"/>
      <c r="K103" s="3388"/>
      <c r="L103" s="3388"/>
      <c r="M103" s="3388"/>
      <c r="N103" s="3388"/>
    </row>
    <row r="104" spans="1:14">
      <c r="A104" s="3832" t="s">
        <v>3295</v>
      </c>
      <c r="B104" s="3832" t="s">
        <v>3296</v>
      </c>
      <c r="C104" s="3389" t="s">
        <v>3297</v>
      </c>
      <c r="D104" s="3390"/>
      <c r="E104" s="3390"/>
      <c r="F104" s="3390"/>
      <c r="G104" s="3390"/>
      <c r="H104" s="3390"/>
      <c r="I104" s="3390"/>
      <c r="J104" s="3391"/>
      <c r="K104" s="3392"/>
      <c r="L104" s="3392"/>
      <c r="M104" s="3392"/>
      <c r="N104" s="3392"/>
    </row>
    <row r="105" spans="1:14">
      <c r="A105" s="3832"/>
      <c r="B105" s="3832"/>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818"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1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1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1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1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19"/>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820"/>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821" t="s">
        <v>3311</v>
      </c>
      <c r="B113" s="3821"/>
      <c r="C113" s="3821"/>
      <c r="D113" s="3821"/>
      <c r="E113" s="3821"/>
      <c r="F113" s="3821"/>
      <c r="G113" s="3821"/>
      <c r="H113" s="3821"/>
      <c r="I113" s="3821"/>
      <c r="J113" s="382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2.17</v>
      </c>
      <c r="C116" s="3398" t="s">
        <v>3313</v>
      </c>
      <c r="D116" s="3399">
        <f>SUMPRODUCT((A118:A122=F116)*(B117:M117=H116)*B118:M122)</f>
        <v>0.86619999999999997</v>
      </c>
      <c r="E116" s="2000" t="s">
        <v>3314</v>
      </c>
      <c r="F116" s="3400" t="str">
        <f>E2</f>
        <v>公共服务</v>
      </c>
      <c r="G116" s="2000" t="s">
        <v>3315</v>
      </c>
      <c r="H116" s="3400" t="str">
        <f>G2</f>
        <v>七级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0.97289999999999999</v>
      </c>
      <c r="C118" s="3386">
        <f>B118</f>
        <v>0.97289999999999999</v>
      </c>
      <c r="D118" s="3386">
        <f>ROUND(0.949-0.014*B116,4)</f>
        <v>0.91859999999999997</v>
      </c>
      <c r="E118" s="3386">
        <f>D118</f>
        <v>0.91859999999999997</v>
      </c>
      <c r="F118" s="3386">
        <f>E118</f>
        <v>0.91859999999999997</v>
      </c>
      <c r="G118" s="3386">
        <f>F118</f>
        <v>0.91859999999999997</v>
      </c>
      <c r="H118" s="3386">
        <f>G118</f>
        <v>0.91859999999999997</v>
      </c>
      <c r="I118" s="3386">
        <f>ROUND(0.8486-0.018*B116,4)</f>
        <v>0.8095</v>
      </c>
      <c r="J118" s="3386">
        <f t="shared" ref="J118:M122" si="36">I118</f>
        <v>0.8095</v>
      </c>
      <c r="K118" s="3386">
        <f t="shared" si="36"/>
        <v>0.8095</v>
      </c>
      <c r="L118" s="3386">
        <f t="shared" si="36"/>
        <v>0.8095</v>
      </c>
      <c r="M118" s="3409">
        <f t="shared" si="36"/>
        <v>0.8095</v>
      </c>
      <c r="N118" s="3396"/>
    </row>
    <row r="119" spans="1:14">
      <c r="A119" s="3408" t="s">
        <v>3329</v>
      </c>
      <c r="B119" s="3386">
        <f>ROUND(0.993-0.0112*B116,4)</f>
        <v>0.96870000000000001</v>
      </c>
      <c r="C119" s="3386">
        <f>B119</f>
        <v>0.96870000000000001</v>
      </c>
      <c r="D119" s="3386">
        <f>ROUND(0.9415-0.0142*B116,4)</f>
        <v>0.91069999999999995</v>
      </c>
      <c r="E119" s="3386">
        <f t="shared" ref="E119:H120" si="37">D119</f>
        <v>0.91069999999999995</v>
      </c>
      <c r="F119" s="3386">
        <f t="shared" si="37"/>
        <v>0.91069999999999995</v>
      </c>
      <c r="G119" s="3386">
        <f t="shared" si="37"/>
        <v>0.91069999999999995</v>
      </c>
      <c r="H119" s="3386">
        <f t="shared" si="37"/>
        <v>0.91069999999999995</v>
      </c>
      <c r="I119" s="3386">
        <f>ROUND(0.838-0.0182*B116,4)</f>
        <v>0.79849999999999999</v>
      </c>
      <c r="J119" s="3386">
        <f t="shared" si="36"/>
        <v>0.79849999999999999</v>
      </c>
      <c r="K119" s="3386">
        <f t="shared" si="36"/>
        <v>0.79849999999999999</v>
      </c>
      <c r="L119" s="3386">
        <f t="shared" si="36"/>
        <v>0.79849999999999999</v>
      </c>
      <c r="M119" s="3409">
        <f t="shared" si="36"/>
        <v>0.79849999999999999</v>
      </c>
      <c r="N119" s="3396"/>
    </row>
    <row r="120" spans="1:14">
      <c r="A120" s="3408" t="s">
        <v>3330</v>
      </c>
      <c r="B120" s="3386">
        <f>ROUND(0.9448-0.0115*B116,4)</f>
        <v>0.91979999999999995</v>
      </c>
      <c r="C120" s="3386">
        <f>B120</f>
        <v>0.91979999999999995</v>
      </c>
      <c r="D120" s="3386">
        <f>ROUND(0.937-0.0145*B116,4)</f>
        <v>0.90549999999999997</v>
      </c>
      <c r="E120" s="3386">
        <f t="shared" si="37"/>
        <v>0.90549999999999997</v>
      </c>
      <c r="F120" s="3386">
        <f t="shared" si="37"/>
        <v>0.90549999999999997</v>
      </c>
      <c r="G120" s="3386">
        <f t="shared" si="37"/>
        <v>0.90549999999999997</v>
      </c>
      <c r="H120" s="3386">
        <f t="shared" si="37"/>
        <v>0.90549999999999997</v>
      </c>
      <c r="I120" s="3386">
        <f>ROUND(0.7965-0.0185*B116,4)</f>
        <v>0.75639999999999996</v>
      </c>
      <c r="J120" s="3386">
        <f t="shared" si="36"/>
        <v>0.75639999999999996</v>
      </c>
      <c r="K120" s="3386">
        <f t="shared" si="36"/>
        <v>0.75639999999999996</v>
      </c>
      <c r="L120" s="3386">
        <f t="shared" si="36"/>
        <v>0.75639999999999996</v>
      </c>
      <c r="M120" s="3409">
        <f t="shared" si="36"/>
        <v>0.75639999999999996</v>
      </c>
      <c r="N120" s="3396"/>
    </row>
    <row r="121" spans="1:14" ht="13.5" thickBot="1">
      <c r="A121" s="3410" t="s">
        <v>3331</v>
      </c>
      <c r="B121" s="3411">
        <f>ROUND(0.7836-0.012*B116,4)</f>
        <v>0.75760000000000005</v>
      </c>
      <c r="C121" s="3411">
        <f>B121</f>
        <v>0.75760000000000005</v>
      </c>
      <c r="D121" s="3411">
        <f>ROUND(0.753-0.015*B116,4)</f>
        <v>0.72050000000000003</v>
      </c>
      <c r="E121" s="3411">
        <f>D121</f>
        <v>0.72050000000000003</v>
      </c>
      <c r="F121" s="3411">
        <f>E121</f>
        <v>0.72050000000000003</v>
      </c>
      <c r="G121" s="3411">
        <f>ROUND(0.6612-0.018*B116,4)</f>
        <v>0.62209999999999999</v>
      </c>
      <c r="H121" s="3411">
        <f>G121</f>
        <v>0.62209999999999999</v>
      </c>
      <c r="I121" s="3411">
        <f>ROUND(0.5905-0.019*B116,4)</f>
        <v>0.54930000000000001</v>
      </c>
      <c r="J121" s="3411">
        <f t="shared" si="36"/>
        <v>0.54930000000000001</v>
      </c>
      <c r="K121" s="3411">
        <f t="shared" si="36"/>
        <v>0.54930000000000001</v>
      </c>
      <c r="L121" s="3411">
        <f t="shared" si="36"/>
        <v>0.54930000000000001</v>
      </c>
      <c r="M121" s="3412">
        <f t="shared" si="36"/>
        <v>0.54930000000000001</v>
      </c>
      <c r="N121" s="3396"/>
    </row>
    <row r="122" spans="1:14">
      <c r="A122" s="3413" t="s">
        <v>2613</v>
      </c>
      <c r="B122" s="3386">
        <f>ROUND(0.9404-0.0106*B116,4)</f>
        <v>0.91739999999999999</v>
      </c>
      <c r="C122" s="3386">
        <f>B122</f>
        <v>0.91739999999999999</v>
      </c>
      <c r="D122" s="3386">
        <f>ROUND(0.8955-0.0135*B116,4)</f>
        <v>0.86619999999999997</v>
      </c>
      <c r="E122" s="3386">
        <f t="shared" ref="E122:H122" si="38">D122</f>
        <v>0.86619999999999997</v>
      </c>
      <c r="F122" s="3386">
        <f t="shared" si="38"/>
        <v>0.86619999999999997</v>
      </c>
      <c r="G122" s="3386">
        <f t="shared" si="38"/>
        <v>0.86619999999999997</v>
      </c>
      <c r="H122" s="3386">
        <f t="shared" si="38"/>
        <v>0.86619999999999997</v>
      </c>
      <c r="I122" s="3386">
        <f>ROUND(0.7632-0.0166*B116,4)</f>
        <v>0.72719999999999996</v>
      </c>
      <c r="J122" s="3386">
        <f t="shared" si="36"/>
        <v>0.72719999999999996</v>
      </c>
      <c r="K122" s="3386">
        <f t="shared" si="36"/>
        <v>0.72719999999999996</v>
      </c>
      <c r="L122" s="3386">
        <f t="shared" si="36"/>
        <v>0.72719999999999996</v>
      </c>
      <c r="M122" s="3409">
        <f t="shared" si="36"/>
        <v>0.72719999999999996</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44" t="s">
        <v>2608</v>
      </c>
      <c r="B20" s="3837" t="s">
        <v>2629</v>
      </c>
      <c r="C20" s="3101" t="s">
        <v>2440</v>
      </c>
      <c r="D20" s="3102"/>
      <c r="E20" s="3103">
        <v>1</v>
      </c>
      <c r="F20" s="3104" t="s">
        <v>2441</v>
      </c>
      <c r="G20" s="3104"/>
    </row>
    <row r="21" spans="1:13" ht="19.5" customHeight="1">
      <c r="A21" s="3845"/>
      <c r="B21" s="3838"/>
      <c r="C21" s="3105" t="s">
        <v>2442</v>
      </c>
      <c r="D21" s="3106"/>
      <c r="E21" s="3107">
        <v>1</v>
      </c>
      <c r="F21" s="3104" t="s">
        <v>2443</v>
      </c>
      <c r="G21" s="3104"/>
    </row>
    <row r="22" spans="1:13" ht="19.5" customHeight="1">
      <c r="A22" s="3845"/>
      <c r="B22" s="3838"/>
      <c r="C22" s="3105" t="s">
        <v>2444</v>
      </c>
      <c r="D22" s="3106"/>
      <c r="E22" s="3107">
        <v>0.9</v>
      </c>
      <c r="F22" s="3104" t="s">
        <v>2445</v>
      </c>
      <c r="G22" s="3104"/>
    </row>
    <row r="23" spans="1:13" ht="19.5" customHeight="1">
      <c r="A23" s="3845"/>
      <c r="B23" s="3838"/>
      <c r="C23" s="3105" t="s">
        <v>2446</v>
      </c>
      <c r="D23" s="3106"/>
      <c r="E23" s="3107">
        <v>0.9</v>
      </c>
      <c r="F23" s="3104" t="s">
        <v>2447</v>
      </c>
      <c r="G23" s="3104"/>
    </row>
    <row r="24" spans="1:13" ht="19.5" customHeight="1">
      <c r="A24" s="3845"/>
      <c r="B24" s="3838"/>
      <c r="C24" s="3105" t="s">
        <v>2448</v>
      </c>
      <c r="D24" s="3106"/>
      <c r="E24" s="3107">
        <v>0.8</v>
      </c>
      <c r="F24" s="3104" t="s">
        <v>2449</v>
      </c>
      <c r="G24" s="3104"/>
    </row>
    <row r="25" spans="1:13" ht="19.5" customHeight="1" thickBot="1">
      <c r="A25" s="3846"/>
      <c r="B25" s="3839"/>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840" t="s">
        <v>2632</v>
      </c>
      <c r="B27" s="3837" t="s">
        <v>2613</v>
      </c>
      <c r="C27" s="3101" t="s">
        <v>2453</v>
      </c>
      <c r="D27" s="3102"/>
      <c r="E27" s="3103">
        <v>1</v>
      </c>
      <c r="F27" s="3104" t="s">
        <v>2454</v>
      </c>
      <c r="G27" s="3104"/>
    </row>
    <row r="28" spans="1:13" ht="19.5" customHeight="1">
      <c r="A28" s="3841"/>
      <c r="B28" s="3838"/>
      <c r="C28" s="3105" t="s">
        <v>2455</v>
      </c>
      <c r="D28" s="3106"/>
      <c r="E28" s="3107">
        <v>1</v>
      </c>
      <c r="F28" s="3104" t="s">
        <v>2456</v>
      </c>
      <c r="G28" s="3104"/>
    </row>
    <row r="29" spans="1:13" ht="19.5" customHeight="1">
      <c r="A29" s="3841"/>
      <c r="B29" s="3838"/>
      <c r="C29" s="3105" t="s">
        <v>2457</v>
      </c>
      <c r="D29" s="3106"/>
      <c r="E29" s="3107">
        <v>0.8</v>
      </c>
      <c r="F29" s="3104" t="s">
        <v>2458</v>
      </c>
      <c r="G29" s="3104"/>
    </row>
    <row r="30" spans="1:13" ht="19.5" customHeight="1">
      <c r="A30" s="3841"/>
      <c r="B30" s="3838"/>
      <c r="C30" s="3105" t="s">
        <v>2459</v>
      </c>
      <c r="D30" s="3106"/>
      <c r="E30" s="3107">
        <v>0.8</v>
      </c>
      <c r="F30" s="3104" t="s">
        <v>2460</v>
      </c>
      <c r="G30" s="3104"/>
    </row>
    <row r="31" spans="1:13" ht="19.5" customHeight="1">
      <c r="A31" s="3841"/>
      <c r="B31" s="3838"/>
      <c r="C31" s="3105" t="s">
        <v>2461</v>
      </c>
      <c r="D31" s="3106"/>
      <c r="E31" s="3107">
        <v>0.8</v>
      </c>
      <c r="F31" s="3104" t="s">
        <v>2462</v>
      </c>
      <c r="G31" s="3104"/>
    </row>
    <row r="32" spans="1:13" ht="19.5" customHeight="1">
      <c r="A32" s="3841"/>
      <c r="B32" s="3838"/>
      <c r="C32" s="3105" t="s">
        <v>2463</v>
      </c>
      <c r="D32" s="3106"/>
      <c r="E32" s="3107">
        <v>0.7</v>
      </c>
      <c r="F32" s="3104" t="s">
        <v>2464</v>
      </c>
      <c r="G32" s="3104"/>
    </row>
    <row r="33" spans="1:7" ht="19.5" customHeight="1">
      <c r="A33" s="3841"/>
      <c r="B33" s="3838"/>
      <c r="C33" s="3105" t="s">
        <v>2465</v>
      </c>
      <c r="D33" s="3106"/>
      <c r="E33" s="3107">
        <v>0.8</v>
      </c>
      <c r="F33" s="3104" t="s">
        <v>2466</v>
      </c>
      <c r="G33" s="3104"/>
    </row>
    <row r="34" spans="1:7" ht="19.5" customHeight="1">
      <c r="A34" s="3841"/>
      <c r="B34" s="3838"/>
      <c r="C34" s="3105" t="s">
        <v>2467</v>
      </c>
      <c r="D34" s="3106"/>
      <c r="E34" s="3107">
        <v>0.6</v>
      </c>
      <c r="F34" s="3104" t="s">
        <v>2468</v>
      </c>
      <c r="G34" s="3104"/>
    </row>
    <row r="35" spans="1:7" ht="19.5" customHeight="1">
      <c r="A35" s="3841"/>
      <c r="B35" s="3838"/>
      <c r="C35" s="3105" t="s">
        <v>2469</v>
      </c>
      <c r="D35" s="3106"/>
      <c r="E35" s="3107">
        <v>0.2</v>
      </c>
      <c r="F35" s="3104" t="s">
        <v>2470</v>
      </c>
      <c r="G35" s="3104"/>
    </row>
    <row r="36" spans="1:7" ht="19.5" customHeight="1">
      <c r="A36" s="3841"/>
      <c r="B36" s="3838"/>
      <c r="C36" s="3105" t="s">
        <v>2471</v>
      </c>
      <c r="D36" s="3106"/>
      <c r="E36" s="3107">
        <v>0.2</v>
      </c>
      <c r="F36" s="3104" t="s">
        <v>2472</v>
      </c>
      <c r="G36" s="3104"/>
    </row>
    <row r="37" spans="1:7" ht="19.5" customHeight="1">
      <c r="A37" s="3841"/>
      <c r="B37" s="3843" t="s">
        <v>2633</v>
      </c>
      <c r="C37" s="3105" t="s">
        <v>2473</v>
      </c>
      <c r="D37" s="3106"/>
      <c r="E37" s="3107">
        <v>0.6</v>
      </c>
      <c r="F37" s="3104" t="s">
        <v>2474</v>
      </c>
      <c r="G37" s="3104"/>
    </row>
    <row r="38" spans="1:7" ht="19.5" customHeight="1">
      <c r="A38" s="3841"/>
      <c r="B38" s="3838"/>
      <c r="C38" s="3105" t="s">
        <v>2475</v>
      </c>
      <c r="D38" s="3106"/>
      <c r="E38" s="3107">
        <v>0.6</v>
      </c>
      <c r="F38" s="3104" t="s">
        <v>2476</v>
      </c>
      <c r="G38" s="3104"/>
    </row>
    <row r="39" spans="1:7" ht="19.5" customHeight="1" thickBot="1">
      <c r="A39" s="3842"/>
      <c r="B39" s="3839"/>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44" t="s">
        <v>2611</v>
      </c>
      <c r="B41" s="3837" t="s">
        <v>2635</v>
      </c>
      <c r="C41" s="3101" t="s">
        <v>2480</v>
      </c>
      <c r="D41" s="3102"/>
      <c r="E41" s="3103">
        <v>1</v>
      </c>
      <c r="F41" s="3104" t="s">
        <v>2481</v>
      </c>
      <c r="G41" s="3104"/>
    </row>
    <row r="42" spans="1:7" ht="19.5" customHeight="1">
      <c r="A42" s="3845"/>
      <c r="B42" s="3838"/>
      <c r="C42" s="3105" t="s">
        <v>2482</v>
      </c>
      <c r="D42" s="3106"/>
      <c r="E42" s="3107">
        <v>1</v>
      </c>
      <c r="F42" s="3104" t="s">
        <v>2483</v>
      </c>
      <c r="G42" s="3104"/>
    </row>
    <row r="43" spans="1:7" ht="19.5" customHeight="1">
      <c r="A43" s="3845"/>
      <c r="B43" s="3847"/>
      <c r="C43" s="3105" t="s">
        <v>2484</v>
      </c>
      <c r="D43" s="3106"/>
      <c r="E43" s="3107">
        <v>1.5</v>
      </c>
      <c r="F43" s="3104" t="s">
        <v>2485</v>
      </c>
      <c r="G43" s="3104"/>
    </row>
    <row r="44" spans="1:7" ht="19.5" customHeight="1">
      <c r="A44" s="3845"/>
      <c r="B44" s="3116" t="s">
        <v>2636</v>
      </c>
      <c r="C44" s="3105" t="s">
        <v>2637</v>
      </c>
      <c r="D44" s="3106"/>
      <c r="E44" s="3107">
        <v>2</v>
      </c>
      <c r="F44" s="3104" t="s">
        <v>2486</v>
      </c>
      <c r="G44" s="3104"/>
    </row>
    <row r="45" spans="1:7" ht="19.5" customHeight="1">
      <c r="A45" s="3845"/>
      <c r="B45" s="3843" t="s">
        <v>2638</v>
      </c>
      <c r="C45" s="3105" t="s">
        <v>2487</v>
      </c>
      <c r="D45" s="3106"/>
      <c r="E45" s="3107">
        <v>1</v>
      </c>
      <c r="F45" s="3104" t="s">
        <v>2488</v>
      </c>
      <c r="G45" s="3104"/>
    </row>
    <row r="46" spans="1:7" ht="19.5" customHeight="1">
      <c r="A46" s="3845"/>
      <c r="B46" s="3838"/>
      <c r="C46" s="3105" t="s">
        <v>2489</v>
      </c>
      <c r="D46" s="3106"/>
      <c r="E46" s="3107">
        <v>1</v>
      </c>
      <c r="F46" s="3104" t="s">
        <v>2490</v>
      </c>
      <c r="G46" s="3104"/>
    </row>
    <row r="47" spans="1:7" ht="19.5" customHeight="1">
      <c r="A47" s="3845"/>
      <c r="B47" s="3838"/>
      <c r="C47" s="3105" t="s">
        <v>2491</v>
      </c>
      <c r="D47" s="3106"/>
      <c r="E47" s="3107">
        <v>1</v>
      </c>
      <c r="F47" s="3104" t="s">
        <v>2492</v>
      </c>
      <c r="G47" s="3104"/>
    </row>
    <row r="48" spans="1:7" ht="19.5" customHeight="1">
      <c r="A48" s="3845"/>
      <c r="B48" s="3838"/>
      <c r="C48" s="3105" t="s">
        <v>2493</v>
      </c>
      <c r="D48" s="3106"/>
      <c r="E48" s="3107">
        <v>1</v>
      </c>
      <c r="F48" s="3104" t="s">
        <v>2494</v>
      </c>
      <c r="G48" s="3104"/>
    </row>
    <row r="49" spans="1:7" ht="19.5" customHeight="1">
      <c r="A49" s="3845"/>
      <c r="B49" s="3838"/>
      <c r="C49" s="3105" t="s">
        <v>2495</v>
      </c>
      <c r="D49" s="3106"/>
      <c r="E49" s="3107">
        <v>1</v>
      </c>
      <c r="F49" s="3104" t="s">
        <v>2496</v>
      </c>
      <c r="G49" s="3104"/>
    </row>
    <row r="50" spans="1:7" ht="19.5" customHeight="1">
      <c r="A50" s="3845"/>
      <c r="B50" s="3838"/>
      <c r="C50" s="3105" t="s">
        <v>2497</v>
      </c>
      <c r="D50" s="3106"/>
      <c r="E50" s="3107">
        <v>1</v>
      </c>
      <c r="F50" s="3104" t="s">
        <v>2498</v>
      </c>
      <c r="G50" s="3104"/>
    </row>
    <row r="51" spans="1:7" ht="19.5" customHeight="1" thickBot="1">
      <c r="A51" s="3846"/>
      <c r="B51" s="3839"/>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843" t="s">
        <v>2652</v>
      </c>
      <c r="C73" s="3090" t="s">
        <v>2653</v>
      </c>
      <c r="D73" s="3090" t="s">
        <v>2654</v>
      </c>
      <c r="E73" s="3116">
        <v>0.2</v>
      </c>
      <c r="F73" s="3116">
        <v>25</v>
      </c>
    </row>
    <row r="74" spans="1:7" ht="24">
      <c r="A74" s="3116">
        <v>2</v>
      </c>
      <c r="B74" s="3838"/>
      <c r="C74" s="3090" t="s">
        <v>2655</v>
      </c>
      <c r="D74" s="3090" t="s">
        <v>2656</v>
      </c>
      <c r="E74" s="3116">
        <v>0.2</v>
      </c>
      <c r="F74" s="3116">
        <v>25</v>
      </c>
    </row>
    <row r="75" spans="1:7" ht="24">
      <c r="A75" s="3116">
        <v>3</v>
      </c>
      <c r="B75" s="3838"/>
      <c r="C75" s="3090" t="s">
        <v>2657</v>
      </c>
      <c r="D75" s="3090" t="s">
        <v>2658</v>
      </c>
      <c r="E75" s="3116">
        <v>0.2</v>
      </c>
      <c r="F75" s="3116">
        <v>25</v>
      </c>
    </row>
    <row r="76" spans="1:7" ht="13.5">
      <c r="A76" s="3116">
        <v>4</v>
      </c>
      <c r="B76" s="3838"/>
      <c r="C76" s="3090" t="s">
        <v>2659</v>
      </c>
      <c r="D76" s="3090" t="s">
        <v>2660</v>
      </c>
      <c r="E76" s="3116">
        <v>0.15</v>
      </c>
      <c r="F76" s="3116">
        <v>20</v>
      </c>
    </row>
    <row r="77" spans="1:7" ht="24">
      <c r="A77" s="3116">
        <v>5</v>
      </c>
      <c r="B77" s="3838"/>
      <c r="C77" s="3090" t="s">
        <v>2661</v>
      </c>
      <c r="D77" s="3090" t="s">
        <v>2662</v>
      </c>
      <c r="E77" s="3116">
        <v>0.15</v>
      </c>
      <c r="F77" s="3116">
        <v>20</v>
      </c>
    </row>
    <row r="78" spans="1:7" ht="24">
      <c r="A78" s="3116">
        <v>6</v>
      </c>
      <c r="B78" s="3838"/>
      <c r="C78" s="3090" t="s">
        <v>2663</v>
      </c>
      <c r="D78" s="3090" t="s">
        <v>2664</v>
      </c>
      <c r="E78" s="3116">
        <v>0.15</v>
      </c>
      <c r="F78" s="3116">
        <v>20</v>
      </c>
    </row>
    <row r="79" spans="1:7" ht="24">
      <c r="A79" s="3116">
        <v>7</v>
      </c>
      <c r="B79" s="3838"/>
      <c r="C79" s="3090" t="s">
        <v>2665</v>
      </c>
      <c r="D79" s="3090" t="s">
        <v>2666</v>
      </c>
      <c r="E79" s="3116">
        <v>0.15</v>
      </c>
      <c r="F79" s="3116">
        <v>20</v>
      </c>
    </row>
    <row r="80" spans="1:7" ht="24">
      <c r="A80" s="3116">
        <v>8</v>
      </c>
      <c r="B80" s="3838"/>
      <c r="C80" s="3090" t="s">
        <v>2667</v>
      </c>
      <c r="D80" s="3090" t="s">
        <v>2668</v>
      </c>
      <c r="E80" s="3116">
        <v>0.1</v>
      </c>
      <c r="F80" s="3116">
        <v>15</v>
      </c>
    </row>
    <row r="81" spans="1:6" ht="24">
      <c r="A81" s="3116">
        <v>9</v>
      </c>
      <c r="B81" s="3838"/>
      <c r="C81" s="3090" t="s">
        <v>2669</v>
      </c>
      <c r="D81" s="3090" t="s">
        <v>2670</v>
      </c>
      <c r="E81" s="3116">
        <v>0.1</v>
      </c>
      <c r="F81" s="3116">
        <v>15</v>
      </c>
    </row>
    <row r="82" spans="1:6" ht="24">
      <c r="A82" s="3116">
        <v>10</v>
      </c>
      <c r="B82" s="3838"/>
      <c r="C82" s="3090" t="s">
        <v>2671</v>
      </c>
      <c r="D82" s="3090" t="s">
        <v>2672</v>
      </c>
      <c r="E82" s="3116">
        <v>0.1</v>
      </c>
      <c r="F82" s="3116">
        <v>15</v>
      </c>
    </row>
    <row r="83" spans="1:6" ht="24">
      <c r="A83" s="3116">
        <v>11</v>
      </c>
      <c r="B83" s="3838"/>
      <c r="C83" s="3090" t="s">
        <v>2673</v>
      </c>
      <c r="D83" s="3090" t="s">
        <v>2674</v>
      </c>
      <c r="E83" s="3116">
        <v>0.1</v>
      </c>
      <c r="F83" s="3116">
        <v>15</v>
      </c>
    </row>
    <row r="84" spans="1:6" ht="24">
      <c r="A84" s="3116">
        <v>12</v>
      </c>
      <c r="B84" s="3838"/>
      <c r="C84" s="3090" t="s">
        <v>2675</v>
      </c>
      <c r="D84" s="3090" t="s">
        <v>2676</v>
      </c>
      <c r="E84" s="3116">
        <v>0.1</v>
      </c>
      <c r="F84" s="3116">
        <v>15</v>
      </c>
    </row>
    <row r="85" spans="1:6" ht="13.5">
      <c r="A85" s="3116">
        <v>13</v>
      </c>
      <c r="B85" s="3838"/>
      <c r="C85" s="3090" t="s">
        <v>2677</v>
      </c>
      <c r="D85" s="3090" t="s">
        <v>2678</v>
      </c>
      <c r="E85" s="3116">
        <v>0.1</v>
      </c>
      <c r="F85" s="3116">
        <v>15</v>
      </c>
    </row>
    <row r="86" spans="1:6" ht="13.5">
      <c r="A86" s="3116">
        <v>14</v>
      </c>
      <c r="B86" s="3838"/>
      <c r="C86" s="3090" t="s">
        <v>2679</v>
      </c>
      <c r="D86" s="3090" t="s">
        <v>2680</v>
      </c>
      <c r="E86" s="3116">
        <v>0.1</v>
      </c>
      <c r="F86" s="3116">
        <v>15</v>
      </c>
    </row>
    <row r="87" spans="1:6" ht="13.5">
      <c r="A87" s="3116">
        <v>15</v>
      </c>
      <c r="B87" s="3838"/>
      <c r="C87" s="3090" t="s">
        <v>2681</v>
      </c>
      <c r="D87" s="3090" t="s">
        <v>2682</v>
      </c>
      <c r="E87" s="3116">
        <v>0.1</v>
      </c>
      <c r="F87" s="3116">
        <v>15</v>
      </c>
    </row>
    <row r="88" spans="1:6" ht="24">
      <c r="A88" s="3116">
        <v>16</v>
      </c>
      <c r="B88" s="3838"/>
      <c r="C88" s="3090" t="s">
        <v>2683</v>
      </c>
      <c r="D88" s="3090" t="s">
        <v>2684</v>
      </c>
      <c r="E88" s="3116">
        <v>0.1</v>
      </c>
      <c r="F88" s="3116">
        <v>15</v>
      </c>
    </row>
    <row r="89" spans="1:6" ht="24">
      <c r="A89" s="3116">
        <v>17</v>
      </c>
      <c r="B89" s="3847"/>
      <c r="C89" s="3090" t="s">
        <v>2685</v>
      </c>
      <c r="D89" s="3090" t="s">
        <v>2686</v>
      </c>
      <c r="E89" s="3116">
        <v>0.1</v>
      </c>
      <c r="F89" s="3116">
        <v>15</v>
      </c>
    </row>
    <row r="90" spans="1:6" ht="13.5">
      <c r="A90" s="3116">
        <v>18</v>
      </c>
      <c r="B90" s="3843" t="s">
        <v>2687</v>
      </c>
      <c r="C90" s="3090" t="s">
        <v>2688</v>
      </c>
      <c r="D90" s="3090" t="s">
        <v>2689</v>
      </c>
      <c r="E90" s="3116">
        <v>0.2</v>
      </c>
      <c r="F90" s="3116">
        <v>25</v>
      </c>
    </row>
    <row r="91" spans="1:6" ht="24">
      <c r="A91" s="3116">
        <v>19</v>
      </c>
      <c r="B91" s="3838"/>
      <c r="C91" s="3090" t="s">
        <v>2690</v>
      </c>
      <c r="D91" s="3090" t="s">
        <v>2691</v>
      </c>
      <c r="E91" s="3116">
        <v>0.2</v>
      </c>
      <c r="F91" s="3116">
        <v>25</v>
      </c>
    </row>
    <row r="92" spans="1:6" ht="13.5">
      <c r="A92" s="3116">
        <v>20</v>
      </c>
      <c r="B92" s="3838"/>
      <c r="C92" s="3090" t="s">
        <v>2692</v>
      </c>
      <c r="D92" s="3090" t="s">
        <v>2693</v>
      </c>
      <c r="E92" s="3116">
        <v>0.15</v>
      </c>
      <c r="F92" s="3116">
        <v>20</v>
      </c>
    </row>
    <row r="93" spans="1:6" ht="13.5">
      <c r="A93" s="3116">
        <v>21</v>
      </c>
      <c r="B93" s="3838"/>
      <c r="C93" s="3090" t="s">
        <v>2694</v>
      </c>
      <c r="D93" s="3090" t="s">
        <v>2695</v>
      </c>
      <c r="E93" s="3116">
        <v>0.15</v>
      </c>
      <c r="F93" s="3116">
        <v>20</v>
      </c>
    </row>
    <row r="94" spans="1:6" ht="13.5">
      <c r="A94" s="3116">
        <v>22</v>
      </c>
      <c r="B94" s="3838"/>
      <c r="C94" s="3090" t="s">
        <v>2696</v>
      </c>
      <c r="D94" s="3090" t="s">
        <v>2697</v>
      </c>
      <c r="E94" s="3116">
        <v>0.15</v>
      </c>
      <c r="F94" s="3116">
        <v>20</v>
      </c>
    </row>
    <row r="95" spans="1:6" ht="36">
      <c r="A95" s="3116">
        <v>23</v>
      </c>
      <c r="B95" s="3838"/>
      <c r="C95" s="3090" t="s">
        <v>2698</v>
      </c>
      <c r="D95" s="3090" t="s">
        <v>2699</v>
      </c>
      <c r="E95" s="3116">
        <v>0.15</v>
      </c>
      <c r="F95" s="3116">
        <v>20</v>
      </c>
    </row>
    <row r="96" spans="1:6" ht="13.5">
      <c r="A96" s="3116">
        <v>24</v>
      </c>
      <c r="B96" s="3838"/>
      <c r="C96" s="3090" t="s">
        <v>2700</v>
      </c>
      <c r="D96" s="3090" t="s">
        <v>2701</v>
      </c>
      <c r="E96" s="3116">
        <v>0.1</v>
      </c>
      <c r="F96" s="3116">
        <v>15</v>
      </c>
    </row>
    <row r="97" spans="1:6" ht="13.5">
      <c r="A97" s="3116">
        <v>25</v>
      </c>
      <c r="B97" s="3838"/>
      <c r="C97" s="3090" t="s">
        <v>2702</v>
      </c>
      <c r="D97" s="3090" t="s">
        <v>2703</v>
      </c>
      <c r="E97" s="3116">
        <v>0.1</v>
      </c>
      <c r="F97" s="3116">
        <v>15</v>
      </c>
    </row>
    <row r="98" spans="1:6" ht="24">
      <c r="A98" s="3116">
        <v>26</v>
      </c>
      <c r="B98" s="3838"/>
      <c r="C98" s="3090" t="s">
        <v>2704</v>
      </c>
      <c r="D98" s="3090" t="s">
        <v>2705</v>
      </c>
      <c r="E98" s="3116">
        <v>0.1</v>
      </c>
      <c r="F98" s="3116">
        <v>15</v>
      </c>
    </row>
    <row r="99" spans="1:6" ht="24">
      <c r="A99" s="3116">
        <v>27</v>
      </c>
      <c r="B99" s="3838"/>
      <c r="C99" s="3090" t="s">
        <v>2706</v>
      </c>
      <c r="D99" s="3090" t="s">
        <v>2707</v>
      </c>
      <c r="E99" s="3116">
        <v>0.1</v>
      </c>
      <c r="F99" s="3116">
        <v>15</v>
      </c>
    </row>
    <row r="100" spans="1:6" ht="13.5">
      <c r="A100" s="3116">
        <v>28</v>
      </c>
      <c r="B100" s="3838"/>
      <c r="C100" s="3090" t="s">
        <v>2708</v>
      </c>
      <c r="D100" s="3090" t="s">
        <v>2709</v>
      </c>
      <c r="E100" s="3116">
        <v>0.1</v>
      </c>
      <c r="F100" s="3116">
        <v>15</v>
      </c>
    </row>
    <row r="101" spans="1:6" ht="13.5">
      <c r="A101" s="3116">
        <v>29</v>
      </c>
      <c r="B101" s="3838"/>
      <c r="C101" s="3090" t="s">
        <v>2710</v>
      </c>
      <c r="D101" s="3090" t="s">
        <v>2711</v>
      </c>
      <c r="E101" s="3116">
        <v>0.1</v>
      </c>
      <c r="F101" s="3116">
        <v>15</v>
      </c>
    </row>
    <row r="102" spans="1:6" ht="13.5">
      <c r="A102" s="3116">
        <v>30</v>
      </c>
      <c r="B102" s="3838"/>
      <c r="C102" s="3090" t="s">
        <v>2712</v>
      </c>
      <c r="D102" s="3090" t="s">
        <v>2713</v>
      </c>
      <c r="E102" s="3116">
        <v>0.1</v>
      </c>
      <c r="F102" s="3116">
        <v>15</v>
      </c>
    </row>
    <row r="103" spans="1:6" ht="24">
      <c r="A103" s="3116">
        <v>31</v>
      </c>
      <c r="B103" s="3838"/>
      <c r="C103" s="3090" t="s">
        <v>2714</v>
      </c>
      <c r="D103" s="3090" t="s">
        <v>2715</v>
      </c>
      <c r="E103" s="3116">
        <v>0.1</v>
      </c>
      <c r="F103" s="3116">
        <v>15</v>
      </c>
    </row>
    <row r="104" spans="1:6" ht="24">
      <c r="A104" s="3116">
        <v>32</v>
      </c>
      <c r="B104" s="3838"/>
      <c r="C104" s="3090" t="s">
        <v>2716</v>
      </c>
      <c r="D104" s="3090" t="s">
        <v>2717</v>
      </c>
      <c r="E104" s="3116">
        <v>0.1</v>
      </c>
      <c r="F104" s="3116">
        <v>15</v>
      </c>
    </row>
    <row r="105" spans="1:6" ht="24">
      <c r="A105" s="3116">
        <v>33</v>
      </c>
      <c r="B105" s="3838"/>
      <c r="C105" s="3090" t="s">
        <v>2718</v>
      </c>
      <c r="D105" s="3090" t="s">
        <v>2719</v>
      </c>
      <c r="E105" s="3116">
        <v>0.1</v>
      </c>
      <c r="F105" s="3116">
        <v>15</v>
      </c>
    </row>
    <row r="106" spans="1:6" ht="24">
      <c r="A106" s="3116">
        <v>34</v>
      </c>
      <c r="B106" s="3847"/>
      <c r="C106" s="3090" t="s">
        <v>2720</v>
      </c>
      <c r="D106" s="3090" t="s">
        <v>2721</v>
      </c>
      <c r="E106" s="3116">
        <v>0.1</v>
      </c>
      <c r="F106" s="3116">
        <v>15</v>
      </c>
    </row>
    <row r="107" spans="1:6" ht="24">
      <c r="A107" s="3116">
        <v>35</v>
      </c>
      <c r="B107" s="3843" t="s">
        <v>2722</v>
      </c>
      <c r="C107" s="3116" t="s">
        <v>2723</v>
      </c>
      <c r="D107" s="3090" t="s">
        <v>2724</v>
      </c>
      <c r="E107" s="3116">
        <v>0.15</v>
      </c>
      <c r="F107" s="3116">
        <v>20</v>
      </c>
    </row>
    <row r="108" spans="1:6" ht="13.5">
      <c r="A108" s="3116">
        <v>36</v>
      </c>
      <c r="B108" s="3838"/>
      <c r="C108" s="3116" t="s">
        <v>2725</v>
      </c>
      <c r="D108" s="3090" t="s">
        <v>2726</v>
      </c>
      <c r="E108" s="3116">
        <v>0.15</v>
      </c>
      <c r="F108" s="3116">
        <v>20</v>
      </c>
    </row>
    <row r="109" spans="1:6" ht="13.5">
      <c r="A109" s="3116">
        <v>37</v>
      </c>
      <c r="B109" s="3838"/>
      <c r="C109" s="3116" t="s">
        <v>2727</v>
      </c>
      <c r="D109" s="3090" t="s">
        <v>2728</v>
      </c>
      <c r="E109" s="3116">
        <v>0.15</v>
      </c>
      <c r="F109" s="3116">
        <v>20</v>
      </c>
    </row>
    <row r="110" spans="1:6" ht="13.5">
      <c r="A110" s="3116">
        <v>38</v>
      </c>
      <c r="B110" s="3838"/>
      <c r="C110" s="3116" t="s">
        <v>2729</v>
      </c>
      <c r="D110" s="3090" t="s">
        <v>2730</v>
      </c>
      <c r="E110" s="3116">
        <v>0.1</v>
      </c>
      <c r="F110" s="3116">
        <v>15</v>
      </c>
    </row>
    <row r="111" spans="1:6" ht="24">
      <c r="A111" s="3116">
        <v>39</v>
      </c>
      <c r="B111" s="3838"/>
      <c r="C111" s="3116" t="s">
        <v>2731</v>
      </c>
      <c r="D111" s="3090" t="s">
        <v>2732</v>
      </c>
      <c r="E111" s="3116">
        <v>0.1</v>
      </c>
      <c r="F111" s="3116">
        <v>15</v>
      </c>
    </row>
    <row r="112" spans="1:6" ht="24">
      <c r="A112" s="3116">
        <v>40</v>
      </c>
      <c r="B112" s="3847"/>
      <c r="C112" s="3116" t="s">
        <v>2733</v>
      </c>
      <c r="D112" s="3090" t="s">
        <v>2734</v>
      </c>
      <c r="E112" s="3116">
        <v>0.1</v>
      </c>
      <c r="F112" s="3116">
        <v>15</v>
      </c>
    </row>
    <row r="113" spans="1:6" ht="13.5">
      <c r="A113" s="3116">
        <v>41</v>
      </c>
      <c r="B113" s="3848" t="s">
        <v>2735</v>
      </c>
      <c r="C113" s="3116" t="s">
        <v>2736</v>
      </c>
      <c r="D113" s="3090" t="s">
        <v>2737</v>
      </c>
      <c r="E113" s="3116">
        <v>0.1</v>
      </c>
      <c r="F113" s="3116">
        <v>15</v>
      </c>
    </row>
    <row r="114" spans="1:6" ht="13.5">
      <c r="A114" s="3116">
        <v>42</v>
      </c>
      <c r="B114" s="3848"/>
      <c r="C114" s="3116" t="s">
        <v>2738</v>
      </c>
      <c r="D114" s="3090" t="s">
        <v>2739</v>
      </c>
      <c r="E114" s="3116">
        <v>0.1</v>
      </c>
      <c r="F114" s="3116">
        <v>15</v>
      </c>
    </row>
    <row r="115" spans="1:6" ht="24">
      <c r="A115" s="3116">
        <v>43</v>
      </c>
      <c r="B115" s="3848"/>
      <c r="C115" s="3116" t="s">
        <v>2740</v>
      </c>
      <c r="D115" s="3090" t="s">
        <v>2741</v>
      </c>
      <c r="E115" s="3116">
        <v>0.1</v>
      </c>
      <c r="F115" s="3116">
        <v>15</v>
      </c>
    </row>
    <row r="116" spans="1:6" ht="13.5">
      <c r="A116" s="3116">
        <v>44</v>
      </c>
      <c r="B116" s="3843" t="s">
        <v>2742</v>
      </c>
      <c r="C116" s="3116" t="s">
        <v>2743</v>
      </c>
      <c r="D116" s="3090" t="s">
        <v>2744</v>
      </c>
      <c r="E116" s="3116">
        <v>0.1</v>
      </c>
      <c r="F116" s="3116">
        <v>15</v>
      </c>
    </row>
    <row r="117" spans="1:6" ht="24">
      <c r="A117" s="3116">
        <v>45</v>
      </c>
      <c r="B117" s="3847"/>
      <c r="C117" s="3090" t="s">
        <v>2745</v>
      </c>
      <c r="D117" s="3090" t="s">
        <v>2746</v>
      </c>
      <c r="E117" s="3116">
        <v>0.1</v>
      </c>
      <c r="F117" s="3116">
        <v>15</v>
      </c>
    </row>
    <row r="118" spans="1:6" ht="24">
      <c r="A118" s="3116">
        <v>46</v>
      </c>
      <c r="B118" s="3843" t="s">
        <v>2747</v>
      </c>
      <c r="C118" s="3116" t="s">
        <v>2748</v>
      </c>
      <c r="D118" s="3090" t="s">
        <v>2749</v>
      </c>
      <c r="E118" s="3116">
        <v>0.1</v>
      </c>
      <c r="F118" s="3116">
        <v>15</v>
      </c>
    </row>
    <row r="119" spans="1:6" ht="24">
      <c r="A119" s="3116">
        <v>47</v>
      </c>
      <c r="B119" s="3847"/>
      <c r="C119" s="3116" t="s">
        <v>2750</v>
      </c>
      <c r="D119" s="3090" t="s">
        <v>2751</v>
      </c>
      <c r="E119" s="3116">
        <v>0.1</v>
      </c>
      <c r="F119" s="3116">
        <v>15</v>
      </c>
    </row>
    <row r="120" spans="1:6" ht="13.5">
      <c r="A120" s="3116">
        <v>48</v>
      </c>
      <c r="B120" s="3843" t="s">
        <v>2752</v>
      </c>
      <c r="C120" s="3116" t="s">
        <v>2753</v>
      </c>
      <c r="D120" s="3090" t="s">
        <v>2754</v>
      </c>
      <c r="E120" s="3116">
        <v>0.1</v>
      </c>
      <c r="F120" s="3116">
        <v>15</v>
      </c>
    </row>
    <row r="121" spans="1:6" ht="13.5">
      <c r="A121" s="3116">
        <v>49</v>
      </c>
      <c r="B121" s="3847"/>
      <c r="C121" s="3116" t="s">
        <v>2755</v>
      </c>
      <c r="D121" s="3090" t="s">
        <v>2756</v>
      </c>
      <c r="E121" s="3116">
        <v>0.1</v>
      </c>
      <c r="F121" s="3116">
        <v>15</v>
      </c>
    </row>
    <row r="122" spans="1:6" ht="24">
      <c r="A122" s="3116">
        <v>50</v>
      </c>
      <c r="B122" s="3848" t="s">
        <v>2757</v>
      </c>
      <c r="C122" s="3116" t="s">
        <v>2758</v>
      </c>
      <c r="D122" s="3090" t="s">
        <v>2759</v>
      </c>
      <c r="E122" s="3116">
        <v>0.1</v>
      </c>
      <c r="F122" s="3116">
        <v>15</v>
      </c>
    </row>
    <row r="123" spans="1:6" ht="24">
      <c r="A123" s="3116">
        <v>51</v>
      </c>
      <c r="B123" s="3848"/>
      <c r="C123" s="3116" t="s">
        <v>2760</v>
      </c>
      <c r="D123" s="3090" t="s">
        <v>2761</v>
      </c>
      <c r="E123" s="3116">
        <v>0.1</v>
      </c>
      <c r="F123" s="3116">
        <v>15</v>
      </c>
    </row>
    <row r="124" spans="1:6" ht="24">
      <c r="A124" s="3116">
        <v>52</v>
      </c>
      <c r="B124" s="3848" t="s">
        <v>2762</v>
      </c>
      <c r="C124" s="3116" t="s">
        <v>2763</v>
      </c>
      <c r="D124" s="3090" t="s">
        <v>2764</v>
      </c>
      <c r="E124" s="3116">
        <v>0.1</v>
      </c>
      <c r="F124" s="3116">
        <v>15</v>
      </c>
    </row>
    <row r="125" spans="1:6" ht="24">
      <c r="A125" s="3116">
        <v>53</v>
      </c>
      <c r="B125" s="3848"/>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848" t="s">
        <v>2770</v>
      </c>
      <c r="C127" s="3116" t="s">
        <v>2771</v>
      </c>
      <c r="D127" s="3090" t="s">
        <v>2772</v>
      </c>
      <c r="E127" s="3116">
        <v>0.1</v>
      </c>
      <c r="F127" s="3116">
        <v>15</v>
      </c>
    </row>
    <row r="128" spans="1:6" ht="13.5">
      <c r="A128" s="3116">
        <v>56</v>
      </c>
      <c r="B128" s="3848"/>
      <c r="C128" s="3116" t="s">
        <v>2773</v>
      </c>
      <c r="D128" s="3090" t="s">
        <v>2774</v>
      </c>
      <c r="E128" s="3116">
        <v>0.1</v>
      </c>
      <c r="F128" s="3116">
        <v>15</v>
      </c>
    </row>
    <row r="129" spans="1:6" ht="24">
      <c r="A129" s="3116">
        <v>57</v>
      </c>
      <c r="B129" s="3848"/>
      <c r="C129" s="3116" t="s">
        <v>2775</v>
      </c>
      <c r="D129" s="3090" t="s">
        <v>2776</v>
      </c>
      <c r="E129" s="3116">
        <v>0.1</v>
      </c>
      <c r="F129" s="3116">
        <v>15</v>
      </c>
    </row>
    <row r="130" spans="1:6" ht="24">
      <c r="A130" s="3116">
        <v>58</v>
      </c>
      <c r="B130" s="3848" t="s">
        <v>2777</v>
      </c>
      <c r="C130" s="3116" t="s">
        <v>2778</v>
      </c>
      <c r="D130" s="3090" t="s">
        <v>2779</v>
      </c>
      <c r="E130" s="3116">
        <v>0.1</v>
      </c>
      <c r="F130" s="3116">
        <v>15</v>
      </c>
    </row>
    <row r="131" spans="1:6" ht="13.5">
      <c r="A131" s="3116">
        <v>59</v>
      </c>
      <c r="B131" s="3848"/>
      <c r="C131" s="3116" t="s">
        <v>2780</v>
      </c>
      <c r="D131" s="3090" t="s">
        <v>2781</v>
      </c>
      <c r="E131" s="3116">
        <v>0.1</v>
      </c>
      <c r="F131" s="3116">
        <v>15</v>
      </c>
    </row>
    <row r="132" spans="1:6" ht="13.5">
      <c r="A132" s="3116">
        <v>60</v>
      </c>
      <c r="B132" s="3843" t="s">
        <v>2782</v>
      </c>
      <c r="C132" s="3116" t="s">
        <v>2783</v>
      </c>
      <c r="D132" s="3090" t="s">
        <v>2784</v>
      </c>
      <c r="E132" s="3116">
        <v>0.1</v>
      </c>
      <c r="F132" s="3116">
        <v>15</v>
      </c>
    </row>
    <row r="133" spans="1:6" ht="13.5">
      <c r="A133" s="3116">
        <v>61</v>
      </c>
      <c r="B133" s="3847"/>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848" t="s">
        <v>2790</v>
      </c>
      <c r="C135" s="3116" t="s">
        <v>2791</v>
      </c>
      <c r="D135" s="3090" t="s">
        <v>2792</v>
      </c>
      <c r="E135" s="3116">
        <v>0.1</v>
      </c>
      <c r="F135" s="3116">
        <v>15</v>
      </c>
    </row>
    <row r="136" spans="1:6" ht="13.5">
      <c r="A136" s="3116">
        <v>64</v>
      </c>
      <c r="B136" s="3848"/>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3"/>
      <c r="B4" s="3507" t="s">
        <v>917</v>
      </c>
      <c r="C4" s="3507"/>
      <c r="D4" s="3507"/>
      <c r="E4" s="1493"/>
    </row>
    <row r="5" spans="1:5" ht="16.5" thickTop="1">
      <c r="A5" s="1491"/>
      <c r="B5" s="3505" t="s">
        <v>909</v>
      </c>
      <c r="C5" s="1494" t="s">
        <v>910</v>
      </c>
      <c r="D5" s="850">
        <f ca="1">结果表!H101</f>
        <v>721702</v>
      </c>
      <c r="E5" s="1491"/>
    </row>
    <row r="6" spans="1:5" ht="15.75">
      <c r="A6" s="1491"/>
      <c r="B6" s="3505"/>
      <c r="C6" s="1494" t="s">
        <v>911</v>
      </c>
      <c r="D6" s="850" t="str">
        <f ca="1">NUMBERSTRING(INT(D5*10000),2)&amp;"元整"</f>
        <v>柒拾贰亿壹仟柒佰零贰万元整</v>
      </c>
      <c r="E6" s="1491"/>
    </row>
    <row r="7" spans="1:5" ht="15.75">
      <c r="A7" s="1491"/>
      <c r="B7" s="3510"/>
      <c r="C7" s="1495" t="s">
        <v>912</v>
      </c>
      <c r="D7" s="851">
        <f ca="1">结果表!H102</f>
        <v>24704</v>
      </c>
      <c r="E7" s="1491"/>
    </row>
    <row r="8" spans="1:5" ht="15.75">
      <c r="A8" s="1491"/>
      <c r="B8" s="3511" t="str">
        <f>结果表!E103</f>
        <v>2.估价师知悉的法定优先受偿款</v>
      </c>
      <c r="C8" s="1496" t="s">
        <v>913</v>
      </c>
      <c r="D8" s="851">
        <f>结果表!H103</f>
        <v>0</v>
      </c>
      <c r="E8" s="1491"/>
    </row>
    <row r="9" spans="1:5" ht="15.75">
      <c r="A9" s="1491"/>
      <c r="B9" s="351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4" t="str">
        <f>结果表!E107</f>
        <v>3.房地产抵押价值</v>
      </c>
      <c r="C13" s="1499" t="s">
        <v>910</v>
      </c>
      <c r="D13" s="853">
        <f ca="1">结果表!H107</f>
        <v>721702</v>
      </c>
      <c r="E13" s="1491"/>
    </row>
    <row r="14" spans="1:5" ht="15.75">
      <c r="A14" s="1491"/>
      <c r="B14" s="3505"/>
      <c r="C14" s="1494" t="s">
        <v>911</v>
      </c>
      <c r="D14" s="850" t="str">
        <f ca="1">NUMBERSTRING(INT(D13*10000),2)&amp;"元整"</f>
        <v>柒拾贰亿壹仟柒佰零贰万元整</v>
      </c>
      <c r="E14" s="1491"/>
    </row>
    <row r="15" spans="1:5" ht="15">
      <c r="A15" s="1491"/>
      <c r="B15" s="3510"/>
      <c r="C15" s="1495" t="s">
        <v>921</v>
      </c>
      <c r="D15" s="859">
        <f ca="1">结果表!H108</f>
        <v>24704</v>
      </c>
      <c r="E15" s="1491"/>
    </row>
    <row r="16" spans="1:5" ht="15">
      <c r="A16" s="1491"/>
      <c r="B16" s="3511" t="str">
        <f>结果表!E109</f>
        <v>——</v>
      </c>
      <c r="C16" s="1499" t="s">
        <v>922</v>
      </c>
      <c r="D16" s="1500" t="str">
        <f>结果表!H109</f>
        <v>——</v>
      </c>
      <c r="E16" s="1491"/>
    </row>
    <row r="17" spans="1:5" ht="15.75">
      <c r="A17" s="1491"/>
      <c r="B17" s="3512"/>
      <c r="C17" s="1494" t="s">
        <v>923</v>
      </c>
      <c r="D17" s="850" t="e">
        <f>NUMBERSTRING(INT(D16*10000),2)&amp;"元整"</f>
        <v>#VALUE!</v>
      </c>
      <c r="E17" s="1491"/>
    </row>
    <row r="18" spans="1:5" ht="15">
      <c r="A18" s="1491"/>
      <c r="B18" s="3513"/>
      <c r="C18" s="1495" t="s">
        <v>912</v>
      </c>
      <c r="D18" s="859" t="str">
        <f>结果表!H110</f>
        <v>——</v>
      </c>
      <c r="E18" s="1491"/>
    </row>
    <row r="19" spans="1:5" ht="15.75">
      <c r="A19" s="1491"/>
      <c r="B19" s="3504" t="str">
        <f>结果表!E111</f>
        <v>——</v>
      </c>
      <c r="C19" s="1499" t="s">
        <v>910</v>
      </c>
      <c r="D19" s="851" t="str">
        <f>结果表!H111</f>
        <v>——</v>
      </c>
      <c r="E19" s="1491"/>
    </row>
    <row r="20" spans="1:5" ht="15.75">
      <c r="A20" s="1491"/>
      <c r="B20" s="3505"/>
      <c r="C20" s="1494" t="s">
        <v>923</v>
      </c>
      <c r="D20" s="850" t="e">
        <f>NUMBERSTRING(INT(D19*10000),2)&amp;"元整"</f>
        <v>#VALUE!</v>
      </c>
      <c r="E20" s="1491"/>
    </row>
    <row r="21" spans="1:5" ht="15.75" thickBot="1">
      <c r="A21" s="1491"/>
      <c r="B21" s="350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1.0397000000000001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0.98899999999999999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476765</v>
      </c>
      <c r="C2" s="2" t="s">
        <v>106</v>
      </c>
      <c r="D2" s="199"/>
      <c r="E2" s="199"/>
      <c r="F2" s="199"/>
      <c r="G2" s="199"/>
    </row>
    <row r="3" spans="1:7" s="200" customFormat="1" ht="18" customHeight="1" thickBot="1">
      <c r="A3" s="203" t="s">
        <v>58</v>
      </c>
      <c r="B3" s="204">
        <f ca="1">ROUND(B2*10000/'数据-汇总表'!E3,0)</f>
        <v>16320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4966</v>
      </c>
      <c r="D10" s="845">
        <f>'数据-汇总表'!E6</f>
        <v>292137.36</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5843</v>
      </c>
      <c r="D19" s="849">
        <f>'数据-汇总表'!E3</f>
        <v>292137.36</v>
      </c>
      <c r="E19" s="211">
        <f>'数据-取费表'!B31</f>
        <v>200</v>
      </c>
      <c r="F19" s="231"/>
      <c r="G19" s="1" t="s">
        <v>436</v>
      </c>
    </row>
    <row r="20" spans="1:7" s="214" customFormat="1" ht="13.5" customHeight="1">
      <c r="A20" s="777" t="s">
        <v>419</v>
      </c>
      <c r="B20" s="210" t="s">
        <v>77</v>
      </c>
      <c r="C20" s="232">
        <f>ROUND((C5+C19)*F20,0)</f>
        <v>794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2574</v>
      </c>
      <c r="D22" s="235">
        <f ca="1">C26</f>
        <v>1.4E-3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1977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560</v>
      </c>
      <c r="D24" s="238"/>
      <c r="E24" s="238"/>
      <c r="F24" s="239"/>
      <c r="G24" s="240" t="s">
        <v>82</v>
      </c>
    </row>
    <row r="25" spans="1:7" s="214" customFormat="1" ht="24">
      <c r="A25" s="780" t="s">
        <v>348</v>
      </c>
      <c r="B25" s="215" t="s">
        <v>420</v>
      </c>
      <c r="C25" s="1105">
        <f ca="1">ROUND(IF('数据-取费表'!B22&lt;=1,C20*F22*'数据-取费表'!B23/2,C20*(POWER((1+F22),'数据-取费表'!B23/2)-1)),0)</f>
        <v>37</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5449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5449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38749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352775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307019</v>
      </c>
      <c r="D34" s="217"/>
      <c r="E34" s="220"/>
      <c r="F34" s="257">
        <f>IF('数据-取费表'!B24=0,1,'数据-取费表'!N16)</f>
        <v>1</v>
      </c>
      <c r="G34" s="219" t="s">
        <v>89</v>
      </c>
    </row>
    <row r="35" spans="1:7" ht="13.5" customHeight="1">
      <c r="A35" s="780" t="s">
        <v>351</v>
      </c>
      <c r="B35" s="215" t="s">
        <v>33</v>
      </c>
      <c r="C35" s="220">
        <f>ROUND(C34*F35,0)</f>
        <v>30702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5843</v>
      </c>
      <c r="D37" s="217">
        <f>'数据-汇总表'!E3</f>
        <v>292137.36</v>
      </c>
      <c r="E37" s="249">
        <f>'数据-取费表'!B35</f>
        <v>200</v>
      </c>
      <c r="F37" s="259"/>
      <c r="G37" s="261" t="s">
        <v>92</v>
      </c>
    </row>
    <row r="38" spans="1:7" ht="13.5" customHeight="1">
      <c r="A38" s="780" t="s">
        <v>354</v>
      </c>
      <c r="B38" s="215" t="s">
        <v>36</v>
      </c>
      <c r="C38" s="220">
        <f>ROUND(C34*F38,0)</f>
        <v>9211</v>
      </c>
      <c r="D38" s="220"/>
      <c r="E38" s="220"/>
      <c r="F38" s="259">
        <f>'数据-取费表'!B36</f>
        <v>0.03</v>
      </c>
      <c r="G38" s="219" t="s">
        <v>90</v>
      </c>
    </row>
    <row r="39" spans="1:7" s="214" customFormat="1" ht="13.5" customHeight="1">
      <c r="A39" s="777" t="s">
        <v>338</v>
      </c>
      <c r="B39" s="210" t="s">
        <v>77</v>
      </c>
      <c r="C39" s="232">
        <f>ROUND(C33*F20,0)</f>
        <v>10583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17027</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16531</v>
      </c>
      <c r="D42" s="238"/>
      <c r="E42" s="238"/>
      <c r="F42" s="239"/>
      <c r="G42" s="3713" t="s">
        <v>94</v>
      </c>
    </row>
    <row r="43" spans="1:7" ht="13.5" customHeight="1">
      <c r="A43" s="780" t="s">
        <v>347</v>
      </c>
      <c r="B43" s="215" t="s">
        <v>426</v>
      </c>
      <c r="C43" s="238">
        <f ca="1">ROUND(IF('数据-取费表'!B22&lt;=1,C39*F22*'数据-取费表'!B21/2,C39*(POWER((1+F22),'数据-取费表'!B21/2)-1)),0)</f>
        <v>496</v>
      </c>
      <c r="D43" s="238"/>
      <c r="E43" s="238"/>
      <c r="F43" s="239"/>
      <c r="G43" s="3714"/>
    </row>
    <row r="44" spans="1:7" ht="13.5" customHeight="1">
      <c r="A44" s="780" t="s">
        <v>348</v>
      </c>
      <c r="B44" s="215" t="s">
        <v>428</v>
      </c>
      <c r="C44" s="238">
        <f ca="1">ROUND(IF('数据-取费表'!B22&lt;=1,C40*F22*'数据-取费表'!B21/2,C40*(POWER((1+F22),'数据-取费表'!B21/2)-1)),4)</f>
        <v>1.4E-3</v>
      </c>
      <c r="D44" s="238"/>
      <c r="E44" s="238"/>
      <c r="F44" s="239"/>
      <c r="G44" s="3715"/>
    </row>
    <row r="45" spans="1:7" s="214" customFormat="1" ht="13.5" customHeight="1">
      <c r="A45" s="777" t="s">
        <v>341</v>
      </c>
      <c r="B45" s="244" t="s">
        <v>85</v>
      </c>
      <c r="C45" s="245">
        <f>C46</f>
        <v>72672</v>
      </c>
      <c r="D45" s="235">
        <f>C47</f>
        <v>6.0000000000000001E-3</v>
      </c>
      <c r="E45" s="236" t="s">
        <v>102</v>
      </c>
      <c r="F45" s="246"/>
      <c r="G45" s="247" t="s">
        <v>434</v>
      </c>
    </row>
    <row r="46" spans="1:7" s="214" customFormat="1" ht="13.5" customHeight="1">
      <c r="A46" s="780" t="s">
        <v>349</v>
      </c>
      <c r="B46" s="248" t="s">
        <v>427</v>
      </c>
      <c r="C46" s="249">
        <f>ROUND((C33+C39)*F27,0)</f>
        <v>72672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497745</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438016</v>
      </c>
      <c r="D51" s="232"/>
      <c r="E51" s="232"/>
      <c r="F51" s="264"/>
      <c r="G51" s="234" t="s">
        <v>37</v>
      </c>
    </row>
    <row r="52" spans="1:7" s="208" customFormat="1" ht="16.5" thickBot="1">
      <c r="A52" s="265" t="s">
        <v>38</v>
      </c>
      <c r="B52" s="266"/>
      <c r="C52" s="267">
        <f ca="1">C31+C51</f>
        <v>476765</v>
      </c>
      <c r="D52" s="266"/>
      <c r="E52" s="266"/>
      <c r="F52" s="266"/>
      <c r="G52" s="268"/>
    </row>
    <row r="55" spans="1:7" ht="15">
      <c r="B55" s="270" t="s">
        <v>39</v>
      </c>
      <c r="C55" s="271"/>
    </row>
    <row r="56" spans="1:7">
      <c r="B56" s="273" t="s">
        <v>40</v>
      </c>
      <c r="C56" s="274">
        <f ca="1">ROUND(C51/C52,3)</f>
        <v>0.91900000000000004</v>
      </c>
    </row>
    <row r="57" spans="1:7">
      <c r="B57" s="273" t="s">
        <v>41</v>
      </c>
      <c r="C57" s="275">
        <f ca="1">1-C56</f>
        <v>8.0999999999999961E-2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51" t="s">
        <v>2840</v>
      </c>
      <c r="B1" s="3851"/>
      <c r="C1" s="3851"/>
      <c r="D1" s="3851"/>
      <c r="E1" s="3851"/>
      <c r="F1" s="3851"/>
      <c r="G1" s="3852"/>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49"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50"/>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53" t="s">
        <v>3182</v>
      </c>
      <c r="B1" s="3853"/>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54" t="s">
        <v>3233</v>
      </c>
      <c r="B1" s="3854"/>
      <c r="C1" s="3854"/>
      <c r="D1" s="3854"/>
      <c r="E1" s="3854"/>
      <c r="F1" s="3855"/>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45631</v>
      </c>
      <c r="B1" s="3208" t="s">
        <v>3382</v>
      </c>
      <c r="C1" s="3209"/>
      <c r="D1" s="3209"/>
      <c r="E1" s="3209"/>
      <c r="F1" s="3209"/>
      <c r="G1" s="3209"/>
      <c r="H1" s="3209"/>
      <c r="I1" s="3209"/>
      <c r="J1" s="3163"/>
      <c r="K1" s="3209" t="s">
        <v>454</v>
      </c>
      <c r="L1" s="3209"/>
      <c r="M1" s="3209"/>
      <c r="N1" s="3209"/>
      <c r="O1" s="3209"/>
      <c r="P1" s="3209"/>
      <c r="Q1" s="3163"/>
      <c r="R1" s="3856" t="s">
        <v>456</v>
      </c>
      <c r="S1" s="3857"/>
      <c r="T1" s="3857"/>
      <c r="U1" s="3857"/>
      <c r="V1" s="3857"/>
      <c r="W1" s="3857"/>
      <c r="X1" s="3163"/>
      <c r="Y1" s="3856" t="s">
        <v>457</v>
      </c>
      <c r="Z1" s="3857"/>
      <c r="AA1" s="3857"/>
      <c r="AB1" s="3857"/>
      <c r="AC1" s="3857"/>
      <c r="AD1" s="3857"/>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ROUND(AVERAGEIF(D4:D21,"&lt;&gt;0"),2)</f>
        <v>0.47</v>
      </c>
      <c r="E3" s="3149">
        <f t="shared" ref="E3:H3" si="0">ROUND(AVERAGEIF(E4:E21,"&lt;&gt;0"),2)</f>
        <v>0.3</v>
      </c>
      <c r="F3" s="3149">
        <f t="shared" si="0"/>
        <v>0.04</v>
      </c>
      <c r="G3" s="3149">
        <f t="shared" si="0"/>
        <v>0.51</v>
      </c>
      <c r="H3" s="3149">
        <f t="shared" si="0"/>
        <v>0.55000000000000004</v>
      </c>
      <c r="I3" s="3149">
        <f>F3</f>
        <v>0.04</v>
      </c>
      <c r="J3" s="3150"/>
      <c r="K3" s="3151">
        <f>ROUND(AVERAGEIF(K4:K21,"&lt;&gt;0"),4)</f>
        <v>4.7000000000000002E-3</v>
      </c>
      <c r="L3" s="3152">
        <f t="shared" ref="L3:O3" si="1">ROUND(AVERAGEIF(L4:L21,"&lt;&gt;0"),4)</f>
        <v>3.0000000000000001E-3</v>
      </c>
      <c r="M3" s="3152">
        <f t="shared" si="1"/>
        <v>4.0000000000000002E-4</v>
      </c>
      <c r="N3" s="3152">
        <f t="shared" si="1"/>
        <v>5.1000000000000004E-3</v>
      </c>
      <c r="O3" s="3152">
        <f t="shared" si="1"/>
        <v>5.4999999999999997E-3</v>
      </c>
      <c r="P3" s="3152">
        <f>M3</f>
        <v>4.0000000000000002E-4</v>
      </c>
      <c r="Q3" s="3150"/>
      <c r="R3" s="3153">
        <f>ROUND(SUMPRODUCT(PRODUCT(1+K4:K21)),4)</f>
        <v>1.0723</v>
      </c>
      <c r="S3" s="3154">
        <f t="shared" ref="S3:V3" si="2">ROUND(SUMPRODUCT(PRODUCT(1+L4:L21)),4)</f>
        <v>1.0465</v>
      </c>
      <c r="T3" s="3154">
        <f t="shared" si="2"/>
        <v>1.0054000000000001</v>
      </c>
      <c r="U3" s="3154">
        <f t="shared" si="2"/>
        <v>1.0790999999999999</v>
      </c>
      <c r="V3" s="3154">
        <f t="shared" si="2"/>
        <v>1.0857000000000001</v>
      </c>
      <c r="W3" s="3153">
        <f>T3</f>
        <v>1.0054000000000001</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3378</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1.0620000000000001</v>
      </c>
      <c r="S5" s="3181">
        <f>ROUND(IF(项目基本情况!$B$8="出让",SUMPRODUCT(PRODUCT(1+L5:$L$21)),SUMPRODUCT(PRODUCT(1+L5:$L$20))),4)</f>
        <v>1.0448</v>
      </c>
      <c r="T5" s="3181">
        <f>ROUND(IF(项目基本情况!$B$8="出让",SUMPRODUCT(PRODUCT(1+M5:$M$21)),SUMPRODUCT(PRODUCT(1+M5:$M$20))),4)</f>
        <v>1.0079</v>
      </c>
      <c r="U5" s="3181">
        <f>ROUND(IF(项目基本情况!$B$8="出让",SUMPRODUCT(PRODUCT(1+N5:$N$21)),SUMPRODUCT(PRODUCT(1+N5:$N$20))),4)</f>
        <v>1.0672999999999999</v>
      </c>
      <c r="V5" s="3181">
        <f>ROUND(IF(项目基本情况!$B$8="出让",SUMPRODUCT(PRODUCT(1+O5:$O$21)),SUMPRODUCT(PRODUCT(1+O5:$O$20))),4)</f>
        <v>1.0818000000000001</v>
      </c>
      <c r="W5" s="3181">
        <f>T5</f>
        <v>1.0079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3387</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1.0620000000000001</v>
      </c>
      <c r="S6" s="3190">
        <f>ROUND(IF(项目基本情况!$B$8="出让",SUMPRODUCT(PRODUCT(1+L6:$L$21)),SUMPRODUCT(PRODUCT(1+L6:$L$20))),4)</f>
        <v>1.0448</v>
      </c>
      <c r="T6" s="3190">
        <f>ROUND(IF(项目基本情况!$B$8="出让",SUMPRODUCT(PRODUCT(1+M6:$M$21)),SUMPRODUCT(PRODUCT(1+M6:$M$20))),4)</f>
        <v>1.0079</v>
      </c>
      <c r="U6" s="3190">
        <f>ROUND(IF(项目基本情况!$B$8="出让",SUMPRODUCT(PRODUCT(1+N6:$N$21)),SUMPRODUCT(PRODUCT(1+N6:$N$20))),4)</f>
        <v>1.0672999999999999</v>
      </c>
      <c r="V6" s="3190">
        <f>ROUND(IF(项目基本情况!$B$8="出让",SUMPRODUCT(PRODUCT(1+O6:$O$21)),SUMPRODUCT(PRODUCT(1+O6:$O$20))),4)</f>
        <v>1.0818000000000001</v>
      </c>
      <c r="W6" s="3190">
        <f>T6</f>
        <v>1.0079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5" t="s">
        <v>3386</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3379</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3375</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3371</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3370</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3368</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3367</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3366</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3364</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3355</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2821</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2822</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2823</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2824</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2825</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3385</v>
      </c>
    </row>
    <row r="24" spans="1:30" s="3007" customFormat="1">
      <c r="I24" s="3206" t="s">
        <v>2826</v>
      </c>
    </row>
    <row r="25" spans="1:30" s="3007" customFormat="1"/>
    <row r="26" spans="1:30" s="3207" customFormat="1" ht="12.75">
      <c r="B26" s="3208" t="s">
        <v>3383</v>
      </c>
      <c r="C26" s="3209"/>
      <c r="D26" s="3209"/>
      <c r="E26" s="3209"/>
      <c r="F26" s="3209"/>
      <c r="G26" s="3209"/>
      <c r="H26" s="3209"/>
      <c r="I26" s="3209"/>
      <c r="J26" s="3163"/>
      <c r="K26" s="3209" t="s">
        <v>2827</v>
      </c>
      <c r="L26" s="3209"/>
      <c r="M26" s="3209"/>
      <c r="N26" s="3209"/>
      <c r="O26" s="3209"/>
      <c r="P26" s="3209"/>
      <c r="Q26" s="3163"/>
      <c r="R26" s="3856" t="s">
        <v>2828</v>
      </c>
      <c r="S26" s="3857"/>
      <c r="T26" s="3857"/>
      <c r="U26" s="3857"/>
      <c r="V26" s="3857"/>
      <c r="W26" s="3857"/>
      <c r="X26" s="3163"/>
      <c r="Y26" s="3856" t="s">
        <v>2829</v>
      </c>
      <c r="Z26" s="3857"/>
      <c r="AA26" s="3857"/>
      <c r="AB26" s="3857"/>
      <c r="AC26" s="3857"/>
      <c r="AD26" s="3857"/>
    </row>
    <row r="27" spans="1:30" s="3141" customFormat="1" ht="14.25" thickBot="1">
      <c r="B27" s="3142"/>
      <c r="C27" s="3143"/>
      <c r="D27" s="3144" t="s">
        <v>2830</v>
      </c>
      <c r="E27" s="3145" t="s">
        <v>2831</v>
      </c>
      <c r="F27" s="3145" t="s">
        <v>2832</v>
      </c>
      <c r="G27" s="3145" t="s">
        <v>2833</v>
      </c>
      <c r="H27" s="3145"/>
      <c r="I27" s="3145" t="s">
        <v>2834</v>
      </c>
      <c r="J27" s="3146"/>
      <c r="K27" s="3144" t="s">
        <v>2830</v>
      </c>
      <c r="L27" s="3145" t="s">
        <v>2831</v>
      </c>
      <c r="M27" s="3145" t="s">
        <v>2832</v>
      </c>
      <c r="N27" s="3145" t="s">
        <v>2833</v>
      </c>
      <c r="O27" s="3145"/>
      <c r="P27" s="3145" t="s">
        <v>2834</v>
      </c>
      <c r="Q27" s="3146"/>
      <c r="R27" s="3144" t="s">
        <v>2830</v>
      </c>
      <c r="S27" s="3145" t="s">
        <v>2831</v>
      </c>
      <c r="T27" s="3145" t="s">
        <v>2832</v>
      </c>
      <c r="U27" s="3145" t="s">
        <v>2833</v>
      </c>
      <c r="V27" s="3145"/>
      <c r="W27" s="3145" t="s">
        <v>2834</v>
      </c>
      <c r="X27" s="3146"/>
      <c r="Y27" s="3144" t="s">
        <v>2830</v>
      </c>
      <c r="Z27" s="3145" t="s">
        <v>2831</v>
      </c>
      <c r="AA27" s="3145" t="s">
        <v>2832</v>
      </c>
      <c r="AB27" s="3145" t="s">
        <v>2833</v>
      </c>
      <c r="AC27" s="3145"/>
      <c r="AD27" s="3145" t="s">
        <v>2834</v>
      </c>
    </row>
    <row r="28" spans="1:30" s="3159" customFormat="1" ht="12.75">
      <c r="A28" s="3147" t="s">
        <v>2835</v>
      </c>
      <c r="B28" s="3148"/>
      <c r="C28" s="3149"/>
      <c r="D28" s="3149"/>
      <c r="E28" s="3149">
        <f t="shared" ref="E28:G28" si="65">ROUND(AVERAGEIF(E29:E46,"&lt;&gt;0"),2)</f>
        <v>0.26</v>
      </c>
      <c r="F28" s="3149">
        <f t="shared" si="65"/>
        <v>0.19</v>
      </c>
      <c r="G28" s="3149">
        <f t="shared" si="65"/>
        <v>0.38</v>
      </c>
      <c r="H28" s="3149"/>
      <c r="I28" s="3149">
        <f>F28</f>
        <v>0.19</v>
      </c>
      <c r="J28" s="3150"/>
      <c r="K28" s="3151"/>
      <c r="L28" s="3152">
        <f t="shared" ref="L28:N28" si="66">ROUND(AVERAGEIF(L29:L46,"&lt;&gt;0"),4)</f>
        <v>2.5999999999999999E-3</v>
      </c>
      <c r="M28" s="3152">
        <f t="shared" si="66"/>
        <v>1.9E-3</v>
      </c>
      <c r="N28" s="3152">
        <f t="shared" si="66"/>
        <v>3.8E-3</v>
      </c>
      <c r="O28" s="3152"/>
      <c r="P28" s="3152">
        <f>M28</f>
        <v>1.9E-3</v>
      </c>
      <c r="Q28" s="3150"/>
      <c r="R28" s="3153"/>
      <c r="S28" s="3154">
        <f>ROUND(SUMPRODUCT(PRODUCT(1+L29:L46)),4)</f>
        <v>1.04</v>
      </c>
      <c r="T28" s="3154">
        <f t="shared" ref="T28:U28" si="67">ROUND(SUMPRODUCT(PRODUCT(1+M29:M46)),4)</f>
        <v>1.0293000000000001</v>
      </c>
      <c r="U28" s="3154">
        <f t="shared" si="67"/>
        <v>1.0583</v>
      </c>
      <c r="V28" s="3154"/>
      <c r="W28" s="3153">
        <f>T28</f>
        <v>1.0293000000000001</v>
      </c>
      <c r="X28" s="3150"/>
      <c r="Y28" s="3155"/>
      <c r="Z28" s="3156">
        <f t="shared" ref="Z28:AB28" si="68">ROUND(AVERAGEIF(Z29:Z46,"&lt;&gt;0"),4)</f>
        <v>4.1000000000000003E-3</v>
      </c>
      <c r="AA28" s="3157">
        <f t="shared" si="68"/>
        <v>3.3E-3</v>
      </c>
      <c r="AB28" s="3155">
        <f t="shared" si="68"/>
        <v>8.0999999999999996E-3</v>
      </c>
      <c r="AC28" s="3158"/>
      <c r="AD28" s="3155">
        <f>AA28</f>
        <v>3.3E-3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3378</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1.0364</v>
      </c>
      <c r="T30" s="3181">
        <f>ROUND(IF(项目基本情况!$B$8="出让",SUMPRODUCT(PRODUCT(1+M30:M$46)),SUMPRODUCT(PRODUCT(1+M30:M$45))),4)</f>
        <v>1.0244</v>
      </c>
      <c r="U30" s="3181">
        <f>ROUND(IF(项目基本情况!$B$8="出让",SUMPRODUCT(PRODUCT(1+N30:N$46)),SUMPRODUCT(PRODUCT(1+N30:N$45))),4)</f>
        <v>1.048</v>
      </c>
      <c r="V30" s="3181"/>
      <c r="W30" s="3181">
        <f>T30</f>
        <v>1.0244</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3380</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1.0364</v>
      </c>
      <c r="T31" s="3190">
        <f>ROUND(IF(项目基本情况!$B$8="出让",SUMPRODUCT(PRODUCT(1+M31:M$46)),SUMPRODUCT(PRODUCT(1+M31:M$45))),4)</f>
        <v>1.0244</v>
      </c>
      <c r="U31" s="3190">
        <f>ROUND(IF(项目基本情况!$B$8="出让",SUMPRODUCT(PRODUCT(1+N31:N$46)),SUMPRODUCT(PRODUCT(1+N31:N$45))),4)</f>
        <v>1.048</v>
      </c>
      <c r="V31" s="3190"/>
      <c r="W31" s="3190">
        <f>T31</f>
        <v>1.0244</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5" t="s">
        <v>3373</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3381</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3374</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3372</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3370</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3369</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3367</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3366</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3365</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3355</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2836</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2837</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2838</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2839</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2825</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63" t="s">
        <v>452</v>
      </c>
      <c r="C1" s="3863"/>
      <c r="D1" s="3863"/>
      <c r="E1" s="3863"/>
      <c r="F1" s="3863"/>
      <c r="G1" s="3859" t="s">
        <v>453</v>
      </c>
      <c r="H1" s="3859"/>
      <c r="I1" s="3859"/>
      <c r="J1" s="3859"/>
      <c r="K1" s="3859"/>
      <c r="L1" s="3859"/>
      <c r="N1" s="3859" t="s">
        <v>454</v>
      </c>
      <c r="O1" s="3859"/>
      <c r="P1" s="3859"/>
      <c r="Q1" s="3859"/>
      <c r="S1" s="3859" t="s">
        <v>455</v>
      </c>
      <c r="T1" s="3859"/>
      <c r="U1" s="3859"/>
      <c r="V1" s="3859"/>
      <c r="X1" s="3858" t="s">
        <v>456</v>
      </c>
      <c r="Y1" s="3859"/>
      <c r="Z1" s="3859"/>
      <c r="AA1" s="3859"/>
      <c r="AB1" s="3859"/>
      <c r="AD1" s="3858" t="s">
        <v>457</v>
      </c>
      <c r="AE1" s="3859"/>
      <c r="AF1" s="3859"/>
      <c r="AG1" s="3859"/>
      <c r="AH1" s="385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6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6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45631</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2310</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54" t="s">
        <v>925</v>
      </c>
      <c r="E3" s="854" t="s">
        <v>931</v>
      </c>
      <c r="F3" s="854" t="s">
        <v>925</v>
      </c>
      <c r="G3" s="854" t="s">
        <v>926</v>
      </c>
      <c r="H3" s="854" t="s">
        <v>925</v>
      </c>
      <c r="I3" s="854" t="s">
        <v>926</v>
      </c>
    </row>
    <row r="4" spans="1:9" ht="30">
      <c r="A4" s="1505" t="str">
        <f>项目基本情况!S2</f>
        <v>北京市通州区宋庄镇尹各庄村新建科研用地房地产</v>
      </c>
      <c r="B4" s="854">
        <f>项目基本情况!C17</f>
        <v>292137.36</v>
      </c>
      <c r="C4" s="854">
        <f>项目基本情况!C18</f>
        <v>95778.03</v>
      </c>
      <c r="D4" s="854">
        <f ca="1">结果表!D118</f>
        <v>171765</v>
      </c>
      <c r="E4" s="854">
        <f ca="1">结果表!E118</f>
        <v>5879</v>
      </c>
      <c r="F4" s="854">
        <f ca="1">结果表!F118</f>
        <v>549937</v>
      </c>
      <c r="G4" s="854">
        <f ca="1">结果表!G118</f>
        <v>18825</v>
      </c>
      <c r="H4" s="854">
        <f ca="1">结果表!H118</f>
        <v>721702</v>
      </c>
      <c r="I4" s="854">
        <f ca="1">结果表!I118</f>
        <v>24704</v>
      </c>
    </row>
    <row r="5" spans="1:9" ht="30" customHeight="1">
      <c r="A5" s="3516" t="s">
        <v>927</v>
      </c>
      <c r="B5" s="3516"/>
      <c r="C5" s="3516"/>
      <c r="D5" s="3516" t="str">
        <f ca="1">结果表!D119</f>
        <v>壹拾柒亿壹仟柒佰陆拾伍万元整</v>
      </c>
      <c r="E5" s="3516"/>
      <c r="F5" s="3516" t="str">
        <f ca="1">结果表!F119</f>
        <v>伍拾肆亿玖仟玖佰叁拾柒万元整</v>
      </c>
      <c r="G5" s="3516"/>
      <c r="H5" s="3516" t="str">
        <f ca="1">结果表!H119</f>
        <v>柒拾贰亿壹仟柒佰零贰万元整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721702</v>
      </c>
      <c r="E8" s="3517"/>
      <c r="F8" s="3517"/>
      <c r="G8" s="3517"/>
      <c r="H8" s="3517"/>
      <c r="I8" s="3517"/>
    </row>
    <row r="9" spans="1:9" ht="15">
      <c r="A9" s="3516" t="s">
        <v>927</v>
      </c>
      <c r="B9" s="3516"/>
      <c r="C9" s="3516"/>
      <c r="D9" s="3516" t="str">
        <f ca="1">结果表!D123</f>
        <v>柒拾贰亿壹仟柒佰零贰万元整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3" t="s">
        <v>949</v>
      </c>
      <c r="B1" s="3523"/>
      <c r="C1" s="3523"/>
      <c r="D1" s="3523"/>
    </row>
    <row r="2" spans="1:4" ht="18">
      <c r="A2" s="3524" t="s">
        <v>933</v>
      </c>
      <c r="B2" s="3524"/>
      <c r="C2" s="3524"/>
      <c r="D2" s="352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24" t="s">
        <v>939</v>
      </c>
      <c r="B6" s="3524"/>
      <c r="C6" s="3524"/>
      <c r="D6" s="352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7" t="s">
        <v>956</v>
      </c>
      <c r="B15" s="3532" t="s">
        <v>109</v>
      </c>
      <c r="C15" s="3533"/>
    </row>
    <row r="16" spans="1:7" ht="13.5">
      <c r="A16" s="3538"/>
      <c r="B16" s="3532" t="s">
        <v>42</v>
      </c>
      <c r="C16" s="3533"/>
    </row>
    <row r="17" spans="1:3" ht="13.5">
      <c r="A17" s="3538"/>
      <c r="B17" s="3535" t="s">
        <v>957</v>
      </c>
      <c r="C17" s="1532" t="s">
        <v>956</v>
      </c>
    </row>
    <row r="18" spans="1:3" ht="13.5">
      <c r="A18" s="3538"/>
      <c r="B18" s="3535"/>
      <c r="C18" s="1532" t="s">
        <v>958</v>
      </c>
    </row>
    <row r="19" spans="1:3" ht="13.5">
      <c r="A19" s="3538"/>
      <c r="B19" s="3535"/>
      <c r="C19" s="1532" t="s">
        <v>959</v>
      </c>
    </row>
    <row r="20" spans="1:3" ht="13.5">
      <c r="A20" s="3539"/>
      <c r="B20" s="3534" t="s">
        <v>960</v>
      </c>
      <c r="C20" s="3533"/>
    </row>
    <row r="21" spans="1:3" ht="13.5">
      <c r="A21" s="1533" t="s">
        <v>961</v>
      </c>
      <c r="B21" s="1534"/>
      <c r="C21" s="1535"/>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2" t="s">
        <v>967</v>
      </c>
    </row>
    <row r="26" spans="1:3" ht="13.5">
      <c r="A26" s="3536"/>
      <c r="B26" s="3535"/>
      <c r="C26" s="1532" t="s">
        <v>968</v>
      </c>
    </row>
    <row r="27" spans="1:3" ht="13.5">
      <c r="A27" s="3536"/>
      <c r="B27" s="3535"/>
      <c r="C27" s="1532" t="s">
        <v>969</v>
      </c>
    </row>
    <row r="28" spans="1:3" ht="13.5">
      <c r="A28" s="3536"/>
      <c r="B28" s="3535"/>
      <c r="C28" s="1532" t="s">
        <v>970</v>
      </c>
    </row>
    <row r="29" spans="1:3" ht="13.5">
      <c r="A29" s="3536"/>
      <c r="B29" s="3535"/>
      <c r="C29" s="1532" t="s">
        <v>971</v>
      </c>
    </row>
    <row r="30" spans="1:3" ht="13.5">
      <c r="A30" s="3536"/>
      <c r="B30" s="3535"/>
      <c r="C30" s="1532" t="s">
        <v>972</v>
      </c>
    </row>
    <row r="31" spans="1:3" ht="13.5">
      <c r="A31" s="3536"/>
      <c r="B31" s="3535"/>
      <c r="C31" s="1532" t="s">
        <v>973</v>
      </c>
    </row>
    <row r="32" spans="1:3" ht="13.5">
      <c r="A32" s="3536"/>
      <c r="B32" s="3535"/>
      <c r="C32" s="1532" t="s">
        <v>974</v>
      </c>
    </row>
    <row r="33" spans="1:3" ht="13.5">
      <c r="A33" s="3536"/>
      <c r="B33" s="353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45638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0" t="s">
        <v>2159</v>
      </c>
      <c r="B17" s="3540"/>
      <c r="C17" s="3540"/>
      <c r="D17" s="3540"/>
      <c r="E17" s="3540"/>
      <c r="F17" s="3540"/>
      <c r="G17" s="3540"/>
      <c r="H17" s="3540"/>
    </row>
    <row r="18" spans="1:8" ht="24" customHeight="1">
      <c r="A18" s="3541" t="s">
        <v>2160</v>
      </c>
      <c r="B18" s="3541"/>
      <c r="C18" s="3541"/>
      <c r="D18" s="2343"/>
      <c r="E18" s="3542" t="s">
        <v>2161</v>
      </c>
      <c r="F18" s="3541"/>
      <c r="G18" s="354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拆分价值</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2024-12-12T06:43:31Z</dcterms:modified>
</cp:coreProperties>
</file>