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军队\安化北里\"/>
    </mc:Choice>
  </mc:AlternateContent>
  <bookViews>
    <workbookView xWindow="0" yWindow="0" windowWidth="15552" windowHeight="13584" tabRatio="787" firstSheet="4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D29" i="4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Q26" i="67"/>
  <c r="F26" i="67" s="1"/>
  <c r="S26" i="67"/>
  <c r="E26" i="67"/>
  <c r="E25" i="67" s="1"/>
  <c r="E24" i="67" s="1"/>
  <c r="C26" i="67"/>
  <c r="B24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T70" i="67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U66" i="67"/>
  <c r="C66" i="67"/>
  <c r="D66" i="67" s="1"/>
  <c r="B66" i="67"/>
  <c r="N66" i="67" s="1"/>
  <c r="S66" i="67"/>
  <c r="F65" i="67"/>
  <c r="Q65" i="67" s="1"/>
  <c r="C65" i="67"/>
  <c r="O65" i="67" s="1"/>
  <c r="B65" i="67"/>
  <c r="N65" i="67" s="1"/>
  <c r="F64" i="67"/>
  <c r="Q64" i="67" s="1"/>
  <c r="C64" i="67"/>
  <c r="O63" i="67" s="1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E57" i="67" s="1"/>
  <c r="E58" i="67" s="1"/>
  <c r="U58" i="67" s="1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E49" i="67" s="1"/>
  <c r="E50" i="67" s="1"/>
  <c r="U50" i="67" s="1"/>
  <c r="O48" i="67"/>
  <c r="N48" i="67"/>
  <c r="Q47" i="67"/>
  <c r="F48" i="67"/>
  <c r="F49" i="67" s="1"/>
  <c r="F50" i="67" s="1"/>
  <c r="V50" i="67" s="1"/>
  <c r="P47" i="67"/>
  <c r="E48" i="67" s="1"/>
  <c r="O47" i="67"/>
  <c r="C48" i="67"/>
  <c r="D48" i="67" s="1"/>
  <c r="C49" i="67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 s="1"/>
  <c r="E46" i="67" s="1"/>
  <c r="U46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E33" i="67" s="1"/>
  <c r="E34" i="67" s="1"/>
  <c r="U34" i="67" s="1"/>
  <c r="O32" i="67"/>
  <c r="N32" i="67"/>
  <c r="Q31" i="67"/>
  <c r="F32" i="67" s="1"/>
  <c r="F33" i="67" s="1"/>
  <c r="F34" i="67" s="1"/>
  <c r="V34" i="67" s="1"/>
  <c r="P31" i="67"/>
  <c r="E32" i="67" s="1"/>
  <c r="O31" i="67"/>
  <c r="C32" i="67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E29" i="67" s="1"/>
  <c r="E30" i="67" s="1"/>
  <c r="U30" i="67" s="1"/>
  <c r="O28" i="67"/>
  <c r="N28" i="67"/>
  <c r="Q27" i="67"/>
  <c r="F28" i="67" s="1"/>
  <c r="F29" i="67" s="1"/>
  <c r="F30" i="67" s="1"/>
  <c r="V30" i="67" s="1"/>
  <c r="P27" i="67"/>
  <c r="E28" i="67" s="1"/>
  <c r="O27" i="67"/>
  <c r="C28" i="67"/>
  <c r="N27" i="67"/>
  <c r="B28" i="67" s="1"/>
  <c r="B29" i="67" s="1"/>
  <c r="B30" i="67" s="1"/>
  <c r="S30" i="67" s="1"/>
  <c r="D64" i="67"/>
  <c r="D74" i="67"/>
  <c r="D65" i="67"/>
  <c r="O66" i="67"/>
  <c r="Q66" i="67"/>
  <c r="Y63" i="66"/>
  <c r="A70" i="66"/>
  <c r="H6" i="59"/>
  <c r="O1" i="66"/>
  <c r="J1" i="66"/>
  <c r="J2" i="66" s="1"/>
  <c r="N23" i="43" s="1"/>
  <c r="B9" i="66"/>
  <c r="G9" i="66" s="1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G13" i="66" s="1"/>
  <c r="C13" i="66"/>
  <c r="D13" i="66" s="1"/>
  <c r="E13" i="66"/>
  <c r="F13" i="66"/>
  <c r="B14" i="66"/>
  <c r="C14" i="66"/>
  <c r="E14" i="66"/>
  <c r="J14" i="66" s="1"/>
  <c r="F14" i="66"/>
  <c r="B15" i="66"/>
  <c r="C15" i="66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D30" i="66" s="1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 s="1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D46" i="66" s="1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K6" i="66" s="1"/>
  <c r="E8" i="66"/>
  <c r="J5" i="66" s="1"/>
  <c r="C8" i="66"/>
  <c r="B8" i="66"/>
  <c r="Z67" i="66"/>
  <c r="U67" i="66" s="1"/>
  <c r="C67" i="66"/>
  <c r="D67" i="66" s="1"/>
  <c r="AA67" i="66"/>
  <c r="AA66" i="66" s="1"/>
  <c r="AA65" i="66" s="1"/>
  <c r="AB67" i="66"/>
  <c r="AB66" i="66" s="1"/>
  <c r="W67" i="66"/>
  <c r="F67" i="66" s="1"/>
  <c r="Y67" i="66"/>
  <c r="AB63" i="66"/>
  <c r="W63" i="66"/>
  <c r="F63" i="66" s="1"/>
  <c r="AA63" i="66"/>
  <c r="Z63" i="66"/>
  <c r="D8" i="66"/>
  <c r="D26" i="66"/>
  <c r="D25" i="66"/>
  <c r="D24" i="66"/>
  <c r="D23" i="66"/>
  <c r="D22" i="66"/>
  <c r="D21" i="66"/>
  <c r="D20" i="66"/>
  <c r="D19" i="66"/>
  <c r="D15" i="66"/>
  <c r="D14" i="66"/>
  <c r="D10" i="66"/>
  <c r="H4" i="66"/>
  <c r="K14" i="66"/>
  <c r="H14" i="66"/>
  <c r="H10" i="66"/>
  <c r="H9" i="66"/>
  <c r="D56" i="66"/>
  <c r="D53" i="66"/>
  <c r="D52" i="66"/>
  <c r="D51" i="66"/>
  <c r="D49" i="66"/>
  <c r="D48" i="66"/>
  <c r="D47" i="66"/>
  <c r="D45" i="66"/>
  <c r="D44" i="66"/>
  <c r="D43" i="66"/>
  <c r="D41" i="66"/>
  <c r="D40" i="66"/>
  <c r="D39" i="66"/>
  <c r="D37" i="66"/>
  <c r="D36" i="66"/>
  <c r="D35" i="66"/>
  <c r="D33" i="66"/>
  <c r="D32" i="66"/>
  <c r="D31" i="66"/>
  <c r="D29" i="66"/>
  <c r="D28" i="66"/>
  <c r="G4" i="66"/>
  <c r="J16" i="66"/>
  <c r="G16" i="66"/>
  <c r="G15" i="66"/>
  <c r="G14" i="66"/>
  <c r="J12" i="66"/>
  <c r="G11" i="66"/>
  <c r="G10" i="66"/>
  <c r="G7" i="66"/>
  <c r="G6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F28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/>
  <c r="F31" i="62"/>
  <c r="D94" i="62" s="1"/>
  <c r="F25" i="62"/>
  <c r="D88" i="62"/>
  <c r="D31" i="62"/>
  <c r="C94" i="62" s="1"/>
  <c r="D30" i="62"/>
  <c r="C93" i="62" s="1"/>
  <c r="D29" i="62"/>
  <c r="C92" i="62" s="1"/>
  <c r="D28" i="62"/>
  <c r="C91" i="62"/>
  <c r="D27" i="62"/>
  <c r="C90" i="62" s="1"/>
  <c r="D26" i="62"/>
  <c r="C89" i="62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/>
  <c r="P24" i="62"/>
  <c r="I87" i="62" s="1"/>
  <c r="P17" i="62"/>
  <c r="I80" i="62"/>
  <c r="L24" i="62"/>
  <c r="G87" i="62" s="1"/>
  <c r="L23" i="62"/>
  <c r="G86" i="62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/>
  <c r="J18" i="62"/>
  <c r="F81" i="62" s="1"/>
  <c r="J19" i="62"/>
  <c r="F82" i="62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/>
  <c r="F16" i="62"/>
  <c r="D79" i="62" s="1"/>
  <c r="F15" i="62"/>
  <c r="D78" i="62" s="1"/>
  <c r="F14" i="62"/>
  <c r="D77" i="62" s="1"/>
  <c r="F13" i="62"/>
  <c r="D76" i="62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 s="1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I3" i="63" s="1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 s="1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G3" i="63" s="1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9" i="43"/>
  <c r="J100" i="43"/>
  <c r="J109" i="43" s="1"/>
  <c r="I100" i="43"/>
  <c r="I109" i="43" s="1"/>
  <c r="H100" i="43"/>
  <c r="G100" i="43"/>
  <c r="G109" i="43"/>
  <c r="F100" i="43"/>
  <c r="F109" i="43" s="1"/>
  <c r="E100" i="43"/>
  <c r="E109" i="43"/>
  <c r="D100" i="43"/>
  <c r="D109" i="43" s="1"/>
  <c r="C100" i="43"/>
  <c r="C109" i="43"/>
  <c r="L101" i="43"/>
  <c r="N101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D77" i="43" s="1"/>
  <c r="M76" i="43"/>
  <c r="N76" i="43" s="1"/>
  <c r="K76" i="43"/>
  <c r="J76" i="43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 s="1"/>
  <c r="K48" i="43"/>
  <c r="J48" i="43"/>
  <c r="D48" i="43"/>
  <c r="E48" i="43" s="1"/>
  <c r="B46" i="43" s="1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N6" i="43"/>
  <c r="M11" i="43"/>
  <c r="M10" i="43"/>
  <c r="M8" i="43"/>
  <c r="M4" i="43"/>
  <c r="E59" i="43"/>
  <c r="B57" i="43" s="1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E101" i="43"/>
  <c r="K101" i="43"/>
  <c r="C101" i="43"/>
  <c r="AC38" i="39"/>
  <c r="I101" i="43"/>
  <c r="S8" i="39"/>
  <c r="W39" i="39"/>
  <c r="S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H21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H32" i="39"/>
  <c r="U32" i="39" s="1"/>
  <c r="AC37" i="39"/>
  <c r="U10" i="39"/>
  <c r="S10" i="39"/>
  <c r="M12" i="43"/>
  <c r="M6" i="43"/>
  <c r="N11" i="43"/>
  <c r="M5" i="43"/>
  <c r="N4" i="43"/>
  <c r="H14" i="44"/>
  <c r="H16" i="44"/>
  <c r="W10" i="39"/>
  <c r="AC10" i="39"/>
  <c r="W32" i="39"/>
  <c r="W45" i="39"/>
  <c r="B2" i="39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J2" i="65"/>
  <c r="F17" i="59"/>
  <c r="H16" i="63"/>
  <c r="H8" i="65"/>
  <c r="G5" i="65"/>
  <c r="E8" i="65"/>
  <c r="E7" i="65"/>
  <c r="G8" i="65"/>
  <c r="H4" i="65"/>
  <c r="H6" i="65"/>
  <c r="H7" i="65"/>
  <c r="H5" i="65"/>
  <c r="E6" i="65"/>
  <c r="G4" i="65"/>
  <c r="E5" i="65"/>
  <c r="E4" i="65"/>
  <c r="D71" i="43" l="1"/>
  <c r="D70" i="43"/>
  <c r="D72" i="43"/>
  <c r="D73" i="43"/>
  <c r="J77" i="43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I15" i="66"/>
  <c r="U63" i="66"/>
  <c r="C63" i="66" s="1"/>
  <c r="D63" i="66" s="1"/>
  <c r="Z62" i="66"/>
  <c r="D18" i="66"/>
  <c r="I18" i="66" s="1"/>
  <c r="H18" i="66"/>
  <c r="I17" i="66"/>
  <c r="H15" i="66"/>
  <c r="H12" i="66"/>
  <c r="D9" i="66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C6" i="43" s="1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5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14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6" i="65"/>
  <c r="D7" i="65"/>
  <c r="D8" i="65"/>
  <c r="G7" i="65"/>
  <c r="D5" i="65"/>
  <c r="H70" i="43" l="1"/>
  <c r="E70" i="43"/>
  <c r="B68" i="43" s="1"/>
  <c r="C24" i="43" s="1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P62" i="66"/>
  <c r="D61" i="67"/>
  <c r="C62" i="67"/>
  <c r="P24" i="66"/>
  <c r="S36" i="39"/>
  <c r="AA36" i="39"/>
  <c r="P48" i="66"/>
  <c r="P36" i="66"/>
  <c r="S37" i="39"/>
  <c r="AA37" i="39"/>
  <c r="P37" i="66"/>
  <c r="P58" i="66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K1" i="65" l="1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L62" i="66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E58" i="39"/>
  <c r="F56" i="39"/>
  <c r="E20" i="43"/>
  <c r="G1" i="65"/>
  <c r="G2" i="65"/>
  <c r="Q20" i="43" l="1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B3" i="43" s="1"/>
  <c r="F6" i="59" s="1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<sst xmlns="http://schemas.openxmlformats.org/spreadsheetml/2006/main" count="3974" uniqueCount="1806">
  <si>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</si>
  <si>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</si>
  <si>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</si>
  <si>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</si>
  <si>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</si>
  <si>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</si>
  <si>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</si>
  <si>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</si>
  <si>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</si>
  <si>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</si>
  <si>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</si>
  <si>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</si>
  <si>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</si>
  <si>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</si>
  <si>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</si>
  <si>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</si>
  <si>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</si>
  <si>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</si>
  <si>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</si>
  <si>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</si>
  <si>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</si>
  <si>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</si>
  <si>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</si>
  <si>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</si>
  <si>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</si>
  <si>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</si>
  <si>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</si>
  <si>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</si>
  <si>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</si>
  <si>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</si>
  <si>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</si>
  <si>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</si>
  <si>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</si>
  <si>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</si>
  <si>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</si>
  <si>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</si>
  <si>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</si>
  <si>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</si>
  <si>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</si>
  <si>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</si>
  <si>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</si>
  <si>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</si>
  <si>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</si>
  <si>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</si>
  <si>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</si>
  <si>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</si>
  <si>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</si>
  <si>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</si>
  <si>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</si>
  <si>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</si>
  <si>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</si>
  <si>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</si>
  <si>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</si>
  <si>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</si>
  <si>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</si>
  <si>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</si>
  <si>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</si>
  <si>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</si>
  <si>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</si>
  <si>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</si>
  <si>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</si>
  <si>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</si>
  <si>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</si>
  <si>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</si>
  <si>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</si>
  <si>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</si>
  <si>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</si>
  <si>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</si>
  <si>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</si>
  <si>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</si>
  <si>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</si>
  <si>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</si>
  <si>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</si>
  <si>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</si>
  <si>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</si>
  <si>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</si>
  <si>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</si>
  <si>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</si>
  <si>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</si>
  <si>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</si>
  <si>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</si>
  <si>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</si>
  <si>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</si>
  <si>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</si>
  <si>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</si>
  <si>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</si>
  <si>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</si>
  <si>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</si>
  <si>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</si>
  <si>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</si>
  <si>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</si>
  <si>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</si>
  <si>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</si>
  <si>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</si>
  <si>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</si>
  <si>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</si>
  <si>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</si>
  <si>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</si>
  <si>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</si>
  <si>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</si>
  <si>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</si>
  <si>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</si>
  <si>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</si>
  <si>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</si>
  <si>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</si>
  <si>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</si>
  <si>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</si>
  <si>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</si>
  <si>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</si>
  <si>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</si>
  <si>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</si>
  <si>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</si>
  <si>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</si>
  <si>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</si>
  <si>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</si>
  <si>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</si>
  <si>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</si>
  <si>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</si>
  <si>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</si>
  <si>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</si>
  <si>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</si>
  <si>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</si>
  <si>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</si>
  <si>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</si>
  <si>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</si>
  <si>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</si>
  <si>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</si>
  <si>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</si>
  <si>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</si>
  <si>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</si>
  <si>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</si>
  <si>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</si>
  <si>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</si>
  <si>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</si>
  <si>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</si>
  <si>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</si>
  <si>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</si>
  <si>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</si>
  <si>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</si>
  <si>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</si>
  <si>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</si>
  <si>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</si>
  <si>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</si>
  <si>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</si>
  <si>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</si>
  <si>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</si>
  <si>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</si>
  <si>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</si>
  <si>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</si>
  <si>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</si>
  <si>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</si>
  <si>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</si>
  <si>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</si>
  <si>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</si>
  <si>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</si>
  <si>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</si>
  <si>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</si>
  <si>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</si>
  <si>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</si>
  <si>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</si>
  <si>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</si>
  <si>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</si>
  <si>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</si>
  <si>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</si>
  <si>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</si>
  <si>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</si>
  <si>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</si>
  <si>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</si>
  <si>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</si>
  <si>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</si>
  <si>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</si>
  <si>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</si>
  <si>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</si>
  <si>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</si>
  <si>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</si>
  <si>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</si>
  <si>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</si>
  <si>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</si>
  <si>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</si>
  <si>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</si>
  <si>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</si>
  <si>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</si>
  <si>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</si>
  <si>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</si>
  <si>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</si>
  <si>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</si>
  <si>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</si>
  <si>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</si>
  <si>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</si>
  <si>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</si>
  <si>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</si>
  <si>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</si>
  <si>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</si>
  <si>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</si>
  <si>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</si>
  <si>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</si>
  <si>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</si>
  <si>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</si>
  <si>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</si>
  <si>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</si>
  <si>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</si>
  <si>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</si>
  <si>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</si>
  <si>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</si>
  <si>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</si>
  <si>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</si>
  <si>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</si>
  <si>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</si>
  <si>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</si>
  <si>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</si>
  <si>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</si>
  <si>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</si>
  <si>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</si>
  <si>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</si>
  <si>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</si>
  <si>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</si>
  <si>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</si>
  <si>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</si>
  <si>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</si>
  <si>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</si>
  <si>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</si>
  <si>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</si>
  <si>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</si>
  <si>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</si>
  <si>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</si>
  <si>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</si>
  <si>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</si>
  <si>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</si>
  <si>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</si>
  <si>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</si>
  <si>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</si>
  <si>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</si>
  <si>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</si>
  <si>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</si>
  <si>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</si>
  <si>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</si>
  <si>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</si>
  <si>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</si>
  <si>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</si>
  <si>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</si>
  <si>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</si>
  <si>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</si>
  <si>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</si>
  <si>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</si>
  <si>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</si>
  <si>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</si>
  <si>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</si>
  <si>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</si>
  <si>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</si>
  <si>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</si>
  <si>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</si>
  <si>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</si>
  <si>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</si>
  <si>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</si>
  <si>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</si>
  <si>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</si>
  <si>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</si>
  <si>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</si>
  <si>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</si>
  <si>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</si>
  <si>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</si>
  <si>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</si>
  <si>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</si>
  <si>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</si>
  <si>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</si>
  <si>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</si>
  <si>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</si>
  <si>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</si>
  <si>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</si>
  <si>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</si>
  <si>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</si>
  <si>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</si>
  <si>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</si>
  <si>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</si>
  <si>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</si>
  <si>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</si>
  <si>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</si>
  <si>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</si>
  <si>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</si>
  <si>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</si>
  <si>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</si>
  <si>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</si>
  <si>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</si>
  <si>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</si>
  <si>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</si>
  <si>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</si>
  <si>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</si>
  <si>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</si>
  <si>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</si>
  <si>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</si>
  <si>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</si>
  <si>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</si>
  <si>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</si>
  <si>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</si>
  <si>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</si>
  <si>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</si>
  <si>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</si>
  <si>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</si>
  <si>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</si>
  <si>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</si>
  <si>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</si>
  <si>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</si>
  <si>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</si>
  <si>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</si>
  <si>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</si>
  <si>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</si>
  <si>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</si>
  <si>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</si>
  <si>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</si>
  <si>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</si>
  <si>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</si>
  <si>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</si>
  <si>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</si>
  <si>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</si>
  <si>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</si>
  <si>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</si>
  <si>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</si>
  <si>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</si>
  <si>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</si>
  <si>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</si>
  <si>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</si>
  <si>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</si>
  <si>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</si>
  <si>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</si>
  <si>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</si>
  <si>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</si>
  <si>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</si>
  <si>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</si>
  <si>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</si>
  <si>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</si>
  <si>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</si>
  <si>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</si>
  <si>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</si>
  <si>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</si>
  <si>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</si>
  <si>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</si>
  <si>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</si>
  <si>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</si>
  <si>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</si>
  <si>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</si>
  <si>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</si>
  <si>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</si>
  <si>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</si>
  <si>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</si>
  <si>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</si>
  <si>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</si>
  <si>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</si>
  <si>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</si>
  <si>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</si>
  <si>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</si>
  <si>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</si>
  <si>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</si>
  <si>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</si>
  <si>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</si>
  <si>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</si>
  <si>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</si>
  <si>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</si>
  <si>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</si>
  <si>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</si>
  <si>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</si>
  <si>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</si>
  <si>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</si>
  <si>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</si>
  <si>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</si>
  <si>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</si>
  <si>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</si>
  <si>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</si>
  <si>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</si>
  <si>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</si>
  <si>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</si>
  <si>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</si>
  <si>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</si>
  <si>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</si>
  <si>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</si>
  <si>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</si>
  <si>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</si>
  <si>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</si>
  <si>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</si>
  <si>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</si>
  <si>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</si>
  <si>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</si>
  <si>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</si>
  <si>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</si>
  <si>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</si>
  <si>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</si>
  <si>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</si>
  <si>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</si>
  <si>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</si>
  <si>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</si>
  <si>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</si>
  <si>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</si>
  <si>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</si>
  <si>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</si>
  <si>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</si>
  <si>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</si>
  <si>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</si>
  <si>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</si>
  <si>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</si>
  <si>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</si>
  <si>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</si>
  <si>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</si>
  <si>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</si>
  <si>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</si>
  <si>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</si>
  <si>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</si>
  <si>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</si>
  <si>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</si>
  <si>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</si>
  <si>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</si>
  <si>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</si>
  <si>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</si>
  <si>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</si>
  <si>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</si>
  <si>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</si>
  <si>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</si>
  <si>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</si>
  <si>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</si>
  <si>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</si>
  <si>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</si>
  <si>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</si>
  <si>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</si>
  <si>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</si>
  <si>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</si>
  <si>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</si>
  <si>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</si>
  <si>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</si>
  <si>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</si>
  <si>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</si>
  <si>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</si>
  <si>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</si>
  <si>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</si>
  <si>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</si>
  <si>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</si>
  <si>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</si>
  <si>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</si>
  <si>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</si>
  <si>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</si>
  <si>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</si>
  <si>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</si>
  <si>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</si>
  <si>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</si>
  <si>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</si>
  <si>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</si>
  <si>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</si>
  <si>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</si>
  <si>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</si>
  <si>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</si>
  <si>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</si>
  <si>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</si>
  <si>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</si>
  <si>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</si>
  <si>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</si>
  <si>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</si>
  <si>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</si>
  <si>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</si>
  <si>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</si>
  <si>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</si>
  <si>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</si>
  <si>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</si>
  <si>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</si>
  <si>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</si>
  <si>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</si>
  <si>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</si>
  <si>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</si>
  <si>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</si>
  <si>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</si>
  <si>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</si>
  <si>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</si>
  <si>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</si>
  <si>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</si>
  <si>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</si>
  <si>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</si>
  <si>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</si>
  <si>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</si>
  <si>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</si>
  <si>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</si>
  <si>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</si>
  <si>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</si>
  <si>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</si>
  <si>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</si>
  <si>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</si>
  <si>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</si>
  <si>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</si>
  <si>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</si>
  <si>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</si>
  <si>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</si>
  <si>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</si>
  <si>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</si>
  <si>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</si>
  <si>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</si>
  <si>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</si>
  <si>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</si>
  <si>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</si>
  <si>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</si>
  <si>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</si>
  <si>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</si>
  <si>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</si>
  <si>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</si>
  <si>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</si>
  <si>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</si>
  <si>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</si>
  <si>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</si>
  <si>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</si>
  <si>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</si>
  <si>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</si>
  <si>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</si>
  <si>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</si>
  <si>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</si>
  <si>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</si>
  <si>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</si>
  <si>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</si>
  <si>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</si>
  <si>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</si>
  <si>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</si>
  <si>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</si>
  <si>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</si>
  <si>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</si>
  <si>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</si>
  <si>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</si>
  <si>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</si>
  <si>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</si>
  <si>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</si>
  <si>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</si>
  <si>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</si>
  <si>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</si>
  <si>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</si>
  <si>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</si>
  <si>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</si>
  <si>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</si>
  <si>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</si>
  <si>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</si>
  <si>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</si>
  <si>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</si>
  <si>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</si>
  <si>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</si>
  <si>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</si>
  <si>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</si>
  <si>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</si>
  <si>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</si>
  <si>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</si>
  <si>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</si>
  <si>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</si>
  <si>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</si>
  <si>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</si>
  <si>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</si>
  <si>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</si>
  <si>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</si>
  <si>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</si>
  <si>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</si>
  <si>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</si>
  <si>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</si>
  <si>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</si>
  <si>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</si>
  <si>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</si>
  <si>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</si>
  <si>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</si>
  <si>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</si>
  <si>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</si>
  <si>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</si>
  <si>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</si>
  <si>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</si>
  <si>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</si>
  <si>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</si>
  <si>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</si>
  <si>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</si>
  <si>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</si>
  <si>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</si>
  <si>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</si>
  <si>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</si>
  <si>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</si>
  <si>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</si>
  <si>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</si>
  <si>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</si>
  <si>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</si>
  <si>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</si>
  <si>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</si>
  <si>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</si>
  <si>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</si>
  <si>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</si>
  <si>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</si>
  <si>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</si>
  <si>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</si>
  <si>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</si>
  <si>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</si>
  <si>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</si>
  <si>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</si>
  <si>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</si>
  <si>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</si>
  <si>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</si>
  <si>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</si>
  <si>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</si>
  <si>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</si>
  <si>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</si>
  <si>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</si>
  <si>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</si>
  <si>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</si>
  <si>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</si>
  <si>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</si>
  <si>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</si>
  <si>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</si>
  <si>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</si>
  <si>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</si>
  <si>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</si>
  <si>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</si>
  <si>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</si>
  <si>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</si>
  <si>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</si>
  <si>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</si>
  <si>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</si>
  <si>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</si>
  <si>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</si>
  <si>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</si>
  <si>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</si>
  <si>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</si>
  <si>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</si>
  <si>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</si>
  <si>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</si>
  <si>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</si>
  <si>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</si>
  <si>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</si>
  <si>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</si>
  <si>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</si>
  <si>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</si>
  <si>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</si>
  <si>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</si>
  <si>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</si>
  <si>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</si>
  <si>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</si>
  <si>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</si>
  <si>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</si>
  <si>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</si>
  <si>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</si>
  <si>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</si>
  <si>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</si>
  <si>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</si>
  <si>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</si>
  <si>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</si>
  <si>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</si>
  <si>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</si>
  <si>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</si>
  <si>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</si>
  <si>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</si>
  <si>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</si>
  <si>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</si>
  <si>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</si>
  <si>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</si>
  <si>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</si>
  <si>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</si>
  <si>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</si>
  <si>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</si>
  <si>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</si>
  <si>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</si>
  <si>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</si>
  <si>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</si>
  <si>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</si>
  <si>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</si>
  <si>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</si>
  <si>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</si>
  <si>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</si>
  <si>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</si>
  <si>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</si>
  <si>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</si>
  <si>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</si>
  <si>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</si>
  <si>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</si>
  <si>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</si>
  <si>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</si>
  <si>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</si>
  <si>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</si>
  <si>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</si>
  <si>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</si>
  <si>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</si>
  <si>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</si>
  <si>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</si>
  <si>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</si>
  <si>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</si>
  <si>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</si>
  <si>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</si>
  <si>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</si>
  <si>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</si>
  <si>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</si>
  <si>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</si>
  <si>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</si>
  <si>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</si>
  <si>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</si>
  <si>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</si>
  <si>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</si>
  <si>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</si>
  <si>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</si>
  <si>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</si>
  <si>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</si>
  <si>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</si>
  <si>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</si>
  <si>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</si>
  <si>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</si>
  <si>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</si>
  <si>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</si>
  <si>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</si>
  <si>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</si>
  <si>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</si>
  <si>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</si>
  <si>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</si>
  <si>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</si>
  <si>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</si>
  <si>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</si>
  <si>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</si>
  <si>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</si>
  <si>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</si>
  <si>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</si>
  <si>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</si>
  <si>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</si>
  <si>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</si>
  <si>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</si>
  <si>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</si>
  <si>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</si>
  <si>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</si>
  <si>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</si>
  <si>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</si>
  <si>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</si>
  <si>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</si>
  <si>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</si>
  <si>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</si>
  <si>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</si>
  <si>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</si>
  <si>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</si>
  <si>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</si>
  <si>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</si>
  <si>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</si>
  <si>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</si>
  <si>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</si>
  <si>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</si>
  <si>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</si>
  <si>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</si>
  <si>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</si>
  <si>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</si>
  <si>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</si>
  <si>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</si>
  <si>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</si>
  <si>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</si>
  <si>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</si>
  <si>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</si>
  <si>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</si>
  <si>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</si>
  <si>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</si>
  <si>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</si>
  <si>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</si>
  <si>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</si>
  <si>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</si>
  <si>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</si>
  <si>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</si>
  <si>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</si>
  <si>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</si>
  <si>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</si>
  <si>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</si>
  <si>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</si>
  <si>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</si>
  <si>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</si>
  <si>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</si>
  <si>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</si>
  <si>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</si>
  <si>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</si>
  <si>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</si>
  <si>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</si>
  <si>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</si>
  <si>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</si>
  <si>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</si>
  <si>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</si>
  <si>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</si>
  <si>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</si>
  <si>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</si>
  <si>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</si>
  <si>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</si>
  <si>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</si>
  <si>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</si>
  <si>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</si>
  <si>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</si>
  <si>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</si>
  <si>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</si>
  <si>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</si>
  <si>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</si>
  <si>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</si>
  <si>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</si>
  <si>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</si>
  <si>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</si>
  <si>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</si>
  <si>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</si>
  <si>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</si>
  <si>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</si>
  <si>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</si>
  <si>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</si>
  <si>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</si>
  <si>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</si>
  <si>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</si>
  <si>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</si>
  <si>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</si>
  <si>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</si>
  <si>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</si>
  <si>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</si>
  <si>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</si>
  <si>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</si>
  <si>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</si>
  <si>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</si>
  <si>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</si>
  <si>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</si>
  <si>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</si>
  <si>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</si>
  <si>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</si>
  <si>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</si>
  <si>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</si>
  <si>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</si>
  <si>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</si>
  <si>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</si>
  <si>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</si>
  <si>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</si>
  <si>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</si>
  <si>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</si>
  <si>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</si>
  <si>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</si>
  <si>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</si>
  <si>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</si>
  <si>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</si>
  <si>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</si>
  <si>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</si>
  <si>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</si>
  <si>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</si>
  <si>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</si>
  <si>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</si>
  <si>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</si>
  <si>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</si>
  <si>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</si>
  <si>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</si>
  <si>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</si>
  <si>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</si>
  <si>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</si>
  <si>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</si>
  <si>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</si>
  <si>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</si>
  <si>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</si>
  <si>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</si>
  <si>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</si>
  <si>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</si>
  <si>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</si>
  <si>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</si>
  <si>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</si>
  <si>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</si>
  <si>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</si>
  <si>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</si>
  <si>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</si>
  <si>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</si>
  <si>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</si>
  <si>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</si>
  <si>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</si>
  <si>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</si>
  <si>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</si>
  <si>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</si>
  <si>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</si>
  <si>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</si>
  <si>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</si>
  <si>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</si>
  <si>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</si>
  <si>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</si>
  <si>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</si>
  <si>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</si>
  <si>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</si>
  <si>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</si>
  <si>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</si>
  <si>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</si>
  <si>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</si>
  <si>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</si>
  <si>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</si>
  <si>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</si>
  <si>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</si>
  <si>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</si>
  <si>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</si>
  <si>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</si>
  <si>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</si>
  <si>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</si>
  <si>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</si>
  <si>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</si>
  <si>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</si>
  <si>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</si>
  <si>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</si>
  <si>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</si>
  <si>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</si>
  <si>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</si>
  <si>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</si>
  <si>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</si>
  <si>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</si>
  <si>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</si>
  <si>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</si>
  <si>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</si>
  <si>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</si>
  <si>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</si>
  <si>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</si>
  <si>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</si>
  <si>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</si>
  <si>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</si>
  <si>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</si>
  <si>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</si>
  <si>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</si>
  <si>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</si>
  <si>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</si>
  <si>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</si>
  <si>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</si>
  <si>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</si>
  <si>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</si>
  <si>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</si>
  <si>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</si>
  <si>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</si>
  <si>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</si>
  <si>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</si>
  <si>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</si>
  <si>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</si>
  <si>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</si>
  <si>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</si>
  <si>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</si>
  <si>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</si>
  <si>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</si>
  <si>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</si>
  <si>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</si>
  <si>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</si>
  <si>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</si>
  <si>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</si>
  <si>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</si>
  <si>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</si>
  <si>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</si>
  <si>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</si>
  <si>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</si>
  <si>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</si>
  <si>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</si>
  <si>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</si>
  <si>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</si>
  <si>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</si>
  <si>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</si>
  <si>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</si>
  <si>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</si>
  <si>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</si>
  <si>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</si>
  <si>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</si>
  <si>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</si>
  <si>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</si>
  <si>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</si>
  <si>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</si>
  <si>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</si>
  <si>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</si>
  <si>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</si>
  <si>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</si>
  <si>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</si>
  <si>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</si>
  <si>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</si>
  <si>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</si>
  <si>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</si>
  <si>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</si>
  <si>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</si>
  <si>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</si>
  <si>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</si>
  <si>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</si>
  <si>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</si>
  <si>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</si>
  <si>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</si>
  <si>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</si>
  <si>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</si>
  <si>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</si>
  <si>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</si>
  <si>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</si>
  <si>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</si>
  <si>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</si>
  <si>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</si>
  <si>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</si>
  <si>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</si>
  <si>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</si>
  <si>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</si>
  <si>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</si>
  <si>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</si>
  <si>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</si>
  <si>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</si>
  <si>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</si>
  <si>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</si>
  <si>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</si>
  <si>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</si>
  <si>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</si>
  <si>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</si>
  <si>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</si>
  <si>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</si>
  <si>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</si>
  <si>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</si>
  <si>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</si>
  <si>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</si>
  <si>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</si>
  <si>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</si>
  <si>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</si>
  <si>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</si>
  <si>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</si>
  <si>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</si>
  <si>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</si>
  <si>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</si>
  <si>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</si>
  <si>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</si>
  <si>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</si>
  <si>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</si>
  <si>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</si>
  <si>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</si>
  <si>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</si>
  <si>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</si>
  <si>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</si>
  <si>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</si>
  <si>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</si>
  <si>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</si>
  <si>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</si>
  <si>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</si>
  <si>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</si>
  <si>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</si>
  <si>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</si>
  <si>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</si>
  <si>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</si>
  <si>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</si>
  <si>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</si>
  <si>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</si>
  <si>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</si>
  <si>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</si>
  <si>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</si>
  <si>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</si>
  <si>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</si>
  <si>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</si>
  <si>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</si>
  <si>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</si>
  <si>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</si>
  <si>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</si>
  <si>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</si>
  <si>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</si>
  <si>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</si>
  <si>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</si>
  <si>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</si>
  <si>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</si>
  <si>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</si>
  <si>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</si>
  <si>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</si>
  <si>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</si>
  <si>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</si>
  <si>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</si>
  <si>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</si>
  <si>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</si>
  <si>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</si>
  <si>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</si>
  <si>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</si>
  <si>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</si>
  <si>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</si>
  <si>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</si>
  <si>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</si>
  <si>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</si>
  <si>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</si>
  <si>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</si>
  <si>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</si>
  <si>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</si>
  <si>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</si>
  <si>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</si>
  <si>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</si>
  <si>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</si>
  <si>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</si>
  <si>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</si>
  <si>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</si>
  <si>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</si>
  <si>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</si>
  <si>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</si>
  <si>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</si>
  <si>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</si>
  <si>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</si>
  <si>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</si>
  <si>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</si>
  <si>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</si>
  <si>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</si>
  <si>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</si>
  <si>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</si>
  <si>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</si>
  <si>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</si>
  <si>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</si>
  <si>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</si>
  <si>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</si>
  <si>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</si>
  <si>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</si>
  <si>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</si>
  <si>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</si>
  <si>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</si>
  <si>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</si>
  <si>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</si>
  <si>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</si>
  <si>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</si>
  <si>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</si>
  <si>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</si>
  <si>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</si>
  <si>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</si>
  <si>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</si>
  <si>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</si>
  <si>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</si>
  <si>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</si>
  <si>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</si>
  <si>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</si>
  <si>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</si>
  <si>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</si>
  <si>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</si>
  <si>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</si>
  <si>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</si>
  <si>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</si>
  <si>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</si>
  <si>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</si>
  <si>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</si>
  <si>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</si>
  <si>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</si>
  <si>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</si>
  <si>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</si>
  <si>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</si>
  <si>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</si>
  <si>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</si>
  <si>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</si>
  <si>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</si>
  <si>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</si>
  <si>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</si>
  <si>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</si>
  <si>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</si>
  <si>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</si>
  <si>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</si>
  <si>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</si>
  <si>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</si>
  <si>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</si>
  <si>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</si>
  <si>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</si>
  <si>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</si>
  <si>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</si>
  <si>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</si>
  <si>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</si>
  <si>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</si>
  <si>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</si>
  <si>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</si>
  <si>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</si>
  <si>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</si>
  <si>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</si>
  <si>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</si>
  <si>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</si>
  <si>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</si>
  <si>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</si>
  <si>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</si>
  <si>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</si>
  <si>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</si>
  <si>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</si>
  <si>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</si>
  <si>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</si>
  <si>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</si>
  <si>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</si>
  <si>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</si>
  <si>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</si>
  <si>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</si>
  <si>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</si>
  <si>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</si>
  <si>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</si>
  <si>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</si>
  <si>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</si>
  <si>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</si>
  <si>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</si>
  <si>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</si>
  <si>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</si>
  <si>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</si>
  <si>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</si>
  <si>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</si>
  <si>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</si>
  <si>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</si>
  <si>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</si>
  <si>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</si>
  <si>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</si>
  <si>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</si>
  <si>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</si>
  <si>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</si>
  <si>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</si>
  <si>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</si>
  <si>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</si>
  <si>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</si>
  <si>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</si>
  <si>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</si>
  <si>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</si>
  <si>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</si>
  <si>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</si>
  <si>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</si>
  <si>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</si>
  <si>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</si>
  <si>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</si>
  <si>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</si>
  <si>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</si>
  <si>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</si>
  <si>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</si>
  <si>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</si>
  <si>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</si>
  <si>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</si>
  <si>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</si>
  <si>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</si>
  <si>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</si>
  <si>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</si>
  <si>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</si>
  <si>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</si>
  <si>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</si>
  <si>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</si>
  <si>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</si>
  <si>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</si>
  <si>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</si>
  <si>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</si>
  <si>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</si>
  <si>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</si>
  <si>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</si>
  <si>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</si>
  <si>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</si>
  <si>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</si>
  <si>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</si>
  <si>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</si>
  <si>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</si>
  <si>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</si>
  <si>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</si>
  <si>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</si>
  <si>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</si>
  <si>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</si>
  <si>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</si>
  <si>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</si>
  <si>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</si>
  <si>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</si>
  <si>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</si>
  <si>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</si>
  <si>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</si>
  <si>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</si>
  <si>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</si>
  <si>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</si>
  <si>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</si>
  <si>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</si>
  <si>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</si>
  <si>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</si>
  <si>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</si>
  <si>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</si>
  <si>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</si>
  <si>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</si>
  <si>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</si>
  <si>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</si>
  <si>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</si>
  <si>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</si>
  <si>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</si>
  <si>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</si>
  <si>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</si>
  <si>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</si>
  <si>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</si>
  <si>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</si>
  <si>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</si>
  <si>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</si>
  <si>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</si>
  <si>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</si>
  <si>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</si>
  <si>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</si>
  <si>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</si>
  <si>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</si>
  <si>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</si>
  <si>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</si>
  <si>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</si>
  <si>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</si>
  <si>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</si>
  <si>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</si>
  <si>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</si>
  <si>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</si>
  <si>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</si>
  <si>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</si>
  <si>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</si>
  <si>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</si>
  <si>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</si>
  <si>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</si>
  <si>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</si>
  <si>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</si>
  <si>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</si>
  <si>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</si>
  <si>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</si>
  <si>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</si>
  <si>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</si>
  <si>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</si>
  <si>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</si>
  <si>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</si>
  <si>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</si>
  <si>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</si>
  <si>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</si>
  <si>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</si>
  <si>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</si>
  <si>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</si>
  <si>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</si>
  <si>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</si>
  <si>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</si>
  <si>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</si>
  <si>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</si>
  <si>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</si>
  <si>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</si>
  <si>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</si>
  <si>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</si>
  <si>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</si>
  <si>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</si>
  <si>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</si>
  <si>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</si>
  <si>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</si>
  <si>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</si>
  <si>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</si>
  <si>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</si>
  <si>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</si>
  <si>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</si>
  <si>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</si>
  <si>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</si>
  <si>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</si>
  <si>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</si>
  <si>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</si>
  <si>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</si>
  <si>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</si>
  <si>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</si>
  <si>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</si>
  <si>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</si>
  <si>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</si>
  <si>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</si>
  <si>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</si>
  <si>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</si>
  <si>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</si>
  <si>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</si>
  <si>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</si>
  <si>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</si>
  <si>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</si>
  <si>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</si>
  <si>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</si>
  <si>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</si>
  <si>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</si>
  <si>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</si>
  <si>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</si>
  <si>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</si>
  <si>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</si>
  <si>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</si>
  <si>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</si>
  <si>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</si>
  <si>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</si>
  <si>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</si>
  <si>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</si>
  <si>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</si>
  <si>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</si>
  <si>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</si>
  <si>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</si>
  <si>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</si>
  <si>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</si>
  <si>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</si>
  <si>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</si>
  <si>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</si>
  <si>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</si>
  <si>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</si>
  <si>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</si>
  <si>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</si>
  <si>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</si>
  <si>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</si>
  <si>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</si>
  <si>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</si>
  <si>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</si>
  <si>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</si>
  <si>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</si>
  <si>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</si>
  <si>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</si>
  <si>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</si>
  <si>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</si>
  <si>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</si>
  <si>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</si>
  <si>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</si>
  <si>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</si>
  <si>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</si>
  <si>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</si>
  <si>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</si>
  <si>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</si>
  <si>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</si>
  <si>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</si>
  <si>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</si>
  <si>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</si>
  <si>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</si>
  <si>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</si>
  <si>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</si>
  <si>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</si>
  <si>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</si>
  <si>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</si>
  <si>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</si>
  <si>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</si>
  <si>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</si>
  <si>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</si>
  <si>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</si>
  <si>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</si>
  <si>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</si>
  <si>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</si>
  <si>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</si>
  <si>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</si>
  <si>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</si>
  <si>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</si>
  <si>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</si>
  <si>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</si>
  <si>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</si>
  <si>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</si>
  <si>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</si>
  <si>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</si>
  <si>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</si>
  <si>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</si>
  <si>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</si>
  <si>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</si>
  <si>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</si>
  <si>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</si>
  <si>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</si>
  <si>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</si>
  <si>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</si>
  <si>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</si>
  <si>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</si>
  <si>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</si>
  <si>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</si>
  <si>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</si>
  <si>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</si>
  <si>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</si>
  <si>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</si>
  <si>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</si>
  <si>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</si>
  <si>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</si>
  <si>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</si>
  <si>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</si>
  <si>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</si>
  <si>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</si>
  <si>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</si>
  <si>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</si>
  <si>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</si>
  <si>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</si>
  <si>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</si>
  <si>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</si>
  <si>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</si>
  <si>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</si>
  <si>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</si>
  <si>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</si>
  <si>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</si>
  <si>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</si>
  <si>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</si>
  <si>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</si>
  <si>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</si>
  <si>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</si>
  <si>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</si>
  <si>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</si>
  <si>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</si>
  <si>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</si>
  <si>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</si>
  <si>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</si>
  <si>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</si>
  <si>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</si>
  <si>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</si>
  <si>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</si>
  <si>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</si>
  <si>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</si>
  <si>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</si>
  <si>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</si>
  <si>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</si>
  <si>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</si>
  <si>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</si>
  <si>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</si>
  <si>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</si>
  <si>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</si>
  <si>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</si>
  <si>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</si>
  <si>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</si>
  <si>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</si>
  <si>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</si>
  <si>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</si>
  <si>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</si>
  <si>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</si>
  <si>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</si>
  <si>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</si>
  <si>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</si>
  <si>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</si>
  <si>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</si>
  <si>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</si>
  <si>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</si>
  <si>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</si>
  <si>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</si>
  <si>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</si>
  <si>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</si>
  <si>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</si>
  <si>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</si>
  <si>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</si>
  <si>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</si>
  <si>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</si>
  <si>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</si>
  <si>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</si>
  <si>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</si>
  <si>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</si>
  <si>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</si>
  <si>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</si>
  <si>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</si>
  <si>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</si>
  <si>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</si>
  <si>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</si>
  <si>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</si>
  <si>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</si>
  <si>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</si>
  <si>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</si>
  <si>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</si>
  <si>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</si>
  <si>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</si>
  <si>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</si>
  <si>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</si>
  <si>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</si>
  <si>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</si>
  <si>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</si>
  <si>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</si>
  <si>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</si>
  <si>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</si>
  <si>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</si>
  <si>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</si>
  <si>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</si>
  <si>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</si>
  <si>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</si>
  <si>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</si>
  <si>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</si>
  <si>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</si>
  <si>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</si>
  <si>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</si>
  <si>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</si>
  <si>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</si>
  <si>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</si>
  <si>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</si>
  <si>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</si>
  <si>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</si>
  <si>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</si>
  <si>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</si>
  <si>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</si>
  <si>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</si>
  <si>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</si>
  <si>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</si>
  <si>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</si>
  <si>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</si>
  <si>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</si>
  <si>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</si>
  <si>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</si>
  <si>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</si>
  <si>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</si>
  <si>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</si>
  <si>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</si>
  <si>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</si>
  <si>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</si>
  <si>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</si>
  <si>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</si>
  <si>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</si>
  <si>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</si>
  <si>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</si>
  <si>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</si>
  <si>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</si>
  <si>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</si>
  <si>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</si>
  <si>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</si>
  <si>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</si>
  <si>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</si>
  <si>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</si>
  <si>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</si>
  <si>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</si>
  <si>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</si>
  <si>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</si>
  <si>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</si>
  <si>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</si>
  <si>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</si>
  <si>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</si>
  <si>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</si>
  <si>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</si>
  <si>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</si>
  <si>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</si>
  <si>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</si>
  <si>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</si>
  <si>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</si>
  <si>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</si>
  <si>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</si>
  <si>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</si>
  <si>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</si>
  <si>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</si>
  <si>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</si>
  <si>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</si>
  <si>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</si>
  <si>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</si>
  <si>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</si>
  <si>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</si>
  <si>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</si>
  <si>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</si>
  <si>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</si>
  <si>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</si>
  <si>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</si>
  <si>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</si>
  <si>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</si>
  <si>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</si>
  <si>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</si>
  <si>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</si>
  <si>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</si>
  <si>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</si>
  <si>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</si>
  <si>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</si>
  <si>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</si>
  <si>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</si>
  <si>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</si>
  <si>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</si>
  <si>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</si>
  <si>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</si>
  <si>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</si>
  <si>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</si>
  <si>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</si>
  <si>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</si>
  <si>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</si>
  <si>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</si>
  <si>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</si>
  <si>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</si>
  <si>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</si>
  <si>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</si>
  <si>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</si>
  <si>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</si>
  <si>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</si>
  <si>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</si>
  <si>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</si>
  <si>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</si>
  <si>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</si>
  <si>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</si>
  <si>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</si>
  <si>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</si>
  <si>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</si>
  <si>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</si>
  <si>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</si>
  <si>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</si>
  <si>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</si>
  <si>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</si>
  <si>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</si>
  <si>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</si>
  <si>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</si>
  <si>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</si>
  <si>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</si>
  <si>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</si>
  <si>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</si>
  <si>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</si>
  <si>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</si>
  <si>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</si>
  <si>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</si>
  <si>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</si>
  <si>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</si>
  <si>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</si>
  <si>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</si>
  <si>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</si>
  <si>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</si>
  <si>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</si>
  <si>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</si>
  <si>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</si>
  <si>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</si>
  <si>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</si>
  <si>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</si>
  <si>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</si>
  <si>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</si>
  <si>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</si>
  <si>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</si>
  <si>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</si>
  <si>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</si>
  <si>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</si>
  <si>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</si>
  <si>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</si>
  <si>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</si>
  <si>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</si>
  <si>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</si>
  <si>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</si>
  <si>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</si>
  <si>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</si>
  <si>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</si>
  <si>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</si>
  <si>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</si>
  <si>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</si>
  <si>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</si>
  <si>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</si>
  <si>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</si>
  <si>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</si>
  <si>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</si>
  <si>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</si>
  <si>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</si>
  <si>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</si>
  <si>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</si>
  <si>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</si>
  <si>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</si>
  <si>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</si>
  <si>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</si>
  <si>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</si>
  <si>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</si>
  <si>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</si>
  <si>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</si>
  <si>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</si>
  <si>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</si>
  <si>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</si>
  <si>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</si>
  <si>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</si>
  <si>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</si>
  <si>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</si>
  <si>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</si>
  <si>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</si>
  <si>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</si>
  <si>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</si>
  <si>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</si>
  <si>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</si>
  <si>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</si>
  <si>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</si>
  <si>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</si>
  <si>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</si>
  <si>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</si>
  <si>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</si>
  <si>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</si>
  <si>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</si>
  <si>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</si>
  <si>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</si>
  <si>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</si>
  <si>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</si>
  <si>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</si>
  <si>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</si>
  <si>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</si>
  <si>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</si>
  <si>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</si>
  <si>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</si>
  <si>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</si>
  <si>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</si>
  <si>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</si>
  <si>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</si>
  <si>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</si>
  <si>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</si>
  <si>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</si>
  <si>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</si>
  <si>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</si>
  <si>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</si>
  <si>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</si>
  <si>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</si>
  <si>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</si>
  <si>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</si>
  <si>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</si>
  <si>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</si>
  <si>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</si>
  <si>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</si>
  <si>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</si>
  <si>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</si>
  <si>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</si>
  <si>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</si>
  <si>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</si>
  <si>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</si>
  <si>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</si>
  <si>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</si>
  <si>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</si>
  <si>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</si>
  <si>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</si>
  <si>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</si>
  <si>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</si>
  <si>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</si>
  <si>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</si>
  <si>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</si>
  <si>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</si>
  <si>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</si>
  <si>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</si>
  <si>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</si>
  <si>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</si>
  <si>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</si>
  <si>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</si>
  <si>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</si>
  <si>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</si>
  <si>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</si>
  <si>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</si>
  <si>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</si>
  <si>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</si>
  <si>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</si>
  <si>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</si>
  <si>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</si>
  <si>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</si>
  <si>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</si>
  <si>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</si>
  <si>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</si>
  <si>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</si>
  <si>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</si>
  <si>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</si>
  <si>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</si>
  <si>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</si>
  <si>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</si>
  <si>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</si>
  <si>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</si>
  <si>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</si>
  <si>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</si>
  <si>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</si>
  <si>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</si>
  <si>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</si>
  <si>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</si>
  <si>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</si>
  <si>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</si>
  <si>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</si>
  <si>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</si>
  <si>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</si>
  <si>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</si>
  <si>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</si>
  <si>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</si>
  <si>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</si>
  <si>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</si>
  <si>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</si>
  <si>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</si>
  <si>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</si>
  <si>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</si>
  <si>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</si>
  <si>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</si>
  <si>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</si>
  <si>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较差</t>
  </si>
  <si>
    <t>较好</t>
  </si>
  <si>
    <t>不临58条商业街</t>
  </si>
  <si>
    <t>好</t>
  </si>
  <si>
    <t>500-1000米</t>
  </si>
  <si>
    <t>与级别开发程度一致</t>
  </si>
  <si>
    <t>市区</t>
  </si>
  <si>
    <t>四环路内</t>
  </si>
  <si>
    <t>钢混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</si>
</sst>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184" fontId="83" fillId="18" borderId="0" xfId="8" applyNumberFormat="1" applyFont="1" applyFill="1" applyAlignment="1">
      <alignment horizontal="left" vertical="center"/>
    </xf>
    <xf numFmtId="177" fontId="83" fillId="18" borderId="0" xfId="8" applyNumberFormat="1" applyFont="1" applyFill="1" applyAlignment="1">
      <alignment horizontal="left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70" t="s">
        <v>168</v>
      </c>
      <c r="B15" s="647" t="s">
        <v>250</v>
      </c>
    </row>
    <row r="16" spans="1:7" ht="14.4">
      <c r="A16" s="1771"/>
      <c r="B16" s="648" t="s">
        <v>169</v>
      </c>
    </row>
    <row r="17" spans="1:2" ht="14.4">
      <c r="A17" s="180" t="s">
        <v>170</v>
      </c>
      <c r="B17" s="649"/>
    </row>
    <row r="18" spans="1:2" ht="14.4">
      <c r="A18" s="1769" t="s">
        <v>171</v>
      </c>
      <c r="B18" s="647" t="s">
        <v>1386</v>
      </c>
    </row>
    <row r="19" spans="1:2" ht="14.4">
      <c r="A19" s="1769"/>
      <c r="B19" s="647" t="s">
        <v>1387</v>
      </c>
    </row>
    <row r="20" spans="1:2" ht="14.4">
      <c r="A20" s="1769"/>
      <c r="B20" s="647" t="s">
        <v>1388</v>
      </c>
    </row>
    <row r="21" spans="1:2" ht="14.4">
      <c r="A21" s="1769"/>
      <c r="B21" s="499" t="s">
        <v>172</v>
      </c>
    </row>
    <row r="22" spans="1:2" ht="14.4">
      <c r="A22" s="1769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07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07"/>
      <c r="B19" s="1807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07"/>
      <c r="B20" s="1807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07"/>
      <c r="B21" s="1807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07"/>
      <c r="B22" s="1807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7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07"/>
      <c r="B24" s="1807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7"/>
      <c r="B25" s="1807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7"/>
      <c r="B26" s="1807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7"/>
      <c r="B27" s="1807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07"/>
      <c r="B28" s="1807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07"/>
      <c r="B29" s="1807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07"/>
      <c r="B30" s="1807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07"/>
      <c r="B31" s="1807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07"/>
      <c r="B32" s="1807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07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07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07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07"/>
      <c r="B36" s="1807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07"/>
      <c r="B37" s="1807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07"/>
      <c r="B38" s="1807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07"/>
      <c r="B39" s="1807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7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07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07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07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07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07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07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07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07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07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07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07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07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07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07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07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07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07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07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07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07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07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07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07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07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07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07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07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07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07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07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07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07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07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07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07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07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07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07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7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7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7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7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7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7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7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7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7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07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07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sqref="A1:XFD22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66.31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三级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10065</v>
      </c>
      <c r="C3" s="713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2544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1565</v>
      </c>
      <c r="B5" s="1395">
        <f>C22</f>
        <v>1018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f>IF(I2="地上",'2002地价表'!M1,ROUND('2002地价表'!M1/3,0))</f>
        <v>3660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765">
        <f>(550+1300)/2</f>
        <v>925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928</v>
      </c>
      <c r="B9" s="1509" t="s">
        <v>931</v>
      </c>
      <c r="C9" s="1510">
        <f>IF(OR(H9&gt;=DATE(2014,8,28),H9&lt;DATE(2002,12,10)),0,ROUND(I9/F9,4))</f>
        <v>2.75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39953</v>
      </c>
      <c r="I9" s="1516">
        <f>ROUND(SUMPRODUCT((地价!A36:A86=YEAR(H9)&amp;"-"&amp;ROUNDUP(MONTH(H9)/3,0))*(地价!B3:F3=E2)*(地价!B36:F86)),0)</f>
        <v>286</v>
      </c>
      <c r="J9" s="770"/>
      <c r="AE9" s="712"/>
      <c r="AF9" s="712"/>
    </row>
    <row r="10" spans="1:36" ht="24.6" thickBot="1">
      <c r="A10" s="1517" t="s">
        <v>930</v>
      </c>
      <c r="B10" s="1518" t="s">
        <v>199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1795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932</v>
      </c>
      <c r="B11" s="746" t="s">
        <v>937</v>
      </c>
      <c r="C11" s="1311">
        <f>IF(E2="工业",1,IF(G3&gt;10,D14,IF(D11="郊区",D13,D12)))</f>
        <v>1</v>
      </c>
      <c r="D11" s="1486" t="s">
        <v>1803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1</v>
      </c>
      <c r="E12" s="1477">
        <f>ROUNDDOWN(G3,1)</f>
        <v>2</v>
      </c>
      <c r="F12" s="1478">
        <f>IF(G3&lt;=10,SUMPRODUCT(('2002容积率修正'!A3:A102=E12)*('2002容积率修正'!B2:D2=E2)*('2002容积率修正'!B3:D102)),"——")</f>
        <v>1</v>
      </c>
      <c r="G12" s="1476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1</v>
      </c>
      <c r="E13" s="1477">
        <f>ROUNDDOWN(G3,1)</f>
        <v>2</v>
      </c>
      <c r="F13" s="1478">
        <f>IF(G3&lt;=10,SUMPRODUCT(('2002容积率修正'!A3:A102=E13)*('2002容积率修正'!E2:G2=E2)*('2002容积率修正'!E3:G102)),"——")</f>
        <v>0.85</v>
      </c>
      <c r="G13" s="1476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1796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9" t="s">
        <v>1337</v>
      </c>
      <c r="B18" s="761" t="s">
        <v>1324</v>
      </c>
      <c r="C18" s="629">
        <f>ROUND(C7*C9*C10*C11*C15*C16,0)</f>
        <v>10065</v>
      </c>
      <c r="D18" s="630">
        <f>H1</f>
        <v>66.31</v>
      </c>
      <c r="E18" s="631">
        <f>ROUND(C18*D18,0)</f>
        <v>667410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30"/>
      <c r="B19" s="766" t="s">
        <v>1327</v>
      </c>
      <c r="C19" s="621">
        <f>ROUND(C7*C9*C10*C11*C15*C16*G3,0)</f>
        <v>20130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31" t="s">
        <v>1338</v>
      </c>
      <c r="B20" s="748" t="s">
        <v>1325</v>
      </c>
      <c r="C20" s="635">
        <f>ROUND(IF(G3&gt;=I3,C8*C9*C10*C15,C8*C9*C10*C15*G3),0)</f>
        <v>2544</v>
      </c>
      <c r="D20" s="636">
        <f>H1</f>
        <v>66.31</v>
      </c>
      <c r="E20" s="637">
        <f>ROUND(C20*D20,0)</f>
        <v>168693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31"/>
      <c r="B21" s="771" t="s">
        <v>1326</v>
      </c>
      <c r="C21" s="638">
        <f>ROUND(IF(G3&lt;I3,C8*C9*C10*C15,C8*C9*C10*C15*G3),0)</f>
        <v>5088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1347</v>
      </c>
      <c r="B22" s="775"/>
      <c r="C22" s="1563">
        <f>ROUND(IF(D22="四环路内",C20*0.4,C20*0.6),0)</f>
        <v>1018</v>
      </c>
      <c r="D22" s="776" t="s">
        <v>1804</v>
      </c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30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5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6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5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6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33</v>
      </c>
      <c r="D88" s="801" t="s">
        <v>291</v>
      </c>
      <c r="E88" s="801" t="s">
        <v>30</v>
      </c>
      <c r="F88" s="801" t="s">
        <v>31</v>
      </c>
      <c r="G88" s="801" t="s">
        <v>32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226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226</v>
      </c>
      <c r="P14" s="1026" t="s">
        <v>0</v>
      </c>
      <c r="Q14" s="273" t="s">
        <v>1301</v>
      </c>
      <c r="R14" s="273" t="s">
        <v>1302</v>
      </c>
      <c r="S14" s="1027" t="s">
        <v>226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251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34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5" t="s">
        <v>1308</v>
      </c>
      <c r="B1" s="1832" t="s">
        <v>1309</v>
      </c>
      <c r="C1" s="1833"/>
      <c r="D1" s="1834"/>
      <c r="E1" s="1832" t="s">
        <v>1310</v>
      </c>
      <c r="F1" s="1833"/>
      <c r="G1" s="1834"/>
    </row>
    <row r="2" spans="1:7">
      <c r="A2" s="1836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251</v>
      </c>
      <c r="I1" s="538" t="s">
        <v>251</v>
      </c>
      <c r="J1" s="543" t="s">
        <v>662</v>
      </c>
      <c r="K1" s="541" t="s">
        <v>662</v>
      </c>
      <c r="L1" s="537" t="s">
        <v>34</v>
      </c>
      <c r="M1" s="538" t="s">
        <v>34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33</v>
      </c>
      <c r="D35" s="533" t="s">
        <v>291</v>
      </c>
      <c r="E35" s="533" t="s">
        <v>30</v>
      </c>
      <c r="F35" s="533" t="s">
        <v>31</v>
      </c>
      <c r="G35" s="533" t="s">
        <v>32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33</v>
      </c>
      <c r="D65" s="533" t="s">
        <v>291</v>
      </c>
      <c r="E65" s="533" t="s">
        <v>30</v>
      </c>
      <c r="F65" s="533" t="s">
        <v>31</v>
      </c>
      <c r="G65" s="533" t="s">
        <v>32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7" t="s">
        <v>1423</v>
      </c>
      <c r="E2" s="1837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48"/>
      <c r="E3" s="1838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8"/>
      <c r="E4" s="1838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9"/>
      <c r="E5" s="1839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2"/>
      <c r="C6" s="703"/>
      <c r="D6" s="1847" t="s">
        <v>1424</v>
      </c>
      <c r="E6" s="1837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5" t="s">
        <v>1432</v>
      </c>
      <c r="B7" s="1346" t="str">
        <f>LEFT(主表!B10,1)&amp;"类"</f>
        <v>三类</v>
      </c>
      <c r="C7" s="703"/>
      <c r="D7" s="1848"/>
      <c r="E7" s="1838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8"/>
      <c r="C8" s="703"/>
      <c r="D8" s="1849"/>
      <c r="E8" s="1839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66.31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47" t="s">
        <v>1402</v>
      </c>
      <c r="E10" s="1837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1218</v>
      </c>
      <c r="B11" s="702" t="e">
        <f>IF(A11="容积率",主表!B8,主表!B9)</f>
        <v>#DIV/0!</v>
      </c>
      <c r="C11" s="703"/>
      <c r="D11" s="1850"/>
      <c r="E11" s="1840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1559</v>
      </c>
      <c r="B21" s="1361" t="s">
        <v>937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1560</v>
      </c>
      <c r="B22" s="1347" t="s">
        <v>199</v>
      </c>
      <c r="C22" s="1357">
        <f ca="1">ROUND(POWER(1+C23,C25-C24)*(POWER(1+C23,C24)-1)/(POWER(1+C23,C25)-1),4)</f>
        <v>-1.00068930206853E+36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1633</v>
      </c>
      <c r="C24" s="621">
        <f>IF(B24="剩余土地使用年限",主表!B15,主表!B16)</f>
        <v>-1939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9" t="s">
        <v>1337</v>
      </c>
      <c r="B27" s="761" t="s">
        <v>1324</v>
      </c>
      <c r="C27" s="621" t="e">
        <f>ROUND(C28/B11,0)</f>
        <v>#DIV/0!</v>
      </c>
      <c r="D27" s="630">
        <f>B9</f>
        <v>66.31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30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31" t="s">
        <v>1450</v>
      </c>
      <c r="B29" s="748" t="s">
        <v>1451</v>
      </c>
      <c r="C29" s="635" t="e">
        <f>ROUND(C30/B11,0)</f>
        <v>#DIV/0!</v>
      </c>
      <c r="D29" s="636">
        <f>B9</f>
        <v>66.31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3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1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2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2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2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2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2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2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2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4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5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5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5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5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6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5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5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5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6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63" t="s">
        <v>91</v>
      </c>
      <c r="D4" s="1864"/>
      <c r="E4" s="1865" t="s">
        <v>92</v>
      </c>
      <c r="F4" s="1866"/>
      <c r="G4" s="1863" t="s">
        <v>93</v>
      </c>
      <c r="H4" s="1864"/>
      <c r="I4" s="1863" t="s">
        <v>94</v>
      </c>
      <c r="J4" s="1864"/>
      <c r="K4" s="142" t="s">
        <v>95</v>
      </c>
      <c r="L4" s="448"/>
      <c r="M4" s="449"/>
      <c r="N4" s="449"/>
      <c r="O4" s="449"/>
      <c r="P4" s="1867" t="s">
        <v>96</v>
      </c>
      <c r="Q4" s="1868"/>
      <c r="R4" s="1873" t="s">
        <v>92</v>
      </c>
      <c r="S4" s="1874"/>
      <c r="T4" s="1873" t="s">
        <v>93</v>
      </c>
      <c r="U4" s="1874"/>
      <c r="V4" s="1879" t="s">
        <v>94</v>
      </c>
      <c r="W4" s="1879"/>
      <c r="X4" s="201"/>
      <c r="Y4" s="1873" t="s">
        <v>96</v>
      </c>
      <c r="Z4" s="1874"/>
      <c r="AA4" s="1860" t="s">
        <v>92</v>
      </c>
      <c r="AB4" s="1861" t="s">
        <v>93</v>
      </c>
      <c r="AC4" s="1860" t="s">
        <v>94</v>
      </c>
    </row>
    <row r="5" spans="1:30" ht="14.4">
      <c r="A5" s="41"/>
      <c r="B5" s="42"/>
      <c r="C5" s="1856" t="s">
        <v>227</v>
      </c>
      <c r="D5" s="1857"/>
      <c r="E5" s="1880" t="s">
        <v>228</v>
      </c>
      <c r="F5" s="1881"/>
      <c r="G5" s="1856" t="s">
        <v>231</v>
      </c>
      <c r="H5" s="1857"/>
      <c r="I5" s="1856" t="s">
        <v>229</v>
      </c>
      <c r="J5" s="1857"/>
      <c r="K5" s="142"/>
      <c r="L5" s="448"/>
      <c r="M5" s="449"/>
      <c r="N5" s="449"/>
      <c r="O5" s="449"/>
      <c r="P5" s="1869"/>
      <c r="Q5" s="1870"/>
      <c r="R5" s="1875"/>
      <c r="S5" s="1876"/>
      <c r="T5" s="1875"/>
      <c r="U5" s="1876"/>
      <c r="V5" s="1879"/>
      <c r="W5" s="1879"/>
      <c r="X5" s="201"/>
      <c r="Y5" s="1875"/>
      <c r="Z5" s="1876"/>
      <c r="AA5" s="1861"/>
      <c r="AB5" s="1861"/>
      <c r="AC5" s="1861"/>
    </row>
    <row r="6" spans="1:30" ht="15" thickBot="1">
      <c r="A6" s="43"/>
      <c r="B6" s="44"/>
      <c r="C6" s="1853" t="s">
        <v>230</v>
      </c>
      <c r="D6" s="1854"/>
      <c r="E6" s="1851" t="s">
        <v>230</v>
      </c>
      <c r="F6" s="1852"/>
      <c r="G6" s="1853" t="s">
        <v>230</v>
      </c>
      <c r="H6" s="1854"/>
      <c r="I6" s="1853" t="s">
        <v>230</v>
      </c>
      <c r="J6" s="1854"/>
      <c r="K6" s="142" t="s">
        <v>97</v>
      </c>
      <c r="L6" s="448"/>
      <c r="M6" s="449"/>
      <c r="N6" s="449"/>
      <c r="O6" s="449"/>
      <c r="P6" s="1871"/>
      <c r="Q6" s="1872"/>
      <c r="R6" s="1875"/>
      <c r="S6" s="1876"/>
      <c r="T6" s="1877"/>
      <c r="U6" s="1878"/>
      <c r="V6" s="1879"/>
      <c r="W6" s="1879"/>
      <c r="X6" s="201"/>
      <c r="Y6" s="1877"/>
      <c r="Z6" s="1878"/>
      <c r="AA6" s="1862"/>
      <c r="AB6" s="1862"/>
      <c r="AC6" s="1862"/>
    </row>
    <row r="7" spans="1:30" s="22" customFormat="1" ht="15.6" thickBot="1">
      <c r="A7" s="45" t="s">
        <v>98</v>
      </c>
      <c r="B7" s="46"/>
      <c r="C7" s="1343">
        <f>主表!B4</f>
        <v>39953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8" t="s">
        <v>99</v>
      </c>
      <c r="Q7" s="1882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8" t="s">
        <v>99</v>
      </c>
      <c r="Z7" s="185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8" t="s">
        <v>125</v>
      </c>
      <c r="Q8" s="185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8" t="s">
        <v>125</v>
      </c>
      <c r="Z8" s="185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5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5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5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5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1531</v>
      </c>
      <c r="C12" s="1063" t="str">
        <f>主表!B10</f>
        <v>三级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5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5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5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5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5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1" t="s">
        <v>86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3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3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84"/>
      <c r="Q16" s="206"/>
      <c r="R16" s="207"/>
      <c r="S16" s="208"/>
      <c r="T16" s="207"/>
      <c r="U16" s="208"/>
      <c r="V16" s="207"/>
      <c r="W16" s="208"/>
      <c r="X16" s="201"/>
      <c r="Y16" s="1884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126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4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4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84"/>
      <c r="Q18" s="206"/>
      <c r="R18" s="207"/>
      <c r="S18" s="208"/>
      <c r="T18" s="207"/>
      <c r="U18" s="208"/>
      <c r="V18" s="207"/>
      <c r="W18" s="208"/>
      <c r="X18" s="201"/>
      <c r="Y18" s="1884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128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4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4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84"/>
      <c r="Q20" s="206"/>
      <c r="R20" s="207"/>
      <c r="S20" s="208"/>
      <c r="T20" s="207"/>
      <c r="U20" s="208"/>
      <c r="V20" s="207"/>
      <c r="W20" s="208"/>
      <c r="X20" s="201"/>
      <c r="Y20" s="1884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131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4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4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84"/>
      <c r="Q22" s="206"/>
      <c r="R22" s="207"/>
      <c r="S22" s="208"/>
      <c r="T22" s="207"/>
      <c r="U22" s="208"/>
      <c r="V22" s="207"/>
      <c r="W22" s="208"/>
      <c r="X22" s="201"/>
      <c r="Y22" s="1884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134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4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4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84"/>
      <c r="Q24" s="235"/>
      <c r="R24" s="207"/>
      <c r="S24" s="208"/>
      <c r="T24" s="207"/>
      <c r="U24" s="208"/>
      <c r="V24" s="207"/>
      <c r="W24" s="208"/>
      <c r="X24" s="234"/>
      <c r="Y24" s="1884"/>
      <c r="Z24" s="236"/>
      <c r="AA24" s="210"/>
      <c r="AB24" s="210"/>
      <c r="AC24" s="210"/>
    </row>
    <row r="25" spans="1:29" ht="57.6" hidden="1">
      <c r="A25" s="41"/>
      <c r="B25" s="1044" t="s">
        <v>135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4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4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84"/>
      <c r="Q26" s="206"/>
      <c r="R26" s="207"/>
      <c r="S26" s="208"/>
      <c r="T26" s="207"/>
      <c r="U26" s="208"/>
      <c r="V26" s="207"/>
      <c r="W26" s="208"/>
      <c r="X26" s="201"/>
      <c r="Y26" s="1884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4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4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84"/>
      <c r="Q28" s="18"/>
      <c r="R28" s="202"/>
      <c r="S28" s="203"/>
      <c r="T28" s="202"/>
      <c r="U28" s="203"/>
      <c r="V28" s="202"/>
      <c r="W28" s="203"/>
      <c r="X28" s="204"/>
      <c r="Y28" s="1884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4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4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84"/>
      <c r="Q30" s="497"/>
      <c r="R30" s="202"/>
      <c r="S30" s="203"/>
      <c r="T30" s="202"/>
      <c r="U30" s="203"/>
      <c r="V30" s="202"/>
      <c r="W30" s="203"/>
      <c r="X30" s="204"/>
      <c r="Y30" s="1884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6" t="s">
        <v>29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4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4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129</v>
      </c>
      <c r="C32" s="1053" t="s">
        <v>136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4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4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84"/>
      <c r="Q33" s="206"/>
      <c r="R33" s="207"/>
      <c r="S33" s="208"/>
      <c r="T33" s="207"/>
      <c r="U33" s="208"/>
      <c r="V33" s="207"/>
      <c r="W33" s="208"/>
      <c r="X33" s="201"/>
      <c r="Y33" s="1884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84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4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84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4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86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7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87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7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138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7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7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7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7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7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7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7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7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7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7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7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7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7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7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7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7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5" t="str">
        <f>A46</f>
        <v>成交单价</v>
      </c>
      <c r="Q46" s="1855"/>
      <c r="R46" s="1879">
        <f>E46</f>
        <v>0</v>
      </c>
      <c r="S46" s="1879"/>
      <c r="T46" s="1879">
        <f>G46</f>
        <v>0</v>
      </c>
      <c r="U46" s="1879"/>
      <c r="V46" s="1879">
        <f>I46</f>
        <v>0</v>
      </c>
      <c r="W46" s="1879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5" t="str">
        <f>A47</f>
        <v>比较价值（元/平方米）</v>
      </c>
      <c r="Q47" s="1855"/>
      <c r="R47" s="1888" t="e">
        <f>ROUND(PRODUCT(R46,AA7:AA45),0)</f>
        <v>#DIV/0!</v>
      </c>
      <c r="S47" s="1888"/>
      <c r="T47" s="1888" t="e">
        <f>ROUND(PRODUCT(T46,AB7:AB45),0)</f>
        <v>#DIV/0!</v>
      </c>
      <c r="U47" s="1888"/>
      <c r="V47" s="1888" t="e">
        <f>ROUND(PRODUCT(V46,AC7:AC45),0)</f>
        <v>#DIV/0!</v>
      </c>
      <c r="W47" s="1888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9" t="str">
        <f>A48</f>
        <v>估价对象比较价值（单价内涵，元/平方米）</v>
      </c>
      <c r="Q48" s="1890"/>
      <c r="R48" s="1891" t="e">
        <f>ROUND(AVERAGE(R47:V47),0)</f>
        <v>#DIV/0!</v>
      </c>
      <c r="S48" s="1891"/>
      <c r="T48" s="1891"/>
      <c r="U48" s="1891"/>
      <c r="V48" s="1891"/>
      <c r="W48" s="1891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2009-5-1</v>
      </c>
      <c r="D56" s="1532">
        <f>EDATE(C56,-3)</f>
        <v>39845</v>
      </c>
      <c r="E56" s="1532">
        <f t="shared" ref="E56:O56" si="15">EDATE(D56,-3)</f>
        <v>39753</v>
      </c>
      <c r="F56" s="1532">
        <f t="shared" si="15"/>
        <v>39661</v>
      </c>
      <c r="G56" s="1532">
        <f t="shared" si="15"/>
        <v>39569</v>
      </c>
      <c r="H56" s="1532">
        <f t="shared" si="15"/>
        <v>39479</v>
      </c>
      <c r="I56" s="1532">
        <f t="shared" si="15"/>
        <v>39387</v>
      </c>
      <c r="J56" s="1532">
        <f t="shared" si="15"/>
        <v>39295</v>
      </c>
      <c r="K56" s="1532">
        <f t="shared" si="15"/>
        <v>39203</v>
      </c>
      <c r="L56" s="1532">
        <f t="shared" si="15"/>
        <v>39114</v>
      </c>
      <c r="M56" s="1532">
        <f t="shared" si="15"/>
        <v>39022</v>
      </c>
      <c r="N56" s="1532">
        <f t="shared" si="15"/>
        <v>38930</v>
      </c>
      <c r="O56" s="1532">
        <f t="shared" si="15"/>
        <v>38838</v>
      </c>
    </row>
    <row r="57" spans="1:17" ht="22.2" thickBot="1">
      <c r="A57" s="1144" t="s">
        <v>113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98</v>
      </c>
      <c r="B58" s="89"/>
      <c r="C58" s="1531" t="str">
        <f>YEAR(C56)&amp;"-"&amp;ROUNDUP(MONTH(C56)/3,0)</f>
        <v>2009-2</v>
      </c>
      <c r="D58" s="1531" t="str">
        <f t="shared" ref="D58:O58" si="16">YEAR(D56)&amp;"-"&amp;ROUNDUP(MONTH(D56)/3,0)</f>
        <v>2009-1</v>
      </c>
      <c r="E58" s="1531" t="str">
        <f t="shared" si="16"/>
        <v>2008-4</v>
      </c>
      <c r="F58" s="1531" t="str">
        <f t="shared" si="16"/>
        <v>2008-3</v>
      </c>
      <c r="G58" s="1531" t="str">
        <f t="shared" si="16"/>
        <v>2008-2</v>
      </c>
      <c r="H58" s="1531" t="str">
        <f t="shared" si="16"/>
        <v>2008-1</v>
      </c>
      <c r="I58" s="1531" t="str">
        <f t="shared" si="16"/>
        <v>2007-4</v>
      </c>
      <c r="J58" s="1531" t="str">
        <f t="shared" si="16"/>
        <v>2007-3</v>
      </c>
      <c r="K58" s="1531" t="str">
        <f t="shared" si="16"/>
        <v>2007-2</v>
      </c>
      <c r="L58" s="1531" t="str">
        <f t="shared" si="16"/>
        <v>2007-1</v>
      </c>
      <c r="M58" s="1531" t="str">
        <f t="shared" si="16"/>
        <v>2006-4</v>
      </c>
      <c r="N58" s="1531" t="str">
        <f t="shared" si="16"/>
        <v>2006-3</v>
      </c>
      <c r="O58" s="1531" t="str">
        <f t="shared" si="16"/>
        <v>2006-2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114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1197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129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1546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152</v>
      </c>
      <c r="C107" s="1111" t="s">
        <v>232</v>
      </c>
      <c r="D107" s="1111" t="s">
        <v>233</v>
      </c>
      <c r="E107" s="1111" t="s">
        <v>234</v>
      </c>
      <c r="F107" s="1111" t="s">
        <v>235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153</v>
      </c>
      <c r="C109" s="1112" t="s">
        <v>236</v>
      </c>
      <c r="D109" s="1112" t="s">
        <v>237</v>
      </c>
      <c r="E109" s="1112" t="s">
        <v>238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154</v>
      </c>
      <c r="C111" s="1112" t="s">
        <v>239</v>
      </c>
      <c r="D111" s="1112" t="s">
        <v>240</v>
      </c>
      <c r="E111" s="1112" t="s">
        <v>241</v>
      </c>
      <c r="F111" s="1112" t="s">
        <v>242</v>
      </c>
      <c r="G111" s="1112" t="s">
        <v>243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155</v>
      </c>
      <c r="C113" s="1112" t="s">
        <v>244</v>
      </c>
      <c r="D113" s="1112" t="s">
        <v>245</v>
      </c>
      <c r="E113" s="1111" t="s">
        <v>246</v>
      </c>
      <c r="F113" s="1111" t="s">
        <v>247</v>
      </c>
      <c r="G113" s="1111" t="s">
        <v>248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39953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7">
        <f>IF(C1&gt;C14,0,MATCH(C1,C$14:C$68,-1))+IF(SUMIF(C14:C68,C1,D14:D68)=0,14,13)</f>
        <v>36</v>
      </c>
      <c r="K1" s="1137">
        <f ca="1">MATCH(E1,C4:C8,1)+IF(SUMIF(C4:C8,E1,D4:D8)=0,3,2)</f>
        <v>3</v>
      </c>
      <c r="L1" s="1137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39953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7">
        <f>IF(C2&gt;C14,0,MATCH(C2,C$14:C$68,-1))+IF(SUMIF(C14:C68,C2,D14:D68)=0,14,13)</f>
        <v>36</v>
      </c>
      <c r="K2" s="1137">
        <f ca="1">MATCH(E2,C4:C8,1)+IF(SUMIF(C4:C8,E2,D4:D8)=0,3,2)</f>
        <v>3</v>
      </c>
      <c r="L2" s="1137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5.4000000000000006E-2</v>
      </c>
      <c r="H3" s="1019" t="s">
        <v>1507</v>
      </c>
      <c r="I3" s="1020">
        <f ca="1">SUMIF(F4:F8,E3,H4:H8)/100</f>
        <v>3.3300000000000003E-2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4.8600000000000003</v>
      </c>
      <c r="E4" s="1004">
        <f ca="1">INDIRECT("d"&amp;$J$2)</f>
        <v>4.8600000000000003</v>
      </c>
      <c r="F4" s="1005">
        <v>0.5</v>
      </c>
      <c r="G4" s="1006">
        <f ca="1">INDIRECT("p"&amp;$L$1)</f>
        <v>1.98</v>
      </c>
      <c r="H4" s="1006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7">
        <f ca="1">INDIRECT("r"&amp;$L$1)</f>
        <v>2.79</v>
      </c>
      <c r="H6" s="1007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7">
        <f ca="1">INDIRECT("s"&amp;$L$1)</f>
        <v>3.33</v>
      </c>
      <c r="H7" s="1007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3">
        <v>44795</v>
      </c>
      <c r="D14" s="1754">
        <v>3.65</v>
      </c>
      <c r="E14" s="1754">
        <f t="shared" ref="E14:E22" si="0">D14</f>
        <v>3.65</v>
      </c>
      <c r="F14" s="1754">
        <f t="shared" ref="F14:F22" si="1">D14</f>
        <v>3.65</v>
      </c>
      <c r="G14" s="1754">
        <f t="shared" ref="G14:G22" si="2">D14</f>
        <v>3.65</v>
      </c>
      <c r="H14" s="1754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8"/>
      <c r="M19" s="1757">
        <v>41965</v>
      </c>
      <c r="N19" s="1758">
        <v>0.35</v>
      </c>
      <c r="O19" s="1758">
        <v>2.35</v>
      </c>
      <c r="P19" s="1758">
        <v>2.5499999999999998</v>
      </c>
      <c r="Q19" s="1758">
        <v>2.75</v>
      </c>
      <c r="R19" s="1758">
        <v>3.35</v>
      </c>
      <c r="S19" s="1758">
        <v>4</v>
      </c>
      <c r="T19" s="1758">
        <v>4.75</v>
      </c>
      <c r="U19" s="1759">
        <v>2.35</v>
      </c>
      <c r="V19" s="1759">
        <v>2.5499999999999998</v>
      </c>
      <c r="W19" s="1759">
        <v>2.75</v>
      </c>
      <c r="X19" s="1758"/>
      <c r="Y19" s="1759">
        <v>0.8</v>
      </c>
      <c r="Z19" s="1759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5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5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1" t="s">
        <v>1785</v>
      </c>
      <c r="C22" s="1001">
        <v>43697</v>
      </c>
      <c r="D22" s="1752">
        <v>4.25</v>
      </c>
      <c r="E22" s="1752">
        <f t="shared" si="0"/>
        <v>4.25</v>
      </c>
      <c r="F22" s="1752">
        <f t="shared" si="1"/>
        <v>4.25</v>
      </c>
      <c r="G22" s="1752">
        <f t="shared" si="2"/>
        <v>4.25</v>
      </c>
      <c r="H22" s="1752">
        <v>4.8499999999999996</v>
      </c>
      <c r="I22" s="1752"/>
      <c r="J22" s="1752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6"/>
      <c r="C23" s="1757">
        <v>42301</v>
      </c>
      <c r="D23" s="1758">
        <v>4.3499999999999996</v>
      </c>
      <c r="E23" s="1758">
        <v>4.3499999999999996</v>
      </c>
      <c r="F23" s="1758">
        <v>4.75</v>
      </c>
      <c r="G23" s="1758">
        <v>4.75</v>
      </c>
      <c r="H23" s="1758">
        <v>4.9000000000000004</v>
      </c>
      <c r="I23" s="1758"/>
      <c r="J23" s="1758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1" zoomScale="80" zoomScaleNormal="80" workbookViewId="0">
      <selection activeCell="C84" sqref="C84"/>
    </sheetView>
  </sheetViews>
  <sheetFormatPr defaultColWidth="8.88671875" defaultRowHeight="13.2"/>
  <cols>
    <col min="1" max="6" width="8.88671875" style="1622"/>
    <col min="7" max="7" width="8.88671875" style="1646"/>
    <col min="8" max="8" width="8.88671875" style="1622"/>
    <col min="9" max="12" width="9" style="1622" customWidth="1"/>
    <col min="13" max="13" width="2.21875" style="1622" customWidth="1"/>
    <col min="14" max="14" width="9" style="1646" customWidth="1"/>
    <col min="15" max="17" width="9" style="1622" customWidth="1"/>
    <col min="18" max="18" width="2.33203125" style="1622" customWidth="1"/>
    <col min="19" max="19" width="7.109375" style="1646" customWidth="1"/>
    <col min="20" max="22" width="7.109375" style="1622" customWidth="1"/>
    <col min="23" max="23" width="2.44140625" style="1622" customWidth="1"/>
    <col min="24" max="16384" width="8.88671875" style="1622"/>
  </cols>
  <sheetData>
    <row r="1" spans="1:32" s="1585" customFormat="1">
      <c r="A1" s="1584" t="s">
        <v>1700</v>
      </c>
      <c r="C1" s="1586"/>
      <c r="D1" s="1586"/>
      <c r="F1" s="1586"/>
    </row>
    <row r="2" spans="1:32" s="1585" customFormat="1" ht="13.8" thickBot="1">
      <c r="B2" s="1586" t="s">
        <v>1635</v>
      </c>
      <c r="C2" s="1586"/>
      <c r="D2" s="1586"/>
      <c r="F2" s="1586"/>
      <c r="G2" s="1900" t="s">
        <v>1636</v>
      </c>
      <c r="H2" s="1900"/>
      <c r="I2" s="1900"/>
      <c r="J2" s="1900"/>
      <c r="K2" s="1900"/>
      <c r="L2" s="1900"/>
      <c r="N2" s="1892" t="s">
        <v>1637</v>
      </c>
      <c r="O2" s="1892"/>
      <c r="P2" s="1892"/>
      <c r="Q2" s="1892"/>
      <c r="S2" s="1892" t="s">
        <v>1638</v>
      </c>
      <c r="T2" s="1892"/>
      <c r="U2" s="1892"/>
      <c r="V2" s="1892"/>
    </row>
    <row r="3" spans="1:32" s="1585" customFormat="1" ht="14.4">
      <c r="B3" s="1587" t="s">
        <v>1694</v>
      </c>
      <c r="C3" s="1587" t="s">
        <v>42</v>
      </c>
      <c r="D3" s="1588" t="s">
        <v>1297</v>
      </c>
      <c r="E3" s="1588" t="s">
        <v>1298</v>
      </c>
      <c r="F3" s="1587" t="s">
        <v>50</v>
      </c>
      <c r="G3" s="1589" t="s">
        <v>1740</v>
      </c>
      <c r="H3" s="1589" t="s">
        <v>1741</v>
      </c>
      <c r="I3" s="1590" t="s">
        <v>1694</v>
      </c>
      <c r="J3" s="1590" t="s">
        <v>1699</v>
      </c>
      <c r="K3" s="1588" t="s">
        <v>1298</v>
      </c>
      <c r="L3" s="1590" t="s">
        <v>50</v>
      </c>
      <c r="N3" s="1590" t="s">
        <v>1694</v>
      </c>
      <c r="O3" s="1590" t="s">
        <v>1699</v>
      </c>
      <c r="P3" s="1588" t="s">
        <v>1298</v>
      </c>
      <c r="Q3" s="1590" t="s">
        <v>50</v>
      </c>
      <c r="S3" s="1590" t="s">
        <v>1694</v>
      </c>
      <c r="T3" s="1590" t="s">
        <v>1699</v>
      </c>
      <c r="U3" s="1588" t="s">
        <v>1298</v>
      </c>
      <c r="V3" s="1590" t="s">
        <v>50</v>
      </c>
    </row>
    <row r="4" spans="1:32" s="1596" customFormat="1" ht="14.4">
      <c r="A4" s="1591" t="s">
        <v>1743</v>
      </c>
      <c r="B4" s="1592"/>
      <c r="C4" s="1592"/>
      <c r="D4" s="1593"/>
      <c r="E4" s="1593"/>
      <c r="F4" s="1592"/>
      <c r="G4" s="1594"/>
      <c r="H4" s="1594"/>
      <c r="I4" s="1595">
        <f>ROUND(AVERAGE($I5:$I38),2)</f>
        <v>1.64</v>
      </c>
      <c r="J4" s="1595">
        <f>ROUND(AVERAGE($J5:$J38),2)</f>
        <v>1.03</v>
      </c>
      <c r="K4" s="1595">
        <f>ROUND(AVERAGE($K5:$K38),2)</f>
        <v>1.81</v>
      </c>
      <c r="L4" s="1595">
        <f>ROUND(AVERAGE($L5:$L38),2)</f>
        <v>1.2</v>
      </c>
      <c r="N4" s="1597"/>
      <c r="O4" s="1597"/>
      <c r="P4" s="1593"/>
      <c r="Q4" s="1597"/>
      <c r="S4" s="1597"/>
      <c r="T4" s="1597"/>
      <c r="U4" s="1593"/>
      <c r="V4" s="1597"/>
      <c r="X4" s="1598"/>
    </row>
    <row r="5" spans="1:32" s="1599" customFormat="1" ht="14.4">
      <c r="B5" s="1600"/>
      <c r="C5" s="1600"/>
      <c r="D5" s="1601"/>
      <c r="E5" s="1601"/>
      <c r="F5" s="1600"/>
      <c r="G5" s="1602"/>
      <c r="H5" s="1602"/>
      <c r="I5" s="1603"/>
      <c r="J5" s="1603"/>
      <c r="K5" s="1604"/>
      <c r="L5" s="1603"/>
      <c r="N5" s="1605"/>
      <c r="O5" s="1605"/>
      <c r="P5" s="1601"/>
      <c r="Q5" s="1605"/>
      <c r="S5" s="1605"/>
      <c r="T5" s="1605"/>
      <c r="U5" s="1601"/>
      <c r="V5" s="1605"/>
      <c r="X5" s="1606"/>
    </row>
    <row r="6" spans="1:32" s="1613" customFormat="1" ht="13.8" thickBot="1">
      <c r="A6" s="1607" t="s">
        <v>1790</v>
      </c>
      <c r="B6" s="1608">
        <f t="shared" ref="B6" si="0">B7*(1+N6)</f>
        <v>510.07089659554606</v>
      </c>
      <c r="C6" s="1608">
        <f t="shared" ref="C6" si="1">C7*(1+O6)</f>
        <v>352.55593185737411</v>
      </c>
      <c r="D6" s="1608">
        <f t="shared" ref="D6" si="2">C6</f>
        <v>352.55593185737411</v>
      </c>
      <c r="E6" s="1608">
        <f t="shared" ref="E6" si="3">E7*(1+P6)</f>
        <v>737.27992463403655</v>
      </c>
      <c r="F6" s="1608">
        <f t="shared" ref="F6" si="4">F7*(1+Q6)</f>
        <v>335.88319198297864</v>
      </c>
      <c r="G6" s="1609">
        <v>2022</v>
      </c>
      <c r="H6" s="1610">
        <v>1</v>
      </c>
      <c r="I6" s="1611">
        <v>0</v>
      </c>
      <c r="J6" s="1611">
        <v>0</v>
      </c>
      <c r="K6" s="1611">
        <v>0</v>
      </c>
      <c r="L6" s="1612">
        <v>0</v>
      </c>
      <c r="N6" s="1614">
        <f t="shared" ref="N6" si="5">I6/100</f>
        <v>0</v>
      </c>
      <c r="O6" s="1615">
        <f t="shared" ref="O6" si="6">J6/100</f>
        <v>0</v>
      </c>
      <c r="P6" s="1615">
        <f t="shared" ref="P6" si="7">K6/100</f>
        <v>0</v>
      </c>
      <c r="Q6" s="1615">
        <f t="shared" ref="Q6" si="8">L6/100</f>
        <v>0</v>
      </c>
      <c r="S6" s="1748">
        <f>B6/B7-1</f>
        <v>0</v>
      </c>
      <c r="T6" s="1749">
        <f>C6/C7-1</f>
        <v>0</v>
      </c>
      <c r="U6" s="1749">
        <f>E6/E7-1</f>
        <v>0</v>
      </c>
      <c r="V6" s="1749">
        <f>F6/F7-1</f>
        <v>0</v>
      </c>
      <c r="X6" s="1616" t="s">
        <v>1744</v>
      </c>
      <c r="Y6" s="1617"/>
      <c r="Z6" s="1617"/>
      <c r="AA6" s="1617"/>
    </row>
    <row r="7" spans="1:32">
      <c r="A7" s="1618" t="s">
        <v>1789</v>
      </c>
      <c r="B7" s="1631">
        <f t="shared" ref="B7" si="9">B8*(1+N7)</f>
        <v>510.07089659554606</v>
      </c>
      <c r="C7" s="1631">
        <f t="shared" ref="C7" si="10">C8*(1+O7)</f>
        <v>352.55593185737411</v>
      </c>
      <c r="D7" s="1631">
        <f t="shared" ref="D7" si="11">C7</f>
        <v>352.55593185737411</v>
      </c>
      <c r="E7" s="1631">
        <f t="shared" ref="E7" si="12">E8*(1+P7)</f>
        <v>737.27992463403655</v>
      </c>
      <c r="F7" s="1632">
        <f t="shared" ref="F7" si="13">F8*(1+Q7)</f>
        <v>335.88319198297864</v>
      </c>
      <c r="G7" s="1764">
        <v>2021</v>
      </c>
      <c r="H7" s="1621">
        <v>4</v>
      </c>
      <c r="I7" s="1761">
        <v>1.03</v>
      </c>
      <c r="J7" s="1761">
        <v>0.24</v>
      </c>
      <c r="K7" s="1761">
        <v>1.17</v>
      </c>
      <c r="L7" s="1762">
        <v>0.55000000000000004</v>
      </c>
      <c r="N7" s="1623">
        <f t="shared" ref="N7" si="14">I7/100</f>
        <v>1.03E-2</v>
      </c>
      <c r="O7" s="1624">
        <f t="shared" ref="O7" si="15">J7/100</f>
        <v>2.3999999999999998E-3</v>
      </c>
      <c r="P7" s="1624">
        <f t="shared" ref="P7" si="16">K7/100</f>
        <v>1.1699999999999999E-2</v>
      </c>
      <c r="Q7" s="1624">
        <f t="shared" ref="Q7" si="17">L7/100</f>
        <v>5.5000000000000005E-3</v>
      </c>
      <c r="R7" s="1625"/>
      <c r="S7" s="1626"/>
      <c r="T7" s="1627"/>
      <c r="U7" s="1627"/>
      <c r="V7" s="1627"/>
      <c r="AC7" s="1628"/>
      <c r="AD7" s="1628"/>
      <c r="AE7" s="1628"/>
      <c r="AF7" s="1628"/>
    </row>
    <row r="8" spans="1:32">
      <c r="A8" s="1618" t="s">
        <v>1788</v>
      </c>
      <c r="B8" s="1619">
        <f t="shared" ref="B8" si="18">B9*(1+N8)</f>
        <v>504.87072809615569</v>
      </c>
      <c r="C8" s="1619">
        <f t="shared" ref="C8" si="19">C9*(1+O8)</f>
        <v>351.71182348101968</v>
      </c>
      <c r="D8" s="1619">
        <f t="shared" ref="D8" si="20">C8</f>
        <v>351.71182348101968</v>
      </c>
      <c r="E8" s="1619">
        <f t="shared" ref="E8" si="21">E9*(1+P8)</f>
        <v>728.75350858360832</v>
      </c>
      <c r="F8" s="1619">
        <f t="shared" ref="F8" si="22">F9*(1+Q8)</f>
        <v>334.04593931673656</v>
      </c>
      <c r="G8" s="1763">
        <v>2021</v>
      </c>
      <c r="H8" s="1621">
        <v>3</v>
      </c>
      <c r="I8" s="1761">
        <v>0.47</v>
      </c>
      <c r="J8" s="1761">
        <v>0.41</v>
      </c>
      <c r="K8" s="1761">
        <v>0.48</v>
      </c>
      <c r="L8" s="1762">
        <v>0.48</v>
      </c>
      <c r="N8" s="1623">
        <f t="shared" ref="N8" si="23">I8/100</f>
        <v>4.6999999999999993E-3</v>
      </c>
      <c r="O8" s="1624">
        <f t="shared" ref="O8" si="24">J8/100</f>
        <v>4.0999999999999995E-3</v>
      </c>
      <c r="P8" s="1624">
        <f t="shared" ref="P8" si="25">K8/100</f>
        <v>4.7999999999999996E-3</v>
      </c>
      <c r="Q8" s="1624">
        <f t="shared" ref="Q8" si="26">L8/100</f>
        <v>4.7999999999999996E-3</v>
      </c>
      <c r="R8" s="1625"/>
      <c r="S8" s="1626"/>
      <c r="T8" s="1627"/>
      <c r="U8" s="1627"/>
      <c r="V8" s="1627"/>
      <c r="AC8" s="1628"/>
      <c r="AD8" s="1628"/>
      <c r="AE8" s="1628"/>
      <c r="AF8" s="1628"/>
    </row>
    <row r="9" spans="1:32">
      <c r="A9" s="1618" t="s">
        <v>1787</v>
      </c>
      <c r="B9" s="1619">
        <f t="shared" ref="B9" si="27">B10*(1+N9)</f>
        <v>502.50893609650217</v>
      </c>
      <c r="C9" s="1619">
        <f t="shared" ref="C9" si="28">C10*(1+O9)</f>
        <v>350.27569313914915</v>
      </c>
      <c r="D9" s="1619">
        <f t="shared" ref="D9" si="29">C9</f>
        <v>350.27569313914915</v>
      </c>
      <c r="E9" s="1619">
        <f t="shared" ref="E9" si="30">E10*(1+P9)</f>
        <v>725.27220201394141</v>
      </c>
      <c r="F9" s="1619">
        <f t="shared" ref="F9" si="31">F10*(1+Q9)</f>
        <v>332.45017846012797</v>
      </c>
      <c r="G9" s="1760">
        <v>2021</v>
      </c>
      <c r="H9" s="1621">
        <v>2</v>
      </c>
      <c r="I9" s="1761">
        <v>0.92</v>
      </c>
      <c r="J9" s="1761">
        <v>0.72</v>
      </c>
      <c r="K9" s="1761">
        <v>0.95</v>
      </c>
      <c r="L9" s="1762">
        <v>1.01</v>
      </c>
      <c r="N9" s="1623">
        <f t="shared" ref="N9" si="32">I9/100</f>
        <v>9.1999999999999998E-3</v>
      </c>
      <c r="O9" s="1624">
        <f t="shared" ref="O9" si="33">J9/100</f>
        <v>7.1999999999999998E-3</v>
      </c>
      <c r="P9" s="1624">
        <f t="shared" ref="P9" si="34">K9/100</f>
        <v>9.4999999999999998E-3</v>
      </c>
      <c r="Q9" s="1624">
        <f t="shared" ref="Q9" si="35">L9/100</f>
        <v>1.01E-2</v>
      </c>
      <c r="R9" s="1625"/>
      <c r="S9" s="1626"/>
      <c r="T9" s="1627"/>
      <c r="U9" s="1627"/>
      <c r="V9" s="1627"/>
      <c r="AC9" s="1628"/>
      <c r="AD9" s="1628"/>
      <c r="AE9" s="1628"/>
      <c r="AF9" s="1628"/>
    </row>
    <row r="10" spans="1:32" ht="13.8" thickBot="1">
      <c r="A10" s="1618" t="s">
        <v>1786</v>
      </c>
      <c r="B10" s="1619">
        <f t="shared" ref="B10" si="36">B11*(1+N10)</f>
        <v>497.92799851020823</v>
      </c>
      <c r="C10" s="1619">
        <f t="shared" ref="C10" si="37">C11*(1+O10)</f>
        <v>347.77173663537445</v>
      </c>
      <c r="D10" s="1619">
        <f t="shared" ref="D10" si="38">C10</f>
        <v>347.77173663537445</v>
      </c>
      <c r="E10" s="1619">
        <f t="shared" ref="E10" si="39">E11*(1+P10)</f>
        <v>718.44695593258189</v>
      </c>
      <c r="F10" s="1619">
        <f t="shared" ref="F10" si="40">F11*(1+Q10)</f>
        <v>329.12600580153247</v>
      </c>
      <c r="G10" s="1750">
        <v>2021</v>
      </c>
      <c r="H10" s="1621">
        <v>1</v>
      </c>
      <c r="I10" s="1761">
        <v>0.97</v>
      </c>
      <c r="J10" s="1761">
        <v>0.16</v>
      </c>
      <c r="K10" s="1761">
        <v>1.1100000000000001</v>
      </c>
      <c r="L10" s="1762">
        <v>0.36</v>
      </c>
      <c r="N10" s="1623">
        <f t="shared" ref="N10" si="41">I10/100</f>
        <v>9.7000000000000003E-3</v>
      </c>
      <c r="O10" s="1624">
        <f t="shared" ref="O10" si="42">J10/100</f>
        <v>1.6000000000000001E-3</v>
      </c>
      <c r="P10" s="1624">
        <f t="shared" ref="P10" si="43">K10/100</f>
        <v>1.11E-2</v>
      </c>
      <c r="Q10" s="1624">
        <f t="shared" ref="Q10" si="44">L10/100</f>
        <v>3.5999999999999999E-3</v>
      </c>
      <c r="R10" s="1625"/>
      <c r="S10" s="1626">
        <f>B10/B11-1</f>
        <v>9.7000000000000419E-3</v>
      </c>
      <c r="T10" s="1627">
        <f>C10/C11-1</f>
        <v>1.6000000000000458E-3</v>
      </c>
      <c r="U10" s="1627">
        <f>E10/E11-1</f>
        <v>1.110000000000011E-2</v>
      </c>
      <c r="V10" s="1627">
        <f>F10/F11-1</f>
        <v>3.6000000000000476E-3</v>
      </c>
      <c r="AC10" s="1628"/>
      <c r="AD10" s="1628"/>
      <c r="AE10" s="1628"/>
      <c r="AF10" s="1628"/>
    </row>
    <row r="11" spans="1:32">
      <c r="A11" s="1618" t="s">
        <v>1784</v>
      </c>
      <c r="B11" s="1631">
        <f t="shared" ref="B11" si="45">B12*(1+N11)</f>
        <v>493.14449689037161</v>
      </c>
      <c r="C11" s="1631">
        <f t="shared" ref="C11" si="46">C12*(1+O11)</f>
        <v>347.21619073020611</v>
      </c>
      <c r="D11" s="1631">
        <f t="shared" ref="D11" si="47">C11</f>
        <v>347.21619073020611</v>
      </c>
      <c r="E11" s="1631">
        <f t="shared" ref="E11" si="48">E12*(1+P11)</f>
        <v>710.55974278763904</v>
      </c>
      <c r="F11" s="1632">
        <f t="shared" ref="F11" si="49">F12*(1+Q11)</f>
        <v>327.94540235306141</v>
      </c>
      <c r="G11" s="1747">
        <v>2020</v>
      </c>
      <c r="H11" s="1621">
        <v>4</v>
      </c>
      <c r="I11" s="1582">
        <v>2.0699999999999998</v>
      </c>
      <c r="J11" s="1582">
        <v>0.37</v>
      </c>
      <c r="K11" s="1582">
        <v>2.35</v>
      </c>
      <c r="L11" s="1583">
        <v>2.69</v>
      </c>
      <c r="N11" s="1623">
        <f t="shared" ref="N11" si="50">I11/100</f>
        <v>2.07E-2</v>
      </c>
      <c r="O11" s="1624">
        <f t="shared" ref="O11" si="51">J11/100</f>
        <v>3.7000000000000002E-3</v>
      </c>
      <c r="P11" s="1624">
        <f t="shared" ref="P11" si="52">K11/100</f>
        <v>2.35E-2</v>
      </c>
      <c r="Q11" s="1624">
        <f t="shared" ref="Q11" si="53">L11/100</f>
        <v>2.69E-2</v>
      </c>
      <c r="R11" s="1625"/>
      <c r="S11" s="1626"/>
      <c r="T11" s="1627"/>
      <c r="U11" s="1627"/>
      <c r="V11" s="1627"/>
      <c r="AC11" s="1628"/>
      <c r="AD11" s="1628"/>
      <c r="AE11" s="1628"/>
      <c r="AF11" s="1628"/>
    </row>
    <row r="12" spans="1:32">
      <c r="A12" s="1618" t="s">
        <v>1783</v>
      </c>
      <c r="B12" s="1619">
        <f t="shared" ref="B12" si="54">B13*(1+N12)</f>
        <v>483.1434279321756</v>
      </c>
      <c r="C12" s="1619">
        <f t="shared" ref="C12" si="55">C13*(1+O12)</f>
        <v>345.93622669144776</v>
      </c>
      <c r="D12" s="1619">
        <f t="shared" ref="D12" si="56">C12</f>
        <v>345.93622669144776</v>
      </c>
      <c r="E12" s="1619">
        <f t="shared" ref="E12" si="57">E13*(1+P12)</f>
        <v>694.24498562544113</v>
      </c>
      <c r="F12" s="1619">
        <f t="shared" ref="F12" si="58">F13*(1+Q12)</f>
        <v>319.35475932716082</v>
      </c>
      <c r="G12" s="1746">
        <v>2020</v>
      </c>
      <c r="H12" s="1621">
        <v>3</v>
      </c>
      <c r="I12" s="1582">
        <v>0.36</v>
      </c>
      <c r="J12" s="1582">
        <v>-0.39</v>
      </c>
      <c r="K12" s="1582">
        <v>0.49</v>
      </c>
      <c r="L12" s="1583">
        <v>7.0000000000000007E-2</v>
      </c>
      <c r="N12" s="1623">
        <f t="shared" ref="N12" si="59">I12/100</f>
        <v>3.5999999999999999E-3</v>
      </c>
      <c r="O12" s="1624">
        <f t="shared" ref="O12" si="60">J12/100</f>
        <v>-3.9000000000000003E-3</v>
      </c>
      <c r="P12" s="1624">
        <f t="shared" ref="P12" si="61">K12/100</f>
        <v>4.8999999999999998E-3</v>
      </c>
      <c r="Q12" s="1624">
        <f t="shared" ref="Q12" si="62">L12/100</f>
        <v>7.000000000000001E-4</v>
      </c>
      <c r="R12" s="1625"/>
      <c r="S12" s="1626"/>
      <c r="T12" s="1627"/>
      <c r="U12" s="1627"/>
      <c r="V12" s="1627"/>
      <c r="AC12" s="1628"/>
      <c r="AD12" s="1628"/>
      <c r="AE12" s="1628"/>
      <c r="AF12" s="1628"/>
    </row>
    <row r="13" spans="1:32">
      <c r="A13" s="1618" t="s">
        <v>1782</v>
      </c>
      <c r="B13" s="1619">
        <f t="shared" ref="B13" si="63">B14*(1+N13)</f>
        <v>481.4103506697644</v>
      </c>
      <c r="C13" s="1619">
        <f t="shared" ref="C13" si="64">C14*(1+O13)</f>
        <v>347.29066026648707</v>
      </c>
      <c r="D13" s="1619">
        <f t="shared" ref="D13" si="65">C13</f>
        <v>347.29066026648707</v>
      </c>
      <c r="E13" s="1619">
        <f t="shared" ref="E13" si="66">E14*(1+P13)</f>
        <v>690.85977273901995</v>
      </c>
      <c r="F13" s="1619">
        <f t="shared" ref="F13" si="67">F14*(1+Q13)</f>
        <v>319.13136737000184</v>
      </c>
      <c r="G13" s="1620">
        <v>2020</v>
      </c>
      <c r="H13" s="1621">
        <v>2</v>
      </c>
      <c r="I13" s="1582">
        <v>0.31</v>
      </c>
      <c r="J13" s="1582">
        <v>-0.78</v>
      </c>
      <c r="K13" s="1582">
        <v>0.5</v>
      </c>
      <c r="L13" s="1583">
        <v>0.47</v>
      </c>
      <c r="N13" s="1623">
        <f t="shared" ref="N13" si="68">I13/100</f>
        <v>3.0999999999999999E-3</v>
      </c>
      <c r="O13" s="1624">
        <f t="shared" ref="O13" si="69">J13/100</f>
        <v>-7.8000000000000005E-3</v>
      </c>
      <c r="P13" s="1624">
        <f t="shared" ref="P13" si="70">K13/100</f>
        <v>5.0000000000000001E-3</v>
      </c>
      <c r="Q13" s="1624">
        <f t="shared" ref="Q13" si="71">L13/100</f>
        <v>4.6999999999999993E-3</v>
      </c>
      <c r="R13" s="1625"/>
      <c r="S13" s="1626"/>
      <c r="T13" s="1627"/>
      <c r="U13" s="1627"/>
      <c r="V13" s="1627"/>
      <c r="AC13" s="1628"/>
      <c r="AD13" s="1628"/>
      <c r="AE13" s="1628"/>
      <c r="AF13" s="1628"/>
    </row>
    <row r="14" spans="1:32" ht="13.8" thickBot="1">
      <c r="A14" s="1618" t="s">
        <v>1781</v>
      </c>
      <c r="B14" s="1619">
        <f t="shared" ref="B14" si="72">B15*(1+N14)</f>
        <v>479.92259063878413</v>
      </c>
      <c r="C14" s="1619">
        <f t="shared" ref="C14" si="73">C15*(1+O14)</f>
        <v>350.02082268341775</v>
      </c>
      <c r="D14" s="1619">
        <f t="shared" ref="D14" si="74">C14</f>
        <v>350.02082268341775</v>
      </c>
      <c r="E14" s="1619">
        <f t="shared" ref="E14" si="75">E15*(1+P14)</f>
        <v>687.42265944181099</v>
      </c>
      <c r="F14" s="1619">
        <f t="shared" ref="F14" si="76">F15*(1+Q14)</f>
        <v>317.63846657708956</v>
      </c>
      <c r="G14" s="1620">
        <v>2020</v>
      </c>
      <c r="H14" s="1621">
        <v>1</v>
      </c>
      <c r="I14" s="1582">
        <v>0.12</v>
      </c>
      <c r="J14" s="1582">
        <v>-0.4</v>
      </c>
      <c r="K14" s="1582">
        <v>0.21</v>
      </c>
      <c r="L14" s="1583">
        <v>0.27</v>
      </c>
      <c r="N14" s="1623">
        <f t="shared" ref="N14" si="77">I14/100</f>
        <v>1.1999999999999999E-3</v>
      </c>
      <c r="O14" s="1624">
        <f t="shared" ref="O14" si="78">J14/100</f>
        <v>-4.0000000000000001E-3</v>
      </c>
      <c r="P14" s="1624">
        <f t="shared" ref="P14" si="79">K14/100</f>
        <v>2.0999999999999999E-3</v>
      </c>
      <c r="Q14" s="1624">
        <f t="shared" ref="Q14" si="80">L14/100</f>
        <v>2.7000000000000001E-3</v>
      </c>
      <c r="R14" s="1625"/>
      <c r="S14" s="1626">
        <f>B14/B15-1</f>
        <v>1.2000000000000899E-3</v>
      </c>
      <c r="T14" s="1627">
        <f>C14/C15-1</f>
        <v>-4.0000000000000036E-3</v>
      </c>
      <c r="U14" s="1627">
        <f>E14/E15-1</f>
        <v>2.0999999999999908E-3</v>
      </c>
      <c r="V14" s="1627">
        <f>F14/F15-1</f>
        <v>2.6999999999999247E-3</v>
      </c>
      <c r="AC14" s="1628"/>
      <c r="AD14" s="1628"/>
      <c r="AE14" s="1628"/>
      <c r="AF14" s="1628"/>
    </row>
    <row r="15" spans="1:32" ht="13.8" thickBot="1">
      <c r="A15" s="1618" t="s">
        <v>1760</v>
      </c>
      <c r="B15" s="1631">
        <f t="shared" ref="B15" si="81">B16*(1+N15)</f>
        <v>479.34737379023579</v>
      </c>
      <c r="C15" s="1631">
        <f t="shared" ref="C15" si="82">C16*(1+O15)</f>
        <v>351.4265287986122</v>
      </c>
      <c r="D15" s="1631">
        <f t="shared" ref="D15" si="83">C15</f>
        <v>351.4265287986122</v>
      </c>
      <c r="E15" s="1631">
        <f t="shared" ref="E15" si="84">E16*(1+P15)</f>
        <v>685.98209703803116</v>
      </c>
      <c r="F15" s="1632">
        <f t="shared" ref="F15" si="85">F16*(1+Q15)</f>
        <v>316.78315206651001</v>
      </c>
      <c r="G15" s="1620">
        <v>2019</v>
      </c>
      <c r="H15" s="1621">
        <v>4</v>
      </c>
      <c r="I15" s="1582">
        <v>0.45</v>
      </c>
      <c r="J15" s="1582">
        <v>-0.12</v>
      </c>
      <c r="K15" s="1582">
        <v>0.54</v>
      </c>
      <c r="L15" s="1629">
        <v>0.48</v>
      </c>
      <c r="N15" s="1623">
        <f t="shared" ref="N15" si="86">I15/100</f>
        <v>4.5000000000000005E-3</v>
      </c>
      <c r="O15" s="1624">
        <f t="shared" ref="O15" si="87">J15/100</f>
        <v>-1.1999999999999999E-3</v>
      </c>
      <c r="P15" s="1624">
        <f t="shared" ref="P15" si="88">K15/100</f>
        <v>5.4000000000000003E-3</v>
      </c>
      <c r="Q15" s="1624">
        <f t="shared" ref="Q15" si="89">L15/100</f>
        <v>4.7999999999999996E-3</v>
      </c>
      <c r="R15" s="1625"/>
      <c r="S15" s="1626"/>
      <c r="T15" s="1627"/>
      <c r="U15" s="1627"/>
      <c r="V15" s="1627"/>
      <c r="AC15" s="1628"/>
      <c r="AD15" s="1628"/>
      <c r="AE15" s="1628"/>
      <c r="AF15" s="1628"/>
    </row>
    <row r="16" spans="1:32" ht="13.8" thickBot="1">
      <c r="A16" s="1618" t="s">
        <v>1759</v>
      </c>
      <c r="B16" s="1619">
        <f t="shared" ref="B16" si="90">B17*(1+N16)</f>
        <v>477.19997390765138</v>
      </c>
      <c r="C16" s="1619">
        <f t="shared" ref="C16" si="91">C17*(1+O16)</f>
        <v>351.84874729536665</v>
      </c>
      <c r="D16" s="1619">
        <f t="shared" ref="D16" si="92">C16</f>
        <v>351.84874729536665</v>
      </c>
      <c r="E16" s="1619">
        <f t="shared" ref="E16" si="93">E17*(1+P16)</f>
        <v>682.29768951465201</v>
      </c>
      <c r="F16" s="1619">
        <f t="shared" ref="F16" si="94">F17*(1+Q16)</f>
        <v>315.26985675409043</v>
      </c>
      <c r="G16" s="1620">
        <v>2019</v>
      </c>
      <c r="H16" s="1621">
        <v>3</v>
      </c>
      <c r="I16" s="1582">
        <v>0.61</v>
      </c>
      <c r="J16" s="1582">
        <v>0.67</v>
      </c>
      <c r="K16" s="1582">
        <v>0.6</v>
      </c>
      <c r="L16" s="1629">
        <v>1.03</v>
      </c>
      <c r="N16" s="1623">
        <f t="shared" ref="N16" si="95">I16/100</f>
        <v>6.0999999999999995E-3</v>
      </c>
      <c r="O16" s="1624">
        <f t="shared" ref="O16" si="96">J16/100</f>
        <v>6.7000000000000002E-3</v>
      </c>
      <c r="P16" s="1624">
        <f t="shared" ref="P16" si="97">K16/100</f>
        <v>6.0000000000000001E-3</v>
      </c>
      <c r="Q16" s="1624">
        <f t="shared" ref="Q16" si="98">L16/100</f>
        <v>1.03E-2</v>
      </c>
      <c r="R16" s="1625"/>
      <c r="S16" s="1626"/>
      <c r="T16" s="1627"/>
      <c r="U16" s="1627"/>
      <c r="V16" s="1627"/>
      <c r="AC16" s="1628"/>
      <c r="AD16" s="1628"/>
      <c r="AE16" s="1628"/>
      <c r="AF16" s="1628"/>
    </row>
    <row r="17" spans="1:32">
      <c r="A17" s="1618" t="s">
        <v>1757</v>
      </c>
      <c r="B17" s="1619">
        <f t="shared" ref="B17" si="99">B18*(1+N17)</f>
        <v>474.30670301923408</v>
      </c>
      <c r="C17" s="1619">
        <f t="shared" ref="C17" si="100">C18*(1+O17)</f>
        <v>349.50705005996491</v>
      </c>
      <c r="D17" s="1619">
        <f t="shared" ref="D17" si="101">C17</f>
        <v>349.50705005996491</v>
      </c>
      <c r="E17" s="1619">
        <f t="shared" ref="E17" si="102">E18*(1+P17)</f>
        <v>678.22831959706957</v>
      </c>
      <c r="F17" s="1619">
        <f t="shared" ref="F17" si="103">F18*(1+Q17)</f>
        <v>312.0556832169558</v>
      </c>
      <c r="G17" s="1620">
        <v>2019</v>
      </c>
      <c r="H17" s="1630">
        <v>2</v>
      </c>
      <c r="I17" s="1630">
        <v>1.53</v>
      </c>
      <c r="J17" s="1630">
        <v>1.01</v>
      </c>
      <c r="K17" s="1630">
        <v>1.62</v>
      </c>
      <c r="L17" s="1629">
        <v>1.25</v>
      </c>
      <c r="N17" s="1623">
        <f t="shared" ref="N17" si="104">I17/100</f>
        <v>1.5300000000000001E-2</v>
      </c>
      <c r="O17" s="1624">
        <f t="shared" ref="O17" si="105">J17/100</f>
        <v>1.01E-2</v>
      </c>
      <c r="P17" s="1624">
        <f t="shared" ref="P17" si="106">K17/100</f>
        <v>1.6200000000000003E-2</v>
      </c>
      <c r="Q17" s="1624">
        <f t="shared" ref="Q17" si="107">L17/100</f>
        <v>1.2500000000000001E-2</v>
      </c>
      <c r="R17" s="1625"/>
      <c r="S17" s="1626"/>
      <c r="T17" s="1627"/>
      <c r="U17" s="1627"/>
      <c r="V17" s="1627"/>
      <c r="AC17" s="1628"/>
      <c r="AD17" s="1628"/>
      <c r="AE17" s="1628"/>
      <c r="AF17" s="1628"/>
    </row>
    <row r="18" spans="1:32" ht="13.8" thickBot="1">
      <c r="A18" s="1618" t="s">
        <v>1758</v>
      </c>
      <c r="B18" s="1619">
        <f t="shared" ref="B18" si="108">B19*(1+N18)</f>
        <v>467.15916775261894</v>
      </c>
      <c r="C18" s="1619">
        <f t="shared" ref="C18" si="109">C19*(1+O18)</f>
        <v>346.01232557169084</v>
      </c>
      <c r="D18" s="1619">
        <f t="shared" ref="D18" si="110">C18</f>
        <v>346.01232557169084</v>
      </c>
      <c r="E18" s="1619">
        <f t="shared" ref="E18" si="111">E19*(1+P18)</f>
        <v>667.41617752122568</v>
      </c>
      <c r="F18" s="1619">
        <f t="shared" ref="F18" si="112">F19*(1+Q18)</f>
        <v>308.20314391798104</v>
      </c>
      <c r="G18" s="1620">
        <v>2019</v>
      </c>
      <c r="H18" s="1621">
        <v>1</v>
      </c>
      <c r="I18" s="1582">
        <v>0.6</v>
      </c>
      <c r="J18" s="1582">
        <v>0.37</v>
      </c>
      <c r="K18" s="1582">
        <v>0.63</v>
      </c>
      <c r="L18" s="1583">
        <v>1.1299999999999999</v>
      </c>
      <c r="N18" s="1623">
        <f t="shared" ref="N18" si="113">I18/100</f>
        <v>6.0000000000000001E-3</v>
      </c>
      <c r="O18" s="1624">
        <f t="shared" ref="O18" si="114">J18/100</f>
        <v>3.7000000000000002E-3</v>
      </c>
      <c r="P18" s="1624">
        <f t="shared" ref="P18" si="115">K18/100</f>
        <v>6.3E-3</v>
      </c>
      <c r="Q18" s="1624">
        <f t="shared" ref="Q18" si="116">L18/100</f>
        <v>1.1299999999999999E-2</v>
      </c>
      <c r="R18" s="1625"/>
      <c r="S18" s="1626">
        <f>B18/B19-1</f>
        <v>6.0000000000000053E-3</v>
      </c>
      <c r="T18" s="1627">
        <f>C18/C19-1</f>
        <v>3.7000000000000366E-3</v>
      </c>
      <c r="U18" s="1627">
        <f>E18/E19-1</f>
        <v>6.2999999999999723E-3</v>
      </c>
      <c r="V18" s="1627">
        <f>F18/F19-1</f>
        <v>1.1300000000000088E-2</v>
      </c>
      <c r="AC18" s="1628"/>
      <c r="AD18" s="1628"/>
      <c r="AE18" s="1628"/>
      <c r="AF18" s="1628"/>
    </row>
    <row r="19" spans="1:32">
      <c r="A19" s="1618" t="s">
        <v>1752</v>
      </c>
      <c r="B19" s="1631">
        <f t="shared" ref="B19" si="117">B20*(1+N19)</f>
        <v>464.37293017158942</v>
      </c>
      <c r="C19" s="1631">
        <f t="shared" ref="C19" si="118">C20*(1+O19)</f>
        <v>344.73679941385956</v>
      </c>
      <c r="D19" s="1631">
        <f t="shared" ref="D19" si="119">C19</f>
        <v>344.73679941385956</v>
      </c>
      <c r="E19" s="1631">
        <f t="shared" ref="E19" si="120">E20*(1+P19)</f>
        <v>663.2377795103107</v>
      </c>
      <c r="F19" s="1632">
        <f t="shared" ref="F19" si="121">F20*(1+Q19)</f>
        <v>304.75936311478398</v>
      </c>
      <c r="G19" s="1894">
        <v>2018</v>
      </c>
      <c r="H19" s="1630">
        <v>4</v>
      </c>
      <c r="I19" s="1630">
        <v>0.96</v>
      </c>
      <c r="J19" s="1630">
        <v>1.03</v>
      </c>
      <c r="K19" s="1630">
        <v>0.92</v>
      </c>
      <c r="L19" s="1629">
        <v>1.29</v>
      </c>
      <c r="N19" s="1623">
        <f t="shared" ref="N19" si="122">I19/100</f>
        <v>9.5999999999999992E-3</v>
      </c>
      <c r="O19" s="1624">
        <f t="shared" ref="O19" si="123">J19/100</f>
        <v>1.03E-2</v>
      </c>
      <c r="P19" s="1624">
        <f t="shared" ref="P19" si="124">K19/100</f>
        <v>9.1999999999999998E-3</v>
      </c>
      <c r="Q19" s="1624">
        <f t="shared" ref="Q19" si="125">L19/100</f>
        <v>1.29E-2</v>
      </c>
      <c r="R19" s="1625"/>
      <c r="S19" s="1633"/>
      <c r="T19" s="1628"/>
      <c r="U19" s="1628"/>
      <c r="V19" s="1628"/>
      <c r="AC19" s="1628"/>
      <c r="AD19" s="1628"/>
      <c r="AE19" s="1628"/>
      <c r="AF19" s="1628"/>
    </row>
    <row r="20" spans="1:32" s="1585" customFormat="1" ht="14.4" customHeight="1">
      <c r="A20" s="1618" t="s">
        <v>1747</v>
      </c>
      <c r="B20" s="1619">
        <f t="shared" ref="B20" si="126">B21*(1+N20)</f>
        <v>459.95733971036987</v>
      </c>
      <c r="C20" s="1619">
        <f t="shared" ref="C20" si="127">C21*(1+O20)</f>
        <v>341.22221064422405</v>
      </c>
      <c r="D20" s="1619">
        <f t="shared" ref="D20" si="128">C20</f>
        <v>341.22221064422405</v>
      </c>
      <c r="E20" s="1619">
        <f t="shared" ref="E20" si="129">E21*(1+P20)</f>
        <v>657.19161663724799</v>
      </c>
      <c r="F20" s="1619">
        <f t="shared" ref="F20" si="130">F21*(1+Q20)</f>
        <v>300.87803644464805</v>
      </c>
      <c r="G20" s="1894"/>
      <c r="H20" s="1621">
        <v>3</v>
      </c>
      <c r="I20" s="1582">
        <v>1.51</v>
      </c>
      <c r="J20" s="1582">
        <v>1.41</v>
      </c>
      <c r="K20" s="1582">
        <v>1.52</v>
      </c>
      <c r="L20" s="1583">
        <v>1.74</v>
      </c>
      <c r="N20" s="1623">
        <f t="shared" ref="N20" si="131">I20/100</f>
        <v>1.5100000000000001E-2</v>
      </c>
      <c r="O20" s="1624">
        <f t="shared" ref="O20" si="132">J20/100</f>
        <v>1.41E-2</v>
      </c>
      <c r="P20" s="1624">
        <f t="shared" ref="P20" si="133">K20/100</f>
        <v>1.52E-2</v>
      </c>
      <c r="Q20" s="1624">
        <f t="shared" ref="Q20" si="134">L20/100</f>
        <v>1.7399999999999999E-2</v>
      </c>
      <c r="S20" s="1626"/>
      <c r="T20" s="1627"/>
      <c r="U20" s="1627"/>
      <c r="V20" s="1627"/>
    </row>
    <row r="21" spans="1:32" s="1585" customFormat="1" ht="14.4" customHeight="1">
      <c r="A21" s="1618" t="s">
        <v>1746</v>
      </c>
      <c r="B21" s="1619">
        <f t="shared" ref="B21:B26" si="135">B22*(1+N21)</f>
        <v>453.11529869999993</v>
      </c>
      <c r="C21" s="1619">
        <f t="shared" ref="C21" si="136">C22*(1+O21)</f>
        <v>336.47787264000004</v>
      </c>
      <c r="D21" s="1619">
        <f t="shared" ref="D21" si="137">C21</f>
        <v>336.47787264000004</v>
      </c>
      <c r="E21" s="1619">
        <f t="shared" ref="E21" si="138">E22*(1+P21)</f>
        <v>647.35186823999993</v>
      </c>
      <c r="F21" s="1619">
        <f t="shared" ref="F21" si="139">F22*(1+Q21)</f>
        <v>295.73229452000004</v>
      </c>
      <c r="G21" s="1894"/>
      <c r="H21" s="1634">
        <v>2</v>
      </c>
      <c r="I21" s="1635">
        <v>1.49</v>
      </c>
      <c r="J21" s="1635">
        <v>0.96</v>
      </c>
      <c r="K21" s="1635">
        <v>1.58</v>
      </c>
      <c r="L21" s="1636">
        <v>2.44</v>
      </c>
      <c r="N21" s="1623">
        <f t="shared" ref="N21" si="140">I21/100</f>
        <v>1.49E-2</v>
      </c>
      <c r="O21" s="1624">
        <f t="shared" ref="O21" si="141">J21/100</f>
        <v>9.5999999999999992E-3</v>
      </c>
      <c r="P21" s="1624">
        <f t="shared" ref="P21" si="142">K21/100</f>
        <v>1.5800000000000002E-2</v>
      </c>
      <c r="Q21" s="1624">
        <f t="shared" ref="Q21" si="143">L21/100</f>
        <v>2.4399999999999998E-2</v>
      </c>
      <c r="S21" s="1626"/>
      <c r="T21" s="1627"/>
      <c r="U21" s="1627"/>
      <c r="V21" s="1627"/>
    </row>
    <row r="22" spans="1:32" s="1585" customFormat="1" ht="15" customHeight="1" thickBot="1">
      <c r="A22" s="1618" t="s">
        <v>1745</v>
      </c>
      <c r="B22" s="1619">
        <f t="shared" si="135"/>
        <v>446.46299999999997</v>
      </c>
      <c r="C22" s="1619">
        <f t="shared" ref="C22" si="144">C23*(1+O22)</f>
        <v>333.27840000000003</v>
      </c>
      <c r="D22" s="1619">
        <f t="shared" ref="D22:D27" si="145">C22</f>
        <v>333.27840000000003</v>
      </c>
      <c r="E22" s="1619">
        <f t="shared" ref="E22" si="146">E23*(1+P22)</f>
        <v>637.28279999999995</v>
      </c>
      <c r="F22" s="1619">
        <f t="shared" ref="F22" si="147">F23*(1+Q22)</f>
        <v>288.68830000000003</v>
      </c>
      <c r="G22" s="1901"/>
      <c r="H22" s="1621">
        <v>1</v>
      </c>
      <c r="I22" s="1582">
        <v>1.7</v>
      </c>
      <c r="J22" s="1582">
        <v>1.92</v>
      </c>
      <c r="K22" s="1582">
        <v>1.64</v>
      </c>
      <c r="L22" s="1583">
        <v>2.0099999999999998</v>
      </c>
      <c r="N22" s="1623">
        <f t="shared" ref="N22" si="148">I22/100</f>
        <v>1.7000000000000001E-2</v>
      </c>
      <c r="O22" s="1624">
        <f t="shared" ref="O22" si="149">J22/100</f>
        <v>1.9199999999999998E-2</v>
      </c>
      <c r="P22" s="1624">
        <f t="shared" ref="P22" si="150">K22/100</f>
        <v>1.6399999999999998E-2</v>
      </c>
      <c r="Q22" s="1624">
        <f t="shared" ref="Q22" si="151">L22/100</f>
        <v>2.0099999999999996E-2</v>
      </c>
      <c r="S22" s="1626">
        <f>B22/B23-1</f>
        <v>1.6999999999999904E-2</v>
      </c>
      <c r="T22" s="1627">
        <f>C22/C23-1</f>
        <v>1.9200000000000106E-2</v>
      </c>
      <c r="U22" s="1627">
        <f>E22/E23-1</f>
        <v>1.639999999999997E-2</v>
      </c>
      <c r="V22" s="1627">
        <f>F22/F23-1</f>
        <v>2.0100000000000007E-2</v>
      </c>
    </row>
    <row r="23" spans="1:32">
      <c r="A23" s="1618" t="s">
        <v>1742</v>
      </c>
      <c r="B23" s="1631">
        <v>439</v>
      </c>
      <c r="C23" s="1631">
        <v>327</v>
      </c>
      <c r="D23" s="1631">
        <f t="shared" si="145"/>
        <v>327</v>
      </c>
      <c r="E23" s="1631">
        <v>627</v>
      </c>
      <c r="F23" s="1632">
        <v>283</v>
      </c>
      <c r="G23" s="1896">
        <v>2017</v>
      </c>
      <c r="H23" s="1630">
        <v>4</v>
      </c>
      <c r="I23" s="1630">
        <v>1.71</v>
      </c>
      <c r="J23" s="1630">
        <v>1.78</v>
      </c>
      <c r="K23" s="1630">
        <v>1.71</v>
      </c>
      <c r="L23" s="1629">
        <v>1.43</v>
      </c>
      <c r="N23" s="1623">
        <f t="shared" ref="N23" si="152">I23/100</f>
        <v>1.7100000000000001E-2</v>
      </c>
      <c r="O23" s="1624">
        <f t="shared" ref="O23" si="153">J23/100</f>
        <v>1.78E-2</v>
      </c>
      <c r="P23" s="1624">
        <f t="shared" ref="P23" si="154">K23/100</f>
        <v>1.7100000000000001E-2</v>
      </c>
      <c r="Q23" s="1624">
        <f t="shared" ref="Q23" si="155">L23/100</f>
        <v>1.43E-2</v>
      </c>
      <c r="R23" s="1625"/>
      <c r="S23" s="1633"/>
      <c r="T23" s="1628"/>
      <c r="U23" s="1628"/>
      <c r="V23" s="1628"/>
      <c r="AC23" s="1628"/>
      <c r="AD23" s="1628"/>
      <c r="AE23" s="1628"/>
      <c r="AF23" s="1628"/>
    </row>
    <row r="24" spans="1:32" s="1585" customFormat="1" ht="14.4" customHeight="1">
      <c r="A24" s="1618" t="s">
        <v>1739</v>
      </c>
      <c r="B24" s="1619">
        <f t="shared" si="135"/>
        <v>431.80730811680002</v>
      </c>
      <c r="C24" s="1619">
        <f t="shared" ref="C24:C25" si="156">C25*(1+O24)</f>
        <v>320.57880516480003</v>
      </c>
      <c r="D24" s="1619">
        <f t="shared" si="145"/>
        <v>320.57880516480003</v>
      </c>
      <c r="E24" s="1619">
        <f t="shared" ref="E24:F26" si="157">E25*(1+P24)</f>
        <v>615.96110553196797</v>
      </c>
      <c r="F24" s="1619">
        <f t="shared" si="157"/>
        <v>279.46777300108801</v>
      </c>
      <c r="G24" s="1894"/>
      <c r="H24" s="1621">
        <v>3</v>
      </c>
      <c r="I24" s="1582">
        <v>2.98</v>
      </c>
      <c r="J24" s="1582">
        <v>2.11</v>
      </c>
      <c r="K24" s="1582">
        <v>3.24</v>
      </c>
      <c r="L24" s="1583">
        <v>1.72</v>
      </c>
      <c r="N24" s="1623">
        <f t="shared" ref="N24:Q25" si="158">I24/100</f>
        <v>2.98E-2</v>
      </c>
      <c r="O24" s="1624">
        <f t="shared" si="158"/>
        <v>2.1099999999999997E-2</v>
      </c>
      <c r="P24" s="1624">
        <f t="shared" si="158"/>
        <v>3.2400000000000005E-2</v>
      </c>
      <c r="Q24" s="1624">
        <f t="shared" si="158"/>
        <v>1.72E-2</v>
      </c>
      <c r="S24" s="1637"/>
    </row>
    <row r="25" spans="1:32" s="1585" customFormat="1" ht="14.4" customHeight="1">
      <c r="A25" s="1618" t="s">
        <v>1639</v>
      </c>
      <c r="B25" s="1619">
        <f t="shared" si="135"/>
        <v>419.31181600000002</v>
      </c>
      <c r="C25" s="1619">
        <f t="shared" si="156"/>
        <v>313.95436800000004</v>
      </c>
      <c r="D25" s="1619">
        <f t="shared" si="145"/>
        <v>313.95436800000004</v>
      </c>
      <c r="E25" s="1619">
        <f t="shared" si="157"/>
        <v>596.63028431999999</v>
      </c>
      <c r="F25" s="1619">
        <f t="shared" si="157"/>
        <v>274.74220703999998</v>
      </c>
      <c r="G25" s="1894"/>
      <c r="H25" s="1634">
        <v>2</v>
      </c>
      <c r="I25" s="1635">
        <v>3.4</v>
      </c>
      <c r="J25" s="1635">
        <v>2</v>
      </c>
      <c r="K25" s="1635">
        <v>3.82</v>
      </c>
      <c r="L25" s="1636">
        <v>1.68</v>
      </c>
      <c r="N25" s="1623">
        <f t="shared" si="158"/>
        <v>3.4000000000000002E-2</v>
      </c>
      <c r="O25" s="1624">
        <f t="shared" si="158"/>
        <v>0.02</v>
      </c>
      <c r="P25" s="1624">
        <f t="shared" si="158"/>
        <v>3.8199999999999998E-2</v>
      </c>
      <c r="Q25" s="1624">
        <f t="shared" si="158"/>
        <v>1.6799999999999999E-2</v>
      </c>
      <c r="S25" s="1637"/>
    </row>
    <row r="26" spans="1:32" s="1585" customFormat="1" ht="15" customHeight="1" thickBot="1">
      <c r="A26" s="1618" t="s">
        <v>1640</v>
      </c>
      <c r="B26" s="1619">
        <f t="shared" si="135"/>
        <v>405.524</v>
      </c>
      <c r="C26" s="1619">
        <f t="shared" ref="C26" si="159">C27*(1+O26)</f>
        <v>307.79840000000002</v>
      </c>
      <c r="D26" s="1619">
        <f t="shared" si="145"/>
        <v>307.79840000000002</v>
      </c>
      <c r="E26" s="1619">
        <f t="shared" si="157"/>
        <v>574.67759999999998</v>
      </c>
      <c r="F26" s="1619">
        <f t="shared" si="157"/>
        <v>270.20280000000002</v>
      </c>
      <c r="G26" s="1901"/>
      <c r="H26" s="1621">
        <v>1</v>
      </c>
      <c r="I26" s="1582">
        <v>3.45</v>
      </c>
      <c r="J26" s="1582">
        <v>1.92</v>
      </c>
      <c r="K26" s="1582">
        <v>3.92</v>
      </c>
      <c r="L26" s="1583">
        <v>1.58</v>
      </c>
      <c r="N26" s="1623">
        <f>I26/100</f>
        <v>3.4500000000000003E-2</v>
      </c>
      <c r="O26" s="1624">
        <f t="shared" ref="O26" si="160">J26/100</f>
        <v>1.9199999999999998E-2</v>
      </c>
      <c r="P26" s="1624">
        <f t="shared" ref="P26" si="161">K26/100</f>
        <v>3.9199999999999999E-2</v>
      </c>
      <c r="Q26" s="1624">
        <f t="shared" ref="Q26" si="162">L26/100</f>
        <v>1.5800000000000002E-2</v>
      </c>
      <c r="S26" s="1626">
        <f>B26/B27-1</f>
        <v>3.4499999999999975E-2</v>
      </c>
      <c r="T26" s="1627">
        <f>C26/C27-1</f>
        <v>1.9200000000000106E-2</v>
      </c>
      <c r="U26" s="1627">
        <f>E26/E27-1</f>
        <v>3.9199999999999902E-2</v>
      </c>
      <c r="V26" s="1627">
        <f>F26/F27-1</f>
        <v>1.5800000000000036E-2</v>
      </c>
    </row>
    <row r="27" spans="1:32">
      <c r="A27" s="1618" t="s">
        <v>276</v>
      </c>
      <c r="B27" s="1638">
        <v>392</v>
      </c>
      <c r="C27" s="1638">
        <v>302</v>
      </c>
      <c r="D27" s="1638">
        <f t="shared" si="145"/>
        <v>302</v>
      </c>
      <c r="E27" s="1638">
        <v>553</v>
      </c>
      <c r="F27" s="1639">
        <v>266</v>
      </c>
      <c r="G27" s="1896">
        <v>2016</v>
      </c>
      <c r="H27" s="1630">
        <v>4</v>
      </c>
      <c r="I27" s="1630">
        <v>4.5599999999999996</v>
      </c>
      <c r="J27" s="1630">
        <v>2.15</v>
      </c>
      <c r="K27" s="1630">
        <v>5.32</v>
      </c>
      <c r="L27" s="1629">
        <v>1.57</v>
      </c>
      <c r="N27" s="1623">
        <f>I27/100</f>
        <v>4.5599999999999995E-2</v>
      </c>
      <c r="O27" s="1624">
        <f t="shared" ref="O27:Q42" si="163">J27/100</f>
        <v>2.1499999999999998E-2</v>
      </c>
      <c r="P27" s="1624">
        <f t="shared" si="163"/>
        <v>5.3200000000000004E-2</v>
      </c>
      <c r="Q27" s="1624">
        <f t="shared" si="163"/>
        <v>1.5700000000000002E-2</v>
      </c>
      <c r="R27" s="1625"/>
      <c r="S27" s="1633"/>
      <c r="T27" s="1628"/>
      <c r="U27" s="1628"/>
      <c r="V27" s="1628"/>
      <c r="AC27" s="1628"/>
      <c r="AD27" s="1628"/>
      <c r="AE27" s="1628"/>
      <c r="AF27" s="1628"/>
    </row>
    <row r="28" spans="1:32">
      <c r="A28" s="1618" t="s">
        <v>275</v>
      </c>
      <c r="B28" s="1619">
        <f t="shared" ref="B28:C30" si="164">B27/(1+N27)</f>
        <v>374.90436113236416</v>
      </c>
      <c r="C28" s="1619">
        <f t="shared" si="164"/>
        <v>295.64366128242779</v>
      </c>
      <c r="D28" s="1619">
        <f t="shared" ref="D28:D87" si="165">C28</f>
        <v>295.64366128242779</v>
      </c>
      <c r="E28" s="1619">
        <f t="shared" ref="E28:F30" si="166">E27/(1+P27)</f>
        <v>525.06646410938095</v>
      </c>
      <c r="F28" s="1619">
        <f t="shared" si="166"/>
        <v>261.88835286009646</v>
      </c>
      <c r="G28" s="1894"/>
      <c r="H28" s="1621">
        <v>3</v>
      </c>
      <c r="I28" s="1621">
        <v>4.12</v>
      </c>
      <c r="J28" s="1621">
        <v>2</v>
      </c>
      <c r="K28" s="1621">
        <v>4.79</v>
      </c>
      <c r="L28" s="1640">
        <v>1.97</v>
      </c>
      <c r="N28" s="1623">
        <f t="shared" ref="N28:Q62" si="167">I28/100</f>
        <v>4.1200000000000001E-2</v>
      </c>
      <c r="O28" s="1624">
        <f t="shared" si="163"/>
        <v>0.02</v>
      </c>
      <c r="P28" s="1624">
        <f t="shared" si="163"/>
        <v>4.7899999999999998E-2</v>
      </c>
      <c r="Q28" s="1624">
        <f t="shared" si="163"/>
        <v>1.9699999999999999E-2</v>
      </c>
      <c r="R28" s="1625"/>
      <c r="S28" s="1623"/>
      <c r="T28" s="1624"/>
      <c r="U28" s="1624"/>
      <c r="V28" s="1624"/>
    </row>
    <row r="29" spans="1:32">
      <c r="A29" s="1618" t="s">
        <v>265</v>
      </c>
      <c r="B29" s="1619">
        <f t="shared" si="164"/>
        <v>360.06949782209392</v>
      </c>
      <c r="C29" s="1619">
        <f t="shared" si="164"/>
        <v>289.84672674747821</v>
      </c>
      <c r="D29" s="1619">
        <f t="shared" si="165"/>
        <v>289.84672674747821</v>
      </c>
      <c r="E29" s="1619">
        <f t="shared" si="166"/>
        <v>501.06543001181495</v>
      </c>
      <c r="F29" s="1619">
        <f t="shared" si="166"/>
        <v>256.82882500744967</v>
      </c>
      <c r="G29" s="1894"/>
      <c r="H29" s="1634">
        <v>2</v>
      </c>
      <c r="I29" s="1634">
        <v>3.85</v>
      </c>
      <c r="J29" s="1634">
        <v>1.95</v>
      </c>
      <c r="K29" s="1634">
        <v>4.4800000000000004</v>
      </c>
      <c r="L29" s="1641">
        <v>1.41</v>
      </c>
      <c r="N29" s="1623">
        <f t="shared" si="167"/>
        <v>3.85E-2</v>
      </c>
      <c r="O29" s="1624">
        <f t="shared" si="163"/>
        <v>1.95E-2</v>
      </c>
      <c r="P29" s="1624">
        <f t="shared" si="163"/>
        <v>4.4800000000000006E-2</v>
      </c>
      <c r="Q29" s="1624">
        <f t="shared" si="163"/>
        <v>1.41E-2</v>
      </c>
      <c r="R29" s="1625"/>
      <c r="S29" s="1623"/>
      <c r="T29" s="1624"/>
      <c r="U29" s="1624"/>
      <c r="V29" s="1624"/>
    </row>
    <row r="30" spans="1:32" ht="13.8" thickBot="1">
      <c r="A30" s="1618" t="s">
        <v>274</v>
      </c>
      <c r="B30" s="1619">
        <f t="shared" si="164"/>
        <v>346.720748986128</v>
      </c>
      <c r="C30" s="1619">
        <f t="shared" si="164"/>
        <v>284.30282172386285</v>
      </c>
      <c r="D30" s="1619">
        <f t="shared" si="165"/>
        <v>284.30282172386285</v>
      </c>
      <c r="E30" s="1619">
        <f t="shared" si="166"/>
        <v>479.58023546306947</v>
      </c>
      <c r="F30" s="1619">
        <f t="shared" si="166"/>
        <v>253.25788877571213</v>
      </c>
      <c r="G30" s="1895"/>
      <c r="H30" s="1621">
        <v>1</v>
      </c>
      <c r="I30" s="1621">
        <v>4.09</v>
      </c>
      <c r="J30" s="1621">
        <v>2.93</v>
      </c>
      <c r="K30" s="1621">
        <v>4.54</v>
      </c>
      <c r="L30" s="1640">
        <v>1.48</v>
      </c>
      <c r="N30" s="1623">
        <f t="shared" si="167"/>
        <v>4.0899999999999999E-2</v>
      </c>
      <c r="O30" s="1624">
        <f t="shared" si="163"/>
        <v>2.9300000000000003E-2</v>
      </c>
      <c r="P30" s="1624">
        <f t="shared" si="163"/>
        <v>4.5400000000000003E-2</v>
      </c>
      <c r="Q30" s="1624">
        <f t="shared" si="163"/>
        <v>1.4800000000000001E-2</v>
      </c>
      <c r="R30" s="1625"/>
      <c r="S30" s="1626">
        <f>B30/B31-1</f>
        <v>4.1203450408792808E-2</v>
      </c>
      <c r="T30" s="1627">
        <f>C30/C31-1</f>
        <v>2.6363977342465095E-2</v>
      </c>
      <c r="U30" s="1627">
        <f>E30/E31-1</f>
        <v>4.4837114298626357E-2</v>
      </c>
      <c r="V30" s="1627">
        <f>F30/F31-1</f>
        <v>1.7099954922538574E-2</v>
      </c>
      <c r="AC30" s="1624"/>
      <c r="AD30" s="1624"/>
      <c r="AE30" s="1624"/>
      <c r="AF30" s="1624"/>
    </row>
    <row r="31" spans="1:32" ht="13.8" thickBot="1">
      <c r="A31" s="1618" t="s">
        <v>273</v>
      </c>
      <c r="B31" s="1638">
        <v>333</v>
      </c>
      <c r="C31" s="1638">
        <v>277</v>
      </c>
      <c r="D31" s="1638">
        <f t="shared" si="165"/>
        <v>277</v>
      </c>
      <c r="E31" s="1638">
        <v>459</v>
      </c>
      <c r="F31" s="1639">
        <v>249</v>
      </c>
      <c r="G31" s="1893">
        <v>2015</v>
      </c>
      <c r="H31" s="1642">
        <v>4</v>
      </c>
      <c r="I31" s="1642">
        <v>1.63</v>
      </c>
      <c r="J31" s="1642">
        <v>1.1100000000000001</v>
      </c>
      <c r="K31" s="1642">
        <v>1.77</v>
      </c>
      <c r="L31" s="1643">
        <v>1.89</v>
      </c>
      <c r="N31" s="1644">
        <f t="shared" si="167"/>
        <v>1.6299999999999999E-2</v>
      </c>
      <c r="O31" s="1645">
        <f t="shared" si="163"/>
        <v>1.11E-2</v>
      </c>
      <c r="P31" s="1645">
        <f t="shared" si="163"/>
        <v>1.77E-2</v>
      </c>
      <c r="Q31" s="1645">
        <f t="shared" si="163"/>
        <v>1.89E-2</v>
      </c>
      <c r="R31" s="1625"/>
      <c r="AC31" s="1628"/>
      <c r="AD31" s="1628"/>
      <c r="AE31" s="1628"/>
      <c r="AF31" s="1628"/>
    </row>
    <row r="32" spans="1:32">
      <c r="A32" s="1618" t="s">
        <v>272</v>
      </c>
      <c r="B32" s="1619">
        <f t="shared" ref="B32:C34" si="168">B31/(1+N31)</f>
        <v>327.65915576109415</v>
      </c>
      <c r="C32" s="1619">
        <f t="shared" si="168"/>
        <v>273.95905449510434</v>
      </c>
      <c r="D32" s="1619">
        <f t="shared" si="165"/>
        <v>273.95905449510434</v>
      </c>
      <c r="E32" s="1619">
        <f t="shared" ref="E32:F34" si="169">E31/(1+P31)</f>
        <v>451.01699911565294</v>
      </c>
      <c r="F32" s="1619">
        <f t="shared" si="169"/>
        <v>244.38119540681129</v>
      </c>
      <c r="G32" s="1894"/>
      <c r="H32" s="1647">
        <v>3</v>
      </c>
      <c r="I32" s="1647">
        <v>1.65</v>
      </c>
      <c r="J32" s="1647">
        <v>0.92</v>
      </c>
      <c r="K32" s="1647">
        <v>1.88</v>
      </c>
      <c r="L32" s="1648">
        <v>1.26</v>
      </c>
      <c r="N32" s="1623">
        <f t="shared" si="167"/>
        <v>1.6500000000000001E-2</v>
      </c>
      <c r="O32" s="1649">
        <f t="shared" si="163"/>
        <v>9.1999999999999998E-3</v>
      </c>
      <c r="P32" s="1649">
        <f t="shared" si="163"/>
        <v>1.8799999999999997E-2</v>
      </c>
      <c r="Q32" s="1649">
        <f t="shared" si="163"/>
        <v>1.26E-2</v>
      </c>
      <c r="R32" s="1625"/>
      <c r="S32" s="1623"/>
      <c r="T32" s="1624"/>
      <c r="U32" s="1624"/>
      <c r="V32" s="1624"/>
    </row>
    <row r="33" spans="1:32">
      <c r="A33" s="1618" t="s">
        <v>271</v>
      </c>
      <c r="B33" s="1619">
        <f t="shared" si="168"/>
        <v>322.34053690220776</v>
      </c>
      <c r="C33" s="1619">
        <f t="shared" si="168"/>
        <v>271.46160770422546</v>
      </c>
      <c r="D33" s="1619">
        <f t="shared" si="165"/>
        <v>271.46160770422546</v>
      </c>
      <c r="E33" s="1619">
        <f t="shared" si="169"/>
        <v>442.69434542172456</v>
      </c>
      <c r="F33" s="1619">
        <f t="shared" si="169"/>
        <v>241.34030753190925</v>
      </c>
      <c r="G33" s="1894"/>
      <c r="H33" s="1634">
        <v>2</v>
      </c>
      <c r="I33" s="1634">
        <v>0.77</v>
      </c>
      <c r="J33" s="1634">
        <v>0.69</v>
      </c>
      <c r="K33" s="1634">
        <v>0.8</v>
      </c>
      <c r="L33" s="1641">
        <v>0.88</v>
      </c>
      <c r="N33" s="1623">
        <f t="shared" si="167"/>
        <v>7.7000000000000002E-3</v>
      </c>
      <c r="O33" s="1649">
        <f t="shared" si="163"/>
        <v>6.8999999999999999E-3</v>
      </c>
      <c r="P33" s="1649">
        <f t="shared" si="163"/>
        <v>8.0000000000000002E-3</v>
      </c>
      <c r="Q33" s="1649">
        <f t="shared" si="163"/>
        <v>8.8000000000000005E-3</v>
      </c>
      <c r="R33" s="1625"/>
      <c r="S33" s="1623"/>
      <c r="T33" s="1624"/>
      <c r="U33" s="1624"/>
      <c r="V33" s="1624"/>
    </row>
    <row r="34" spans="1:32">
      <c r="A34" s="1618" t="s">
        <v>270</v>
      </c>
      <c r="B34" s="1619">
        <f t="shared" si="168"/>
        <v>319.87748030386797</v>
      </c>
      <c r="C34" s="1619">
        <f t="shared" si="168"/>
        <v>269.60135833173649</v>
      </c>
      <c r="D34" s="1619">
        <f t="shared" si="165"/>
        <v>269.60135833173649</v>
      </c>
      <c r="E34" s="1619">
        <f t="shared" si="169"/>
        <v>439.18089823583784</v>
      </c>
      <c r="F34" s="1619">
        <f t="shared" si="169"/>
        <v>239.23503918706311</v>
      </c>
      <c r="G34" s="1895"/>
      <c r="H34" s="1621">
        <v>1</v>
      </c>
      <c r="I34" s="1621">
        <v>0.51</v>
      </c>
      <c r="J34" s="1621">
        <v>0.54</v>
      </c>
      <c r="K34" s="1621">
        <v>0.48</v>
      </c>
      <c r="L34" s="1640">
        <v>0.93</v>
      </c>
      <c r="N34" s="1626">
        <f t="shared" si="167"/>
        <v>5.1000000000000004E-3</v>
      </c>
      <c r="O34" s="1627">
        <f t="shared" si="163"/>
        <v>5.4000000000000003E-3</v>
      </c>
      <c r="P34" s="1627">
        <f t="shared" si="163"/>
        <v>4.7999999999999996E-3</v>
      </c>
      <c r="Q34" s="1627">
        <f t="shared" si="163"/>
        <v>9.300000000000001E-3</v>
      </c>
      <c r="R34" s="1625"/>
      <c r="S34" s="1626">
        <f>B34/B35-1</f>
        <v>5.9040261127922822E-3</v>
      </c>
      <c r="T34" s="1627">
        <f>C34/C35-1</f>
        <v>5.9752176557332781E-3</v>
      </c>
      <c r="U34" s="1627">
        <f>E34/E35-1</f>
        <v>4.9906138119859556E-3</v>
      </c>
      <c r="V34" s="1627">
        <f>F34/F35-1</f>
        <v>9.4305450930933787E-3</v>
      </c>
      <c r="AC34" s="1624"/>
      <c r="AD34" s="1624"/>
      <c r="AE34" s="1624"/>
      <c r="AF34" s="1624"/>
    </row>
    <row r="35" spans="1:32" ht="13.8" thickBot="1">
      <c r="A35" s="1618" t="s">
        <v>269</v>
      </c>
      <c r="B35" s="1650">
        <v>318</v>
      </c>
      <c r="C35" s="1650">
        <v>268</v>
      </c>
      <c r="D35" s="1650">
        <f t="shared" si="165"/>
        <v>268</v>
      </c>
      <c r="E35" s="1650">
        <v>437</v>
      </c>
      <c r="F35" s="1651">
        <v>237</v>
      </c>
      <c r="G35" s="1893">
        <v>2014</v>
      </c>
      <c r="H35" s="1642">
        <v>4</v>
      </c>
      <c r="I35" s="1642">
        <v>0.21</v>
      </c>
      <c r="J35" s="1642">
        <v>0.41</v>
      </c>
      <c r="K35" s="1642">
        <v>0.12</v>
      </c>
      <c r="L35" s="1643">
        <v>0.89</v>
      </c>
      <c r="N35" s="1623">
        <f t="shared" si="167"/>
        <v>2.0999999999999999E-3</v>
      </c>
      <c r="O35" s="1624">
        <f t="shared" si="163"/>
        <v>4.0999999999999995E-3</v>
      </c>
      <c r="P35" s="1624">
        <f t="shared" si="163"/>
        <v>1.1999999999999999E-3</v>
      </c>
      <c r="Q35" s="1624">
        <f t="shared" si="163"/>
        <v>8.8999999999999999E-3</v>
      </c>
      <c r="R35" s="1625"/>
      <c r="S35" s="1633"/>
      <c r="T35" s="1628"/>
      <c r="U35" s="1628"/>
      <c r="V35" s="1628"/>
      <c r="AC35" s="1628"/>
      <c r="AD35" s="1628"/>
      <c r="AE35" s="1628"/>
      <c r="AF35" s="1628"/>
    </row>
    <row r="36" spans="1:32">
      <c r="A36" s="1618" t="s">
        <v>268</v>
      </c>
      <c r="B36" s="1619">
        <f t="shared" ref="B36:C38" si="170">B35/(1+N35)</f>
        <v>317.33359944117353</v>
      </c>
      <c r="C36" s="1619">
        <f t="shared" si="170"/>
        <v>266.90568668459315</v>
      </c>
      <c r="D36" s="1619">
        <f t="shared" si="165"/>
        <v>266.90568668459315</v>
      </c>
      <c r="E36" s="1619">
        <f t="shared" ref="E36:F38" si="171">E35/(1+P35)</f>
        <v>436.47622852576905</v>
      </c>
      <c r="F36" s="1619">
        <f t="shared" si="171"/>
        <v>234.90930716622066</v>
      </c>
      <c r="G36" s="1894"/>
      <c r="H36" s="1652">
        <v>3</v>
      </c>
      <c r="I36" s="1652">
        <v>0.83</v>
      </c>
      <c r="J36" s="1652">
        <v>1.47</v>
      </c>
      <c r="K36" s="1652">
        <v>0.65</v>
      </c>
      <c r="L36" s="1653">
        <v>0.72</v>
      </c>
      <c r="N36" s="1623">
        <f t="shared" si="167"/>
        <v>8.3000000000000001E-3</v>
      </c>
      <c r="O36" s="1624">
        <f t="shared" si="163"/>
        <v>1.47E-2</v>
      </c>
      <c r="P36" s="1624">
        <f t="shared" si="163"/>
        <v>6.5000000000000006E-3</v>
      </c>
      <c r="Q36" s="1624">
        <f t="shared" si="163"/>
        <v>7.1999999999999998E-3</v>
      </c>
      <c r="R36" s="1625"/>
      <c r="S36" s="1623"/>
      <c r="T36" s="1624"/>
      <c r="U36" s="1624"/>
      <c r="V36" s="1624"/>
    </row>
    <row r="37" spans="1:32" ht="13.8" thickBot="1">
      <c r="A37" s="1618" t="s">
        <v>267</v>
      </c>
      <c r="B37" s="1619">
        <f t="shared" si="170"/>
        <v>314.72141172386546</v>
      </c>
      <c r="C37" s="1619">
        <f t="shared" si="170"/>
        <v>263.03901319069001</v>
      </c>
      <c r="D37" s="1619">
        <f t="shared" si="165"/>
        <v>263.03901319069001</v>
      </c>
      <c r="E37" s="1619">
        <f t="shared" si="171"/>
        <v>433.65745506782821</v>
      </c>
      <c r="F37" s="1619">
        <f t="shared" si="171"/>
        <v>233.23005080045735</v>
      </c>
      <c r="G37" s="1894"/>
      <c r="H37" s="1642">
        <v>2</v>
      </c>
      <c r="I37" s="1642">
        <v>2.4</v>
      </c>
      <c r="J37" s="1642">
        <v>2.0299999999999998</v>
      </c>
      <c r="K37" s="1642">
        <v>2.59</v>
      </c>
      <c r="L37" s="1643">
        <v>1.52</v>
      </c>
      <c r="N37" s="1623">
        <f t="shared" si="167"/>
        <v>2.4E-2</v>
      </c>
      <c r="O37" s="1624">
        <f t="shared" si="163"/>
        <v>2.0299999999999999E-2</v>
      </c>
      <c r="P37" s="1624">
        <f t="shared" si="163"/>
        <v>2.5899999999999999E-2</v>
      </c>
      <c r="Q37" s="1624">
        <f t="shared" si="163"/>
        <v>1.52E-2</v>
      </c>
      <c r="R37" s="1625"/>
      <c r="S37" s="1623"/>
      <c r="T37" s="1624"/>
      <c r="U37" s="1624"/>
      <c r="V37" s="1624"/>
    </row>
    <row r="38" spans="1:32" s="1658" customFormat="1" ht="13.8" thickBot="1">
      <c r="A38" s="1654" t="s">
        <v>266</v>
      </c>
      <c r="B38" s="1655">
        <f t="shared" si="170"/>
        <v>307.34512863658733</v>
      </c>
      <c r="C38" s="1655">
        <f t="shared" si="170"/>
        <v>257.80556031626975</v>
      </c>
      <c r="D38" s="1655">
        <f t="shared" si="165"/>
        <v>257.80556031626975</v>
      </c>
      <c r="E38" s="1655">
        <f t="shared" si="171"/>
        <v>422.70928459677179</v>
      </c>
      <c r="F38" s="1655">
        <f t="shared" si="171"/>
        <v>229.73803270336617</v>
      </c>
      <c r="G38" s="1895"/>
      <c r="H38" s="1656">
        <v>1</v>
      </c>
      <c r="I38" s="1656">
        <v>2.97</v>
      </c>
      <c r="J38" s="1656">
        <v>2.34</v>
      </c>
      <c r="K38" s="1656">
        <v>3.28</v>
      </c>
      <c r="L38" s="1657">
        <v>1.36</v>
      </c>
      <c r="N38" s="1659">
        <f t="shared" si="167"/>
        <v>2.9700000000000001E-2</v>
      </c>
      <c r="O38" s="1660">
        <f t="shared" si="163"/>
        <v>2.3399999999999997E-2</v>
      </c>
      <c r="P38" s="1660">
        <f t="shared" si="163"/>
        <v>3.2799999999999996E-2</v>
      </c>
      <c r="Q38" s="1660">
        <f t="shared" si="163"/>
        <v>1.3600000000000001E-2</v>
      </c>
      <c r="R38" s="1661"/>
      <c r="S38" s="1662">
        <f>B38/B39-1</f>
        <v>2.7910129219355539E-2</v>
      </c>
      <c r="T38" s="1663">
        <f>C38/C39-1</f>
        <v>2.3037937762975247E-2</v>
      </c>
      <c r="U38" s="1663">
        <f>E38/E39-1</f>
        <v>3.3519033243940788E-2</v>
      </c>
      <c r="V38" s="1663">
        <f>F38/F39-1</f>
        <v>1.2061818076502862E-2</v>
      </c>
      <c r="AC38" s="1660"/>
      <c r="AD38" s="1660"/>
      <c r="AE38" s="1660"/>
      <c r="AF38" s="1660"/>
    </row>
    <row r="39" spans="1:32" ht="13.8" thickBot="1">
      <c r="A39" s="1618" t="s">
        <v>1641</v>
      </c>
      <c r="B39" s="1638">
        <v>299</v>
      </c>
      <c r="C39" s="1638">
        <v>252</v>
      </c>
      <c r="D39" s="1638">
        <f t="shared" si="165"/>
        <v>252</v>
      </c>
      <c r="E39" s="1638">
        <v>409</v>
      </c>
      <c r="F39" s="1639">
        <v>227</v>
      </c>
      <c r="G39" s="1897">
        <v>2013</v>
      </c>
      <c r="H39" s="1664">
        <v>4</v>
      </c>
      <c r="I39" s="1664">
        <v>1.83</v>
      </c>
      <c r="J39" s="1664">
        <v>1.68</v>
      </c>
      <c r="K39" s="1664">
        <v>1.97</v>
      </c>
      <c r="L39" s="1665">
        <v>0.87</v>
      </c>
      <c r="N39" s="1644">
        <f t="shared" si="167"/>
        <v>1.83E-2</v>
      </c>
      <c r="O39" s="1645">
        <f t="shared" si="163"/>
        <v>1.6799999999999999E-2</v>
      </c>
      <c r="P39" s="1645">
        <f t="shared" si="163"/>
        <v>1.9699999999999999E-2</v>
      </c>
      <c r="Q39" s="1645">
        <f t="shared" si="163"/>
        <v>8.6999999999999994E-3</v>
      </c>
      <c r="R39" s="1625"/>
      <c r="S39" s="1633"/>
      <c r="T39" s="1628"/>
      <c r="U39" s="1628"/>
      <c r="V39" s="1628"/>
      <c r="AC39" s="1628"/>
      <c r="AD39" s="1628"/>
      <c r="AE39" s="1628"/>
      <c r="AF39" s="1628"/>
    </row>
    <row r="40" spans="1:32">
      <c r="A40" s="1618" t="s">
        <v>1642</v>
      </c>
      <c r="B40" s="1619">
        <f t="shared" ref="B40:C42" si="172">B39/(1+N39)</f>
        <v>293.62663262299913</v>
      </c>
      <c r="C40" s="1619">
        <f t="shared" si="172"/>
        <v>247.83634933123525</v>
      </c>
      <c r="D40" s="1619">
        <f t="shared" si="165"/>
        <v>247.83634933123525</v>
      </c>
      <c r="E40" s="1619">
        <f t="shared" ref="E40:F42" si="173">E39/(1+P39)</f>
        <v>401.09836226341076</v>
      </c>
      <c r="F40" s="1619">
        <f t="shared" si="173"/>
        <v>225.04213343908003</v>
      </c>
      <c r="G40" s="1898"/>
      <c r="H40" s="1647">
        <v>3</v>
      </c>
      <c r="I40" s="1647">
        <v>1.86</v>
      </c>
      <c r="J40" s="1647">
        <v>1.72</v>
      </c>
      <c r="K40" s="1647">
        <v>1.98</v>
      </c>
      <c r="L40" s="1648">
        <v>0.88</v>
      </c>
      <c r="N40" s="1623">
        <f t="shared" si="167"/>
        <v>1.8600000000000002E-2</v>
      </c>
      <c r="O40" s="1649">
        <f t="shared" si="163"/>
        <v>1.72E-2</v>
      </c>
      <c r="P40" s="1649">
        <f t="shared" si="163"/>
        <v>1.9799999999999998E-2</v>
      </c>
      <c r="Q40" s="1649">
        <f t="shared" si="163"/>
        <v>8.8000000000000005E-3</v>
      </c>
      <c r="R40" s="1625"/>
      <c r="S40" s="1623"/>
      <c r="T40" s="1624"/>
      <c r="U40" s="1624"/>
      <c r="V40" s="1624"/>
    </row>
    <row r="41" spans="1:32">
      <c r="A41" s="1618" t="s">
        <v>1643</v>
      </c>
      <c r="B41" s="1619">
        <f t="shared" si="172"/>
        <v>288.2649053828776</v>
      </c>
      <c r="C41" s="1619">
        <f t="shared" si="172"/>
        <v>243.64564425013293</v>
      </c>
      <c r="D41" s="1619">
        <f t="shared" si="165"/>
        <v>243.64564425013293</v>
      </c>
      <c r="E41" s="1619">
        <f t="shared" si="173"/>
        <v>393.31080825986544</v>
      </c>
      <c r="F41" s="1619">
        <f t="shared" si="173"/>
        <v>223.07903790551154</v>
      </c>
      <c r="G41" s="1898"/>
      <c r="H41" s="1634">
        <v>2</v>
      </c>
      <c r="I41" s="1634">
        <v>2.04</v>
      </c>
      <c r="J41" s="1634">
        <v>2.33</v>
      </c>
      <c r="K41" s="1634">
        <v>2.0699999999999998</v>
      </c>
      <c r="L41" s="1641">
        <v>0.69</v>
      </c>
      <c r="N41" s="1623">
        <f t="shared" si="167"/>
        <v>2.0400000000000001E-2</v>
      </c>
      <c r="O41" s="1649">
        <f t="shared" si="163"/>
        <v>2.3300000000000001E-2</v>
      </c>
      <c r="P41" s="1649">
        <f t="shared" si="163"/>
        <v>2.07E-2</v>
      </c>
      <c r="Q41" s="1649">
        <f t="shared" si="163"/>
        <v>6.8999999999999999E-3</v>
      </c>
      <c r="R41" s="1625"/>
      <c r="S41" s="1623"/>
      <c r="T41" s="1624"/>
      <c r="U41" s="1624"/>
      <c r="V41" s="1624"/>
    </row>
    <row r="42" spans="1:32">
      <c r="A42" s="1618" t="s">
        <v>1644</v>
      </c>
      <c r="B42" s="1619">
        <f t="shared" si="172"/>
        <v>282.50186729015837</v>
      </c>
      <c r="C42" s="1619">
        <f t="shared" si="172"/>
        <v>238.09796174155468</v>
      </c>
      <c r="D42" s="1619">
        <f t="shared" si="165"/>
        <v>238.09796174155468</v>
      </c>
      <c r="E42" s="1619">
        <f t="shared" si="173"/>
        <v>385.33438646014054</v>
      </c>
      <c r="F42" s="1619">
        <f t="shared" si="173"/>
        <v>221.55034055567739</v>
      </c>
      <c r="G42" s="1899"/>
      <c r="H42" s="1621">
        <v>1</v>
      </c>
      <c r="I42" s="1621">
        <v>1.67</v>
      </c>
      <c r="J42" s="1621">
        <v>1.31</v>
      </c>
      <c r="K42" s="1621">
        <v>1.85</v>
      </c>
      <c r="L42" s="1640">
        <v>0.96</v>
      </c>
      <c r="N42" s="1626">
        <f t="shared" si="167"/>
        <v>1.67E-2</v>
      </c>
      <c r="O42" s="1627">
        <f t="shared" si="163"/>
        <v>1.3100000000000001E-2</v>
      </c>
      <c r="P42" s="1627">
        <f t="shared" si="163"/>
        <v>1.8500000000000003E-2</v>
      </c>
      <c r="Q42" s="1627">
        <f t="shared" si="163"/>
        <v>9.5999999999999992E-3</v>
      </c>
      <c r="R42" s="1625"/>
      <c r="S42" s="1626">
        <f>B42/B43-1</f>
        <v>1.6193767230785472E-2</v>
      </c>
      <c r="T42" s="1627">
        <f>C42/C43-1</f>
        <v>1.7512657015190891E-2</v>
      </c>
      <c r="U42" s="1627">
        <f>E42/E43-1</f>
        <v>1.6713420739157048E-2</v>
      </c>
      <c r="V42" s="1627">
        <f>F42/F43-1</f>
        <v>7.0470025258062563E-3</v>
      </c>
      <c r="AC42" s="1624"/>
      <c r="AD42" s="1624"/>
      <c r="AE42" s="1624"/>
      <c r="AF42" s="1624"/>
    </row>
    <row r="43" spans="1:32" ht="13.8" thickBot="1">
      <c r="A43" s="1618" t="s">
        <v>1645</v>
      </c>
      <c r="B43" s="1666">
        <v>278</v>
      </c>
      <c r="C43" s="1666">
        <v>234</v>
      </c>
      <c r="D43" s="1666">
        <f t="shared" si="165"/>
        <v>234</v>
      </c>
      <c r="E43" s="1666">
        <v>379</v>
      </c>
      <c r="F43" s="1667">
        <v>220</v>
      </c>
      <c r="G43" s="1893">
        <v>2012</v>
      </c>
      <c r="H43" s="1642">
        <v>4</v>
      </c>
      <c r="I43" s="1642">
        <v>0.91</v>
      </c>
      <c r="J43" s="1642">
        <v>0.68</v>
      </c>
      <c r="K43" s="1642">
        <v>0.98</v>
      </c>
      <c r="L43" s="1643">
        <v>0.9</v>
      </c>
      <c r="N43" s="1623">
        <f t="shared" si="167"/>
        <v>9.1000000000000004E-3</v>
      </c>
      <c r="O43" s="1624">
        <f t="shared" si="167"/>
        <v>6.8000000000000005E-3</v>
      </c>
      <c r="P43" s="1624">
        <f t="shared" si="167"/>
        <v>9.7999999999999997E-3</v>
      </c>
      <c r="Q43" s="1624">
        <f t="shared" si="167"/>
        <v>9.0000000000000011E-3</v>
      </c>
      <c r="R43" s="1625"/>
      <c r="S43" s="1633"/>
      <c r="T43" s="1628"/>
      <c r="U43" s="1628"/>
      <c r="V43" s="1628"/>
      <c r="AC43" s="1628"/>
      <c r="AD43" s="1628"/>
      <c r="AE43" s="1628"/>
      <c r="AF43" s="1628"/>
    </row>
    <row r="44" spans="1:32">
      <c r="A44" s="1618" t="s">
        <v>1646</v>
      </c>
      <c r="B44" s="1619">
        <f>B43/(1+N43)</f>
        <v>275.49301357645425</v>
      </c>
      <c r="C44" s="1619">
        <f>C43/(1+O43)</f>
        <v>232.41954707985698</v>
      </c>
      <c r="D44" s="1619">
        <f t="shared" si="165"/>
        <v>232.41954707985698</v>
      </c>
      <c r="E44" s="1619">
        <f t="shared" ref="E44:F46" si="174">E43/(1+P43)</f>
        <v>375.32184591008121</v>
      </c>
      <c r="F44" s="1619">
        <f t="shared" si="174"/>
        <v>218.03766105054513</v>
      </c>
      <c r="G44" s="1894"/>
      <c r="H44" s="1647">
        <v>3</v>
      </c>
      <c r="I44" s="1647">
        <v>0.09</v>
      </c>
      <c r="J44" s="1647">
        <v>0.28999999999999998</v>
      </c>
      <c r="K44" s="1647">
        <v>-0.01</v>
      </c>
      <c r="L44" s="1648">
        <v>0.57999999999999996</v>
      </c>
      <c r="N44" s="1623">
        <f t="shared" si="167"/>
        <v>8.9999999999999998E-4</v>
      </c>
      <c r="O44" s="1624">
        <f t="shared" si="167"/>
        <v>2.8999999999999998E-3</v>
      </c>
      <c r="P44" s="1624">
        <f t="shared" si="167"/>
        <v>-1E-4</v>
      </c>
      <c r="Q44" s="1624">
        <f t="shared" si="167"/>
        <v>5.7999999999999996E-3</v>
      </c>
      <c r="R44" s="1625"/>
      <c r="S44" s="1623"/>
      <c r="T44" s="1624"/>
      <c r="U44" s="1624"/>
      <c r="V44" s="1624"/>
    </row>
    <row r="45" spans="1:32">
      <c r="A45" s="1618" t="s">
        <v>1647</v>
      </c>
      <c r="B45" s="1619">
        <f>B44/(1+N44)</f>
        <v>275.24529281292263</v>
      </c>
      <c r="C45" s="1619">
        <f>C44/(1+O44)</f>
        <v>231.74747938962707</v>
      </c>
      <c r="D45" s="1619">
        <f t="shared" si="165"/>
        <v>231.74747938962707</v>
      </c>
      <c r="E45" s="1619">
        <f t="shared" si="174"/>
        <v>375.35938184826603</v>
      </c>
      <c r="F45" s="1619">
        <f t="shared" si="174"/>
        <v>216.78033510692495</v>
      </c>
      <c r="G45" s="1894"/>
      <c r="H45" s="1634">
        <v>2</v>
      </c>
      <c r="I45" s="1634">
        <v>0.02</v>
      </c>
      <c r="J45" s="1634">
        <v>0.12</v>
      </c>
      <c r="K45" s="1634">
        <v>-0.08</v>
      </c>
      <c r="L45" s="1641">
        <v>1.24</v>
      </c>
      <c r="N45" s="1623">
        <f t="shared" si="167"/>
        <v>2.0000000000000001E-4</v>
      </c>
      <c r="O45" s="1624">
        <f t="shared" si="167"/>
        <v>1.1999999999999999E-3</v>
      </c>
      <c r="P45" s="1624">
        <f t="shared" si="167"/>
        <v>-8.0000000000000004E-4</v>
      </c>
      <c r="Q45" s="1624">
        <f t="shared" si="167"/>
        <v>1.24E-2</v>
      </c>
      <c r="R45" s="1625"/>
      <c r="S45" s="1623"/>
      <c r="T45" s="1624"/>
      <c r="U45" s="1624"/>
      <c r="V45" s="1624"/>
    </row>
    <row r="46" spans="1:32" ht="13.8" thickBot="1">
      <c r="A46" s="1618" t="s">
        <v>1648</v>
      </c>
      <c r="B46" s="1619">
        <f>B45/(1+N45)</f>
        <v>275.19025476197027</v>
      </c>
      <c r="C46" s="1668">
        <v>232</v>
      </c>
      <c r="D46" s="1668">
        <f t="shared" si="165"/>
        <v>232</v>
      </c>
      <c r="E46" s="1619">
        <f t="shared" si="174"/>
        <v>375.65990977608692</v>
      </c>
      <c r="F46" s="1619">
        <f t="shared" si="174"/>
        <v>214.12518283971252</v>
      </c>
      <c r="G46" s="1895"/>
      <c r="H46" s="1621">
        <v>1</v>
      </c>
      <c r="I46" s="1621">
        <v>0.02</v>
      </c>
      <c r="J46" s="1621">
        <v>0.13</v>
      </c>
      <c r="K46" s="1621">
        <v>-0.04</v>
      </c>
      <c r="L46" s="1640">
        <v>0.46</v>
      </c>
      <c r="N46" s="1623">
        <f t="shared" si="167"/>
        <v>2.0000000000000001E-4</v>
      </c>
      <c r="O46" s="1624">
        <f t="shared" si="167"/>
        <v>1.2999999999999999E-3</v>
      </c>
      <c r="P46" s="1624">
        <f t="shared" si="167"/>
        <v>-4.0000000000000002E-4</v>
      </c>
      <c r="Q46" s="1624">
        <f t="shared" si="167"/>
        <v>4.5999999999999999E-3</v>
      </c>
      <c r="R46" s="1625"/>
      <c r="S46" s="1626">
        <f>B46/B47-1</f>
        <v>6.9183549807361189E-4</v>
      </c>
      <c r="T46" s="1627">
        <f>C46/C47-1</f>
        <v>0</v>
      </c>
      <c r="U46" s="1627">
        <f>E46/E47-1</f>
        <v>-9.0449527636460303E-4</v>
      </c>
      <c r="V46" s="1627">
        <f>F46/F47-1</f>
        <v>5.2825485432512753E-3</v>
      </c>
      <c r="AC46" s="1624"/>
      <c r="AD46" s="1624"/>
      <c r="AE46" s="1624"/>
      <c r="AF46" s="1624"/>
    </row>
    <row r="47" spans="1:32" ht="13.8" thickBot="1">
      <c r="A47" s="1618" t="s">
        <v>1649</v>
      </c>
      <c r="B47" s="1638">
        <v>275</v>
      </c>
      <c r="C47" s="1638">
        <v>232</v>
      </c>
      <c r="D47" s="1638">
        <f t="shared" si="165"/>
        <v>232</v>
      </c>
      <c r="E47" s="1638">
        <v>376</v>
      </c>
      <c r="F47" s="1639">
        <v>213</v>
      </c>
      <c r="G47" s="1893">
        <v>2011</v>
      </c>
      <c r="H47" s="1642">
        <v>4</v>
      </c>
      <c r="I47" s="1642">
        <v>-0.2</v>
      </c>
      <c r="J47" s="1642">
        <v>0.04</v>
      </c>
      <c r="K47" s="1642">
        <v>-0.34</v>
      </c>
      <c r="L47" s="1643">
        <v>0.46</v>
      </c>
      <c r="N47" s="1644">
        <f t="shared" si="167"/>
        <v>-2E-3</v>
      </c>
      <c r="O47" s="1645">
        <f t="shared" si="167"/>
        <v>4.0000000000000002E-4</v>
      </c>
      <c r="P47" s="1645">
        <f t="shared" si="167"/>
        <v>-3.4000000000000002E-3</v>
      </c>
      <c r="Q47" s="1645">
        <f t="shared" si="167"/>
        <v>4.5999999999999999E-3</v>
      </c>
      <c r="R47" s="1625"/>
      <c r="S47" s="1633"/>
      <c r="T47" s="1628"/>
      <c r="U47" s="1628"/>
      <c r="V47" s="1628"/>
      <c r="AC47" s="1628"/>
      <c r="AD47" s="1628"/>
      <c r="AE47" s="1628"/>
      <c r="AF47" s="1628"/>
    </row>
    <row r="48" spans="1:32">
      <c r="A48" s="1618" t="s">
        <v>1650</v>
      </c>
      <c r="B48" s="1619">
        <f t="shared" ref="B48:C50" si="175">B47/(1+N47)</f>
        <v>275.55110220440883</v>
      </c>
      <c r="C48" s="1619">
        <f t="shared" si="175"/>
        <v>231.90723710515795</v>
      </c>
      <c r="D48" s="1619">
        <f t="shared" si="165"/>
        <v>231.90723710515795</v>
      </c>
      <c r="E48" s="1619">
        <f t="shared" ref="E48:F50" si="176">E47/(1+P47)</f>
        <v>377.28276138872161</v>
      </c>
      <c r="F48" s="1619">
        <f t="shared" si="176"/>
        <v>212.02468644236512</v>
      </c>
      <c r="G48" s="1894">
        <v>2011</v>
      </c>
      <c r="H48" s="1647">
        <v>3</v>
      </c>
      <c r="I48" s="1647">
        <v>0.13</v>
      </c>
      <c r="J48" s="1647">
        <v>0.75</v>
      </c>
      <c r="K48" s="1647">
        <v>-0.08</v>
      </c>
      <c r="L48" s="1648">
        <v>0.53</v>
      </c>
      <c r="N48" s="1623">
        <f t="shared" si="167"/>
        <v>1.2999999999999999E-3</v>
      </c>
      <c r="O48" s="1649">
        <f t="shared" si="167"/>
        <v>7.4999999999999997E-3</v>
      </c>
      <c r="P48" s="1649">
        <f t="shared" si="167"/>
        <v>-8.0000000000000004E-4</v>
      </c>
      <c r="Q48" s="1649">
        <f t="shared" si="167"/>
        <v>5.3E-3</v>
      </c>
      <c r="R48" s="1625"/>
      <c r="S48" s="1623"/>
      <c r="T48" s="1624"/>
      <c r="U48" s="1624"/>
      <c r="V48" s="1624"/>
    </row>
    <row r="49" spans="1:32">
      <c r="A49" s="1618" t="s">
        <v>1651</v>
      </c>
      <c r="B49" s="1619">
        <f t="shared" si="175"/>
        <v>275.19335084830601</v>
      </c>
      <c r="C49" s="1619">
        <f t="shared" si="175"/>
        <v>230.18088050139744</v>
      </c>
      <c r="D49" s="1619">
        <f t="shared" si="165"/>
        <v>230.18088050139744</v>
      </c>
      <c r="E49" s="1619">
        <f t="shared" si="176"/>
        <v>377.58482925212331</v>
      </c>
      <c r="F49" s="1619">
        <f t="shared" si="176"/>
        <v>210.90687997847917</v>
      </c>
      <c r="G49" s="1894">
        <v>2011</v>
      </c>
      <c r="H49" s="1634">
        <v>2</v>
      </c>
      <c r="I49" s="1634">
        <v>-0.4</v>
      </c>
      <c r="J49" s="1634">
        <v>0.17</v>
      </c>
      <c r="K49" s="1634">
        <v>-0.57999999999999996</v>
      </c>
      <c r="L49" s="1641">
        <v>-0.2</v>
      </c>
      <c r="N49" s="1623">
        <f t="shared" si="167"/>
        <v>-4.0000000000000001E-3</v>
      </c>
      <c r="O49" s="1649">
        <f t="shared" si="167"/>
        <v>1.7000000000000001E-3</v>
      </c>
      <c r="P49" s="1649">
        <f t="shared" si="167"/>
        <v>-5.7999999999999996E-3</v>
      </c>
      <c r="Q49" s="1649">
        <f t="shared" si="167"/>
        <v>-2E-3</v>
      </c>
      <c r="R49" s="1625"/>
      <c r="S49" s="1623"/>
      <c r="T49" s="1624"/>
      <c r="U49" s="1624"/>
      <c r="V49" s="1624"/>
    </row>
    <row r="50" spans="1:32" ht="13.8" thickBot="1">
      <c r="A50" s="1618" t="s">
        <v>1652</v>
      </c>
      <c r="B50" s="1619">
        <f t="shared" si="175"/>
        <v>276.29854502841971</v>
      </c>
      <c r="C50" s="1619">
        <f t="shared" si="175"/>
        <v>229.79023709833027</v>
      </c>
      <c r="D50" s="1619">
        <f t="shared" si="165"/>
        <v>229.79023709833027</v>
      </c>
      <c r="E50" s="1619">
        <f t="shared" si="176"/>
        <v>379.78759731655936</v>
      </c>
      <c r="F50" s="1619">
        <f t="shared" si="176"/>
        <v>211.32953905659235</v>
      </c>
      <c r="G50" s="1895">
        <v>2011</v>
      </c>
      <c r="H50" s="1621">
        <v>1</v>
      </c>
      <c r="I50" s="1621">
        <v>2.65</v>
      </c>
      <c r="J50" s="1621">
        <v>3.76</v>
      </c>
      <c r="K50" s="1621">
        <v>1.89</v>
      </c>
      <c r="L50" s="1640">
        <v>7.95</v>
      </c>
      <c r="N50" s="1626">
        <f t="shared" si="167"/>
        <v>2.6499999999999999E-2</v>
      </c>
      <c r="O50" s="1627">
        <f t="shared" si="167"/>
        <v>3.7599999999999995E-2</v>
      </c>
      <c r="P50" s="1627">
        <f t="shared" si="167"/>
        <v>1.89E-2</v>
      </c>
      <c r="Q50" s="1627">
        <f t="shared" si="167"/>
        <v>7.9500000000000001E-2</v>
      </c>
      <c r="R50" s="1625"/>
      <c r="S50" s="1626">
        <f>B50/B51-1</f>
        <v>2.713213765211786E-2</v>
      </c>
      <c r="T50" s="1627">
        <f>C50/C51-1</f>
        <v>3.9774828499231862E-2</v>
      </c>
      <c r="U50" s="1627">
        <f>E50/E51-1</f>
        <v>1.8197311840641772E-2</v>
      </c>
      <c r="V50" s="1627">
        <f>F50/F51-1</f>
        <v>7.8211933962205826E-2</v>
      </c>
      <c r="AC50" s="1624"/>
      <c r="AD50" s="1624"/>
      <c r="AE50" s="1624"/>
      <c r="AF50" s="1624"/>
    </row>
    <row r="51" spans="1:32" ht="13.8" thickBot="1">
      <c r="A51" s="1618" t="s">
        <v>1653</v>
      </c>
      <c r="B51" s="1638">
        <v>269</v>
      </c>
      <c r="C51" s="1638">
        <v>221</v>
      </c>
      <c r="D51" s="1638">
        <f t="shared" si="165"/>
        <v>221</v>
      </c>
      <c r="E51" s="1638">
        <v>373</v>
      </c>
      <c r="F51" s="1639">
        <v>196</v>
      </c>
      <c r="G51" s="1893">
        <v>2010</v>
      </c>
      <c r="H51" s="1642">
        <v>4</v>
      </c>
      <c r="I51" s="1642">
        <v>5.72</v>
      </c>
      <c r="J51" s="1642">
        <v>6.57</v>
      </c>
      <c r="K51" s="1642">
        <v>5.72</v>
      </c>
      <c r="L51" s="1643">
        <v>2.72</v>
      </c>
      <c r="N51" s="1623">
        <f t="shared" si="167"/>
        <v>5.7200000000000001E-2</v>
      </c>
      <c r="O51" s="1624">
        <f t="shared" si="167"/>
        <v>6.5700000000000008E-2</v>
      </c>
      <c r="P51" s="1624">
        <f t="shared" si="167"/>
        <v>5.7200000000000001E-2</v>
      </c>
      <c r="Q51" s="1624">
        <f t="shared" si="167"/>
        <v>2.7200000000000002E-2</v>
      </c>
      <c r="R51" s="1625"/>
      <c r="S51" s="1633"/>
      <c r="T51" s="1628"/>
      <c r="U51" s="1628"/>
      <c r="V51" s="1628"/>
      <c r="AC51" s="1628"/>
      <c r="AD51" s="1628"/>
      <c r="AE51" s="1628"/>
      <c r="AF51" s="1628"/>
    </row>
    <row r="52" spans="1:32">
      <c r="A52" s="1618" t="s">
        <v>1654</v>
      </c>
      <c r="B52" s="1619">
        <f t="shared" ref="B52:C54" si="177">B51/(1+N51)</f>
        <v>254.44570563753314</v>
      </c>
      <c r="C52" s="1619">
        <f t="shared" si="177"/>
        <v>207.37543398705074</v>
      </c>
      <c r="D52" s="1619">
        <f t="shared" si="165"/>
        <v>207.37543398705074</v>
      </c>
      <c r="E52" s="1619">
        <f t="shared" ref="E52:F54" si="178">E51/(1+P51)</f>
        <v>352.81876655315932</v>
      </c>
      <c r="F52" s="1619">
        <f t="shared" si="178"/>
        <v>190.809968847352</v>
      </c>
      <c r="G52" s="1894">
        <v>2010</v>
      </c>
      <c r="H52" s="1647">
        <v>3</v>
      </c>
      <c r="I52" s="1647">
        <v>4.7300000000000004</v>
      </c>
      <c r="J52" s="1647">
        <v>3.9</v>
      </c>
      <c r="K52" s="1647">
        <v>5.03</v>
      </c>
      <c r="L52" s="1648">
        <v>4.21</v>
      </c>
      <c r="N52" s="1623">
        <f t="shared" si="167"/>
        <v>4.7300000000000002E-2</v>
      </c>
      <c r="O52" s="1624">
        <f t="shared" si="167"/>
        <v>3.9E-2</v>
      </c>
      <c r="P52" s="1624">
        <f t="shared" si="167"/>
        <v>5.0300000000000004E-2</v>
      </c>
      <c r="Q52" s="1624">
        <f t="shared" si="167"/>
        <v>4.2099999999999999E-2</v>
      </c>
      <c r="R52" s="1625"/>
      <c r="S52" s="1623"/>
      <c r="T52" s="1624"/>
      <c r="U52" s="1624"/>
      <c r="V52" s="1624"/>
    </row>
    <row r="53" spans="1:32">
      <c r="A53" s="1618" t="s">
        <v>1655</v>
      </c>
      <c r="B53" s="1619">
        <f t="shared" si="177"/>
        <v>242.95398227588385</v>
      </c>
      <c r="C53" s="1619">
        <f t="shared" si="177"/>
        <v>199.59137053614126</v>
      </c>
      <c r="D53" s="1619">
        <f t="shared" si="165"/>
        <v>199.59137053614126</v>
      </c>
      <c r="E53" s="1619">
        <f t="shared" si="178"/>
        <v>335.92189522342125</v>
      </c>
      <c r="F53" s="1619">
        <f t="shared" si="178"/>
        <v>183.10139991109489</v>
      </c>
      <c r="G53" s="1894">
        <v>2010</v>
      </c>
      <c r="H53" s="1634">
        <v>2</v>
      </c>
      <c r="I53" s="1634">
        <v>4.6900000000000004</v>
      </c>
      <c r="J53" s="1634">
        <v>3.55</v>
      </c>
      <c r="K53" s="1634">
        <v>5.07</v>
      </c>
      <c r="L53" s="1641">
        <v>4.2300000000000004</v>
      </c>
      <c r="N53" s="1623">
        <f t="shared" si="167"/>
        <v>4.6900000000000004E-2</v>
      </c>
      <c r="O53" s="1624">
        <f t="shared" si="167"/>
        <v>3.5499999999999997E-2</v>
      </c>
      <c r="P53" s="1624">
        <f t="shared" si="167"/>
        <v>5.0700000000000002E-2</v>
      </c>
      <c r="Q53" s="1624">
        <f t="shared" si="167"/>
        <v>4.2300000000000004E-2</v>
      </c>
      <c r="R53" s="1625"/>
      <c r="S53" s="1623"/>
      <c r="T53" s="1624"/>
      <c r="U53" s="1624"/>
      <c r="V53" s="1624"/>
    </row>
    <row r="54" spans="1:32" ht="13.8" thickBot="1">
      <c r="A54" s="1618" t="s">
        <v>1656</v>
      </c>
      <c r="B54" s="1619">
        <f t="shared" si="177"/>
        <v>232.06990378821649</v>
      </c>
      <c r="C54" s="1619">
        <f t="shared" si="177"/>
        <v>192.74878854286936</v>
      </c>
      <c r="D54" s="1619">
        <f t="shared" si="165"/>
        <v>192.74878854286936</v>
      </c>
      <c r="E54" s="1619">
        <f t="shared" si="178"/>
        <v>319.71247284992984</v>
      </c>
      <c r="F54" s="1619">
        <f t="shared" si="178"/>
        <v>175.67053622862409</v>
      </c>
      <c r="G54" s="1895">
        <v>2010</v>
      </c>
      <c r="H54" s="1621">
        <v>1</v>
      </c>
      <c r="I54" s="1621">
        <v>5.4</v>
      </c>
      <c r="J54" s="1621">
        <v>3.2</v>
      </c>
      <c r="K54" s="1621">
        <v>6.16</v>
      </c>
      <c r="L54" s="1640">
        <v>4.51</v>
      </c>
      <c r="N54" s="1623">
        <f t="shared" si="167"/>
        <v>5.4000000000000006E-2</v>
      </c>
      <c r="O54" s="1624">
        <f t="shared" si="167"/>
        <v>3.2000000000000001E-2</v>
      </c>
      <c r="P54" s="1624">
        <f t="shared" si="167"/>
        <v>6.1600000000000002E-2</v>
      </c>
      <c r="Q54" s="1624">
        <f t="shared" si="167"/>
        <v>4.5100000000000001E-2</v>
      </c>
      <c r="R54" s="1625"/>
      <c r="S54" s="1626">
        <f>B54/B55-1</f>
        <v>5.4863199037347599E-2</v>
      </c>
      <c r="T54" s="1627">
        <f>C54/C55-1</f>
        <v>3.0742184721226584E-2</v>
      </c>
      <c r="U54" s="1627">
        <f>E54/E55-1</f>
        <v>6.2167683886810154E-2</v>
      </c>
      <c r="V54" s="1627">
        <f>F54/F55-1</f>
        <v>4.5657953741810031E-2</v>
      </c>
      <c r="AC54" s="1624"/>
      <c r="AD54" s="1624"/>
      <c r="AE54" s="1624"/>
      <c r="AF54" s="1624"/>
    </row>
    <row r="55" spans="1:32" ht="13.8" thickBot="1">
      <c r="A55" s="1618" t="s">
        <v>1657</v>
      </c>
      <c r="B55" s="1638">
        <v>220</v>
      </c>
      <c r="C55" s="1638">
        <v>187</v>
      </c>
      <c r="D55" s="1638">
        <f t="shared" si="165"/>
        <v>187</v>
      </c>
      <c r="E55" s="1638">
        <v>301</v>
      </c>
      <c r="F55" s="1639">
        <v>168</v>
      </c>
      <c r="G55" s="1893">
        <v>2009</v>
      </c>
      <c r="H55" s="1642">
        <v>4</v>
      </c>
      <c r="I55" s="1642">
        <v>2.2999999999999998</v>
      </c>
      <c r="J55" s="1642">
        <v>1.04</v>
      </c>
      <c r="K55" s="1642">
        <v>2.84</v>
      </c>
      <c r="L55" s="1643">
        <v>0.67</v>
      </c>
      <c r="N55" s="1644">
        <f t="shared" si="167"/>
        <v>2.3E-2</v>
      </c>
      <c r="O55" s="1645">
        <f t="shared" si="167"/>
        <v>1.04E-2</v>
      </c>
      <c r="P55" s="1645">
        <f t="shared" si="167"/>
        <v>2.8399999999999998E-2</v>
      </c>
      <c r="Q55" s="1645">
        <f t="shared" si="167"/>
        <v>6.7000000000000002E-3</v>
      </c>
      <c r="R55" s="1625"/>
      <c r="S55" s="1633"/>
      <c r="T55" s="1628"/>
      <c r="U55" s="1628"/>
      <c r="V55" s="1628"/>
      <c r="AC55" s="1628"/>
      <c r="AD55" s="1628"/>
      <c r="AE55" s="1628"/>
      <c r="AF55" s="1628"/>
    </row>
    <row r="56" spans="1:32">
      <c r="A56" s="1618" t="s">
        <v>1658</v>
      </c>
      <c r="B56" s="1619">
        <f t="shared" ref="B56:C58" si="179">B55/(1+N55)</f>
        <v>215.05376344086022</v>
      </c>
      <c r="C56" s="1619">
        <f t="shared" si="179"/>
        <v>185.0752177355503</v>
      </c>
      <c r="D56" s="1619">
        <f t="shared" si="165"/>
        <v>185.0752177355503</v>
      </c>
      <c r="E56" s="1619">
        <f t="shared" ref="E56:F58" si="180">E55/(1+P55)</f>
        <v>292.68767016725008</v>
      </c>
      <c r="F56" s="1619">
        <f t="shared" si="180"/>
        <v>166.88189132810174</v>
      </c>
      <c r="G56" s="1894">
        <v>2009</v>
      </c>
      <c r="H56" s="1647">
        <v>3</v>
      </c>
      <c r="I56" s="1647">
        <v>2.1</v>
      </c>
      <c r="J56" s="1647">
        <v>1.86</v>
      </c>
      <c r="K56" s="1647">
        <v>2.29</v>
      </c>
      <c r="L56" s="1648">
        <v>0.85</v>
      </c>
      <c r="N56" s="1623">
        <f t="shared" si="167"/>
        <v>2.1000000000000001E-2</v>
      </c>
      <c r="O56" s="1649">
        <f t="shared" si="167"/>
        <v>1.8600000000000002E-2</v>
      </c>
      <c r="P56" s="1649">
        <f t="shared" si="167"/>
        <v>2.29E-2</v>
      </c>
      <c r="Q56" s="1649">
        <f t="shared" si="167"/>
        <v>8.5000000000000006E-3</v>
      </c>
      <c r="R56" s="1625"/>
      <c r="S56" s="1623"/>
      <c r="T56" s="1624"/>
      <c r="U56" s="1624"/>
      <c r="V56" s="1624"/>
    </row>
    <row r="57" spans="1:32">
      <c r="A57" s="1618" t="s">
        <v>1659</v>
      </c>
      <c r="B57" s="1619">
        <f t="shared" si="179"/>
        <v>210.630522469011</v>
      </c>
      <c r="C57" s="1619">
        <f t="shared" si="179"/>
        <v>181.69567812247232</v>
      </c>
      <c r="D57" s="1619">
        <f t="shared" si="165"/>
        <v>181.69567812247232</v>
      </c>
      <c r="E57" s="1767">
        <f t="shared" si="180"/>
        <v>286.13517466736738</v>
      </c>
      <c r="F57" s="1619">
        <f t="shared" si="180"/>
        <v>165.47535084591149</v>
      </c>
      <c r="G57" s="1894">
        <v>2009</v>
      </c>
      <c r="H57" s="1634">
        <v>2</v>
      </c>
      <c r="I57" s="1634">
        <v>0.86</v>
      </c>
      <c r="J57" s="1634">
        <v>-1.1299999999999999</v>
      </c>
      <c r="K57" s="1634">
        <v>1.79</v>
      </c>
      <c r="L57" s="1641">
        <v>-2.0699999999999998</v>
      </c>
      <c r="N57" s="1623">
        <f t="shared" si="167"/>
        <v>8.6E-3</v>
      </c>
      <c r="O57" s="1649">
        <f t="shared" si="167"/>
        <v>-1.1299999999999999E-2</v>
      </c>
      <c r="P57" s="1649">
        <f t="shared" si="167"/>
        <v>1.7899999999999999E-2</v>
      </c>
      <c r="Q57" s="1649">
        <f t="shared" si="167"/>
        <v>-2.07E-2</v>
      </c>
      <c r="R57" s="1625"/>
      <c r="S57" s="1623"/>
      <c r="T57" s="1624"/>
      <c r="U57" s="1624"/>
      <c r="V57" s="1624"/>
    </row>
    <row r="58" spans="1:32">
      <c r="A58" s="1618" t="s">
        <v>1660</v>
      </c>
      <c r="B58" s="1619">
        <f t="shared" si="179"/>
        <v>208.83454537875372</v>
      </c>
      <c r="C58" s="1619">
        <f t="shared" si="179"/>
        <v>183.77230517090351</v>
      </c>
      <c r="D58" s="1619">
        <f t="shared" si="165"/>
        <v>183.77230517090351</v>
      </c>
      <c r="E58" s="1619">
        <f t="shared" si="180"/>
        <v>281.10342338870947</v>
      </c>
      <c r="F58" s="1619">
        <f t="shared" si="180"/>
        <v>168.97309388942256</v>
      </c>
      <c r="G58" s="1895">
        <v>2009</v>
      </c>
      <c r="H58" s="1621">
        <v>1</v>
      </c>
      <c r="I58" s="1621">
        <v>-2.64</v>
      </c>
      <c r="J58" s="1621">
        <v>-2.5299999999999998</v>
      </c>
      <c r="K58" s="1621">
        <v>-3.02</v>
      </c>
      <c r="L58" s="1640">
        <v>1.52</v>
      </c>
      <c r="N58" s="1626">
        <f t="shared" si="167"/>
        <v>-2.64E-2</v>
      </c>
      <c r="O58" s="1627">
        <f t="shared" si="167"/>
        <v>-2.53E-2</v>
      </c>
      <c r="P58" s="1627">
        <f t="shared" si="167"/>
        <v>-3.0200000000000001E-2</v>
      </c>
      <c r="Q58" s="1627">
        <f t="shared" si="167"/>
        <v>1.52E-2</v>
      </c>
      <c r="R58" s="1625"/>
      <c r="S58" s="1626">
        <f>B58/B59-1</f>
        <v>-2.4137638417038754E-2</v>
      </c>
      <c r="T58" s="1627">
        <f>C58/C59-1</f>
        <v>-2.248773845264096E-2</v>
      </c>
      <c r="U58" s="1627">
        <f>E58/E59-1</f>
        <v>-2.7323794502735366E-2</v>
      </c>
      <c r="V58" s="1627">
        <f>F58/F59-1</f>
        <v>1.7910204153148035E-2</v>
      </c>
      <c r="AC58" s="1624"/>
      <c r="AD58" s="1624"/>
      <c r="AE58" s="1624"/>
      <c r="AF58" s="1624"/>
    </row>
    <row r="59" spans="1:32" ht="13.8" thickBot="1">
      <c r="A59" s="1618" t="s">
        <v>1661</v>
      </c>
      <c r="B59" s="1666">
        <v>214</v>
      </c>
      <c r="C59" s="1666">
        <v>188</v>
      </c>
      <c r="D59" s="1666">
        <f t="shared" si="165"/>
        <v>188</v>
      </c>
      <c r="E59" s="1666">
        <v>289</v>
      </c>
      <c r="F59" s="1667">
        <v>166</v>
      </c>
      <c r="G59" s="1893">
        <v>2008</v>
      </c>
      <c r="H59" s="1642">
        <v>4</v>
      </c>
      <c r="I59" s="1642">
        <v>1.73</v>
      </c>
      <c r="J59" s="1642">
        <v>0.03</v>
      </c>
      <c r="K59" s="1642">
        <v>2.59</v>
      </c>
      <c r="L59" s="1643">
        <v>-1.66</v>
      </c>
      <c r="N59" s="1623">
        <f t="shared" si="167"/>
        <v>1.7299999999999999E-2</v>
      </c>
      <c r="O59" s="1624">
        <f t="shared" si="167"/>
        <v>2.9999999999999997E-4</v>
      </c>
      <c r="P59" s="1624">
        <f t="shared" si="167"/>
        <v>2.5899999999999999E-2</v>
      </c>
      <c r="Q59" s="1624">
        <f t="shared" si="167"/>
        <v>-1.66E-2</v>
      </c>
      <c r="R59" s="1625"/>
      <c r="S59" s="1633"/>
      <c r="T59" s="1628"/>
      <c r="U59" s="1628"/>
      <c r="V59" s="1628"/>
      <c r="AC59" s="1628"/>
      <c r="AD59" s="1628"/>
      <c r="AE59" s="1628"/>
      <c r="AF59" s="1628"/>
    </row>
    <row r="60" spans="1:32">
      <c r="A60" s="1618" t="s">
        <v>1662</v>
      </c>
      <c r="B60" s="1619">
        <f t="shared" ref="B60:C62" si="181">B59/(1+N59)</f>
        <v>210.36075887152265</v>
      </c>
      <c r="C60" s="1619">
        <f t="shared" si="181"/>
        <v>187.94361691492554</v>
      </c>
      <c r="D60" s="1619">
        <f t="shared" si="165"/>
        <v>187.94361691492554</v>
      </c>
      <c r="E60" s="1619">
        <f t="shared" ref="E60:F62" si="182">E59/(1+P59)</f>
        <v>281.70386977288234</v>
      </c>
      <c r="F60" s="1619">
        <f t="shared" si="182"/>
        <v>168.80211511083994</v>
      </c>
      <c r="G60" s="1894">
        <v>2008</v>
      </c>
      <c r="H60" s="1647">
        <v>3</v>
      </c>
      <c r="I60" s="1647">
        <v>1.96</v>
      </c>
      <c r="J60" s="1647">
        <v>2.36</v>
      </c>
      <c r="K60" s="1647">
        <v>1.82</v>
      </c>
      <c r="L60" s="1648">
        <v>2.2200000000000002</v>
      </c>
      <c r="N60" s="1623">
        <f t="shared" si="167"/>
        <v>1.9599999999999999E-2</v>
      </c>
      <c r="O60" s="1624">
        <f t="shared" si="167"/>
        <v>2.3599999999999999E-2</v>
      </c>
      <c r="P60" s="1624">
        <f t="shared" si="167"/>
        <v>1.8200000000000001E-2</v>
      </c>
      <c r="Q60" s="1624">
        <f t="shared" si="167"/>
        <v>2.2200000000000001E-2</v>
      </c>
      <c r="R60" s="1625"/>
      <c r="S60" s="1623"/>
      <c r="T60" s="1624"/>
      <c r="U60" s="1624"/>
      <c r="V60" s="1624"/>
    </row>
    <row r="61" spans="1:32">
      <c r="A61" s="1618" t="s">
        <v>1663</v>
      </c>
      <c r="B61" s="1619">
        <f t="shared" si="181"/>
        <v>206.31694671589116</v>
      </c>
      <c r="C61" s="1619">
        <f t="shared" si="181"/>
        <v>183.61041121036101</v>
      </c>
      <c r="D61" s="1619">
        <f t="shared" si="165"/>
        <v>183.61041121036101</v>
      </c>
      <c r="E61" s="1619">
        <f t="shared" si="182"/>
        <v>276.66850301795557</v>
      </c>
      <c r="F61" s="1619">
        <f t="shared" si="182"/>
        <v>165.1360938278614</v>
      </c>
      <c r="G61" s="1894">
        <v>2008</v>
      </c>
      <c r="H61" s="1634">
        <v>2</v>
      </c>
      <c r="I61" s="1634">
        <v>4.93</v>
      </c>
      <c r="J61" s="1634">
        <v>7.38</v>
      </c>
      <c r="K61" s="1634">
        <v>3.98</v>
      </c>
      <c r="L61" s="1641">
        <v>6.86</v>
      </c>
      <c r="N61" s="1623">
        <f t="shared" si="167"/>
        <v>4.9299999999999997E-2</v>
      </c>
      <c r="O61" s="1624">
        <f t="shared" si="167"/>
        <v>7.3800000000000004E-2</v>
      </c>
      <c r="P61" s="1624">
        <f t="shared" si="167"/>
        <v>3.9800000000000002E-2</v>
      </c>
      <c r="Q61" s="1624">
        <f t="shared" si="167"/>
        <v>6.8600000000000008E-2</v>
      </c>
      <c r="R61" s="1625"/>
      <c r="S61" s="1623"/>
      <c r="T61" s="1624"/>
      <c r="U61" s="1624"/>
      <c r="V61" s="1624"/>
    </row>
    <row r="62" spans="1:32" s="1672" customFormat="1" ht="13.8" thickBot="1">
      <c r="A62" s="1618" t="s">
        <v>1664</v>
      </c>
      <c r="B62" s="1669">
        <f t="shared" si="181"/>
        <v>196.62341248059772</v>
      </c>
      <c r="C62" s="1669">
        <f t="shared" si="181"/>
        <v>170.99125648199012</v>
      </c>
      <c r="D62" s="1669">
        <f t="shared" si="165"/>
        <v>170.99125648199012</v>
      </c>
      <c r="E62" s="1669">
        <f t="shared" si="182"/>
        <v>266.07857570490052</v>
      </c>
      <c r="F62" s="1669">
        <f t="shared" si="182"/>
        <v>154.53499328828505</v>
      </c>
      <c r="G62" s="1895">
        <v>2008</v>
      </c>
      <c r="H62" s="1670">
        <v>1</v>
      </c>
      <c r="I62" s="1670">
        <v>4.1399999999999997</v>
      </c>
      <c r="J62" s="1670">
        <v>3.45</v>
      </c>
      <c r="K62" s="1670">
        <v>4.95</v>
      </c>
      <c r="L62" s="1671">
        <v>4.82</v>
      </c>
      <c r="N62" s="1673">
        <f t="shared" si="167"/>
        <v>4.1399999999999999E-2</v>
      </c>
      <c r="O62" s="1674">
        <f t="shared" si="167"/>
        <v>3.4500000000000003E-2</v>
      </c>
      <c r="P62" s="1674">
        <f t="shared" si="167"/>
        <v>4.9500000000000002E-2</v>
      </c>
      <c r="Q62" s="1674">
        <f t="shared" si="167"/>
        <v>4.82E-2</v>
      </c>
      <c r="R62" s="1675"/>
      <c r="S62" s="1673">
        <f>B62/B63-1</f>
        <v>4.5869215322328349E-2</v>
      </c>
      <c r="T62" s="1674">
        <f>C62/C63-1</f>
        <v>3.6310645345394743E-2</v>
      </c>
      <c r="U62" s="1674">
        <f>E62/E63-1</f>
        <v>4.7553447657088688E-2</v>
      </c>
      <c r="V62" s="1674">
        <f>F62/F63-1</f>
        <v>4.4155360055980086E-2</v>
      </c>
      <c r="AC62" s="1674"/>
      <c r="AD62" s="1674"/>
      <c r="AE62" s="1674"/>
      <c r="AF62" s="1674"/>
    </row>
    <row r="63" spans="1:32" ht="13.8" thickBot="1">
      <c r="A63" s="1618" t="s">
        <v>1665</v>
      </c>
      <c r="B63" s="1638">
        <v>188</v>
      </c>
      <c r="C63" s="1638">
        <v>165</v>
      </c>
      <c r="D63" s="1638">
        <f t="shared" si="165"/>
        <v>165</v>
      </c>
      <c r="E63" s="1638">
        <v>254</v>
      </c>
      <c r="F63" s="1639">
        <v>148</v>
      </c>
      <c r="G63" s="1893">
        <v>2007</v>
      </c>
      <c r="H63" s="1676">
        <v>4</v>
      </c>
      <c r="I63" s="1676">
        <v>5.51</v>
      </c>
      <c r="J63" s="1676">
        <v>4.8899999999999997</v>
      </c>
      <c r="K63" s="1676">
        <v>6.43</v>
      </c>
      <c r="L63" s="1677">
        <v>5.36</v>
      </c>
      <c r="N63" s="1678">
        <f t="shared" ref="N63:O66" si="183">B63/B64-1</f>
        <v>4.1339718365245526E-2</v>
      </c>
      <c r="O63" s="1679">
        <f t="shared" si="183"/>
        <v>4.0324492593776018E-2</v>
      </c>
      <c r="P63" s="1679">
        <f t="shared" ref="P63:Q66" si="184">E63/E64-1</f>
        <v>6.1625555347990968E-2</v>
      </c>
      <c r="Q63" s="1679">
        <f t="shared" si="184"/>
        <v>4.6757569250590603E-2</v>
      </c>
      <c r="R63" s="1625"/>
      <c r="S63" s="1633"/>
      <c r="T63" s="1628"/>
      <c r="U63" s="1628"/>
      <c r="V63" s="1628"/>
      <c r="AC63" s="1628"/>
      <c r="AD63" s="1628"/>
      <c r="AE63" s="1628"/>
      <c r="AF63" s="1628"/>
    </row>
    <row r="64" spans="1:32">
      <c r="A64" s="1618" t="s">
        <v>1666</v>
      </c>
      <c r="B64" s="1619">
        <f t="shared" ref="B64:C66" si="185">B65+(B$63-B$67)*I64/SUM(I$63:I$66)</f>
        <v>180.5366651097618</v>
      </c>
      <c r="C64" s="1619">
        <f t="shared" si="185"/>
        <v>158.60435967302453</v>
      </c>
      <c r="D64" s="1619">
        <f t="shared" si="165"/>
        <v>158.60435967302453</v>
      </c>
      <c r="E64" s="1619">
        <f t="shared" ref="E64:F66" si="186">E65+(E$63-E$67)*K64/SUM(K$63:K$66)</f>
        <v>239.25573260785075</v>
      </c>
      <c r="F64" s="1619">
        <f t="shared" si="186"/>
        <v>141.38899430740037</v>
      </c>
      <c r="G64" s="1894">
        <v>2007</v>
      </c>
      <c r="H64" s="1647">
        <v>3</v>
      </c>
      <c r="I64" s="1647">
        <v>8.65</v>
      </c>
      <c r="J64" s="1647">
        <v>8.06</v>
      </c>
      <c r="K64" s="1647">
        <v>9.94</v>
      </c>
      <c r="L64" s="1648">
        <v>5.8</v>
      </c>
      <c r="N64" s="1678">
        <f t="shared" si="183"/>
        <v>6.940217571740015E-2</v>
      </c>
      <c r="O64" s="1679">
        <f t="shared" si="183"/>
        <v>7.1197482471153428E-2</v>
      </c>
      <c r="P64" s="1679">
        <f t="shared" si="184"/>
        <v>0.10529679922579582</v>
      </c>
      <c r="Q64" s="1679">
        <f t="shared" si="184"/>
        <v>5.3292245059512133E-2</v>
      </c>
      <c r="R64" s="1625"/>
      <c r="S64" s="1623"/>
      <c r="T64" s="1624"/>
      <c r="U64" s="1624"/>
      <c r="V64" s="1624"/>
      <c r="AC64" s="1680"/>
      <c r="AD64" s="1680"/>
      <c r="AE64" s="1680"/>
      <c r="AF64" s="1680"/>
    </row>
    <row r="65" spans="1:32">
      <c r="A65" s="1618" t="s">
        <v>1667</v>
      </c>
      <c r="B65" s="1619">
        <f t="shared" si="185"/>
        <v>168.82017748715555</v>
      </c>
      <c r="C65" s="1619">
        <f t="shared" si="185"/>
        <v>148.06267029972753</v>
      </c>
      <c r="D65" s="1619">
        <f t="shared" si="165"/>
        <v>148.06267029972753</v>
      </c>
      <c r="E65" s="1619">
        <f t="shared" si="186"/>
        <v>216.46288379323747</v>
      </c>
      <c r="F65" s="1619">
        <f t="shared" si="186"/>
        <v>134.23529411764704</v>
      </c>
      <c r="G65" s="1894">
        <v>2007</v>
      </c>
      <c r="H65" s="1634">
        <v>2</v>
      </c>
      <c r="I65" s="1634">
        <v>3.67</v>
      </c>
      <c r="J65" s="1634">
        <v>2.3199999999999998</v>
      </c>
      <c r="K65" s="1634">
        <v>5.0199999999999996</v>
      </c>
      <c r="L65" s="1641">
        <v>6.71</v>
      </c>
      <c r="N65" s="1678">
        <f t="shared" si="183"/>
        <v>3.0339138143848032E-2</v>
      </c>
      <c r="O65" s="1679">
        <f t="shared" si="183"/>
        <v>2.0922341588790472E-2</v>
      </c>
      <c r="P65" s="1679">
        <f t="shared" si="184"/>
        <v>5.6164796592717003E-2</v>
      </c>
      <c r="Q65" s="1679">
        <f t="shared" si="184"/>
        <v>6.5704536723887319E-2</v>
      </c>
      <c r="R65" s="1625"/>
      <c r="S65" s="1623"/>
      <c r="T65" s="1624"/>
      <c r="U65" s="1624"/>
      <c r="V65" s="1624"/>
      <c r="AC65" s="1680"/>
      <c r="AD65" s="1680"/>
      <c r="AE65" s="1680"/>
      <c r="AF65" s="1680"/>
    </row>
    <row r="66" spans="1:32">
      <c r="A66" s="1618" t="s">
        <v>1668</v>
      </c>
      <c r="B66" s="1619">
        <f t="shared" si="185"/>
        <v>163.84913591779542</v>
      </c>
      <c r="C66" s="1619">
        <f t="shared" si="185"/>
        <v>145.0283378746594</v>
      </c>
      <c r="D66" s="1619">
        <f t="shared" si="165"/>
        <v>145.0283378746594</v>
      </c>
      <c r="E66" s="1619">
        <f t="shared" si="186"/>
        <v>204.95180722891567</v>
      </c>
      <c r="F66" s="1619">
        <f t="shared" si="186"/>
        <v>125.95920303605313</v>
      </c>
      <c r="G66" s="1895">
        <v>2007</v>
      </c>
      <c r="H66" s="1621">
        <v>1</v>
      </c>
      <c r="I66" s="1621">
        <v>3.58</v>
      </c>
      <c r="J66" s="1621">
        <v>3.08</v>
      </c>
      <c r="K66" s="1621">
        <v>4.34</v>
      </c>
      <c r="L66" s="1640">
        <v>3.21</v>
      </c>
      <c r="N66" s="1681">
        <f t="shared" si="183"/>
        <v>3.0497710174814063E-2</v>
      </c>
      <c r="O66" s="1682">
        <f t="shared" si="183"/>
        <v>2.8569772160704998E-2</v>
      </c>
      <c r="P66" s="1682">
        <f t="shared" si="184"/>
        <v>5.1034908866234296E-2</v>
      </c>
      <c r="Q66" s="1682">
        <f t="shared" si="184"/>
        <v>3.245248390207478E-2</v>
      </c>
      <c r="R66" s="1625"/>
      <c r="S66" s="1626">
        <f>B66/B67-1</f>
        <v>3.0497710174814063E-2</v>
      </c>
      <c r="T66" s="1627">
        <f>C66/C67-1</f>
        <v>2.8569772160704998E-2</v>
      </c>
      <c r="U66" s="1627">
        <f>E66/E67-1</f>
        <v>5.1034908866234296E-2</v>
      </c>
      <c r="V66" s="1627">
        <f>F66/F67-1</f>
        <v>3.245248390207478E-2</v>
      </c>
      <c r="AC66" s="1680"/>
      <c r="AD66" s="1680"/>
      <c r="AE66" s="1680"/>
      <c r="AF66" s="1680"/>
    </row>
    <row r="67" spans="1:32" ht="13.8" thickBot="1">
      <c r="A67" s="1618" t="s">
        <v>1669</v>
      </c>
      <c r="B67" s="1650">
        <v>159</v>
      </c>
      <c r="C67" s="1650">
        <v>141</v>
      </c>
      <c r="D67" s="1650">
        <f t="shared" si="165"/>
        <v>141</v>
      </c>
      <c r="E67" s="1650">
        <v>195</v>
      </c>
      <c r="F67" s="1651">
        <v>122</v>
      </c>
      <c r="G67" s="1893">
        <v>2006</v>
      </c>
      <c r="H67" s="1642">
        <v>4</v>
      </c>
      <c r="I67" s="1642">
        <v>3.79</v>
      </c>
      <c r="J67" s="1642">
        <v>2.21</v>
      </c>
      <c r="K67" s="1642">
        <v>5.65</v>
      </c>
      <c r="L67" s="1643">
        <v>5.41</v>
      </c>
      <c r="N67" s="1678">
        <f t="shared" ref="N67:O70" si="187">I67/SUM(I$67:I$70)*(B$67/B$71-1)</f>
        <v>7.245466462748526E-2</v>
      </c>
      <c r="O67" s="1679">
        <f t="shared" si="187"/>
        <v>2.3237230038062766E-2</v>
      </c>
      <c r="P67" s="1679">
        <f t="shared" ref="P67:Q70" si="188">K67/SUM(K$67:K$70)*(E$67/E$71-1)</f>
        <v>0.16146893866323722</v>
      </c>
      <c r="Q67" s="1679">
        <f t="shared" si="188"/>
        <v>5.0755230321793784E-2</v>
      </c>
      <c r="R67" s="1625"/>
      <c r="S67" s="1633"/>
      <c r="T67" s="1628"/>
      <c r="U67" s="1628"/>
      <c r="V67" s="1628"/>
      <c r="AC67" s="1680"/>
      <c r="AD67" s="1680"/>
      <c r="AE67" s="1680"/>
      <c r="AF67" s="1680"/>
    </row>
    <row r="68" spans="1:32">
      <c r="A68" s="1618" t="s">
        <v>1670</v>
      </c>
      <c r="B68" s="1619">
        <f t="shared" ref="B68:C70" si="189">B69+(B$67-B$71)*I68/SUM(I$67:I$70)</f>
        <v>149.00125628140702</v>
      </c>
      <c r="C68" s="1619">
        <f t="shared" si="189"/>
        <v>137.95592286501378</v>
      </c>
      <c r="D68" s="1619">
        <f t="shared" si="165"/>
        <v>137.95592286501378</v>
      </c>
      <c r="E68" s="1619">
        <f t="shared" ref="E68:F70" si="190">E69+(E$67-E$71)*K68/SUM(K$67:K$70)</f>
        <v>169.97231450719823</v>
      </c>
      <c r="F68" s="1619">
        <f t="shared" si="190"/>
        <v>116.21390374331551</v>
      </c>
      <c r="G68" s="1894">
        <v>2006</v>
      </c>
      <c r="H68" s="1647">
        <v>3</v>
      </c>
      <c r="I68" s="1647">
        <v>0.92</v>
      </c>
      <c r="J68" s="1647">
        <v>1.08</v>
      </c>
      <c r="K68" s="1647">
        <v>0.73</v>
      </c>
      <c r="L68" s="1648">
        <v>1.08</v>
      </c>
      <c r="N68" s="1678">
        <f t="shared" si="187"/>
        <v>1.7587939698492462E-2</v>
      </c>
      <c r="O68" s="1679">
        <f t="shared" si="187"/>
        <v>1.1355750425840628E-2</v>
      </c>
      <c r="P68" s="1679">
        <f t="shared" si="188"/>
        <v>2.0862358446754544E-2</v>
      </c>
      <c r="Q68" s="1679">
        <f t="shared" si="188"/>
        <v>1.0132282578103011E-2</v>
      </c>
      <c r="R68" s="1625"/>
      <c r="S68" s="1623"/>
      <c r="T68" s="1624"/>
      <c r="U68" s="1624"/>
      <c r="V68" s="1624"/>
      <c r="AC68" s="1680"/>
      <c r="AD68" s="1680"/>
      <c r="AE68" s="1680"/>
      <c r="AF68" s="1680"/>
    </row>
    <row r="69" spans="1:32">
      <c r="A69" s="1618" t="s">
        <v>1671</v>
      </c>
      <c r="B69" s="1619">
        <f t="shared" si="189"/>
        <v>146.57412060301507</v>
      </c>
      <c r="C69" s="1619">
        <f t="shared" si="189"/>
        <v>136.46831955922866</v>
      </c>
      <c r="D69" s="1619">
        <f t="shared" si="165"/>
        <v>136.46831955922866</v>
      </c>
      <c r="E69" s="1619">
        <f t="shared" si="190"/>
        <v>166.73864894795128</v>
      </c>
      <c r="F69" s="1619">
        <f t="shared" si="190"/>
        <v>115.05882352941177</v>
      </c>
      <c r="G69" s="1894">
        <v>2006</v>
      </c>
      <c r="H69" s="1634">
        <v>2</v>
      </c>
      <c r="I69" s="1634">
        <v>0.96</v>
      </c>
      <c r="J69" s="1634">
        <v>0.25</v>
      </c>
      <c r="K69" s="1634">
        <v>1.9</v>
      </c>
      <c r="L69" s="1641">
        <v>0.95</v>
      </c>
      <c r="N69" s="1678">
        <f t="shared" si="187"/>
        <v>1.8352632728861701E-2</v>
      </c>
      <c r="O69" s="1679">
        <f t="shared" si="187"/>
        <v>2.6286459319075526E-3</v>
      </c>
      <c r="P69" s="1679">
        <f t="shared" si="188"/>
        <v>5.4299289107991269E-2</v>
      </c>
      <c r="Q69" s="1679">
        <f t="shared" si="188"/>
        <v>8.9126559714794995E-3</v>
      </c>
      <c r="R69" s="1625"/>
      <c r="S69" s="1623"/>
      <c r="T69" s="1624"/>
      <c r="U69" s="1624"/>
      <c r="V69" s="1624"/>
      <c r="AC69" s="1680"/>
      <c r="AD69" s="1680"/>
      <c r="AE69" s="1680"/>
      <c r="AF69" s="1680"/>
    </row>
    <row r="70" spans="1:32">
      <c r="A70" s="1618" t="s">
        <v>1672</v>
      </c>
      <c r="B70" s="1619">
        <f t="shared" si="189"/>
        <v>144.04145728643215</v>
      </c>
      <c r="C70" s="1619">
        <f t="shared" si="189"/>
        <v>136.12396694214877</v>
      </c>
      <c r="D70" s="1619">
        <f t="shared" si="165"/>
        <v>136.12396694214877</v>
      </c>
      <c r="E70" s="1619">
        <f t="shared" si="190"/>
        <v>158.32225913621264</v>
      </c>
      <c r="F70" s="1619">
        <f t="shared" si="190"/>
        <v>114.04278074866311</v>
      </c>
      <c r="G70" s="1895">
        <v>2006</v>
      </c>
      <c r="H70" s="1621">
        <v>1</v>
      </c>
      <c r="I70" s="1621">
        <v>2.29</v>
      </c>
      <c r="J70" s="1621">
        <v>3.72</v>
      </c>
      <c r="K70" s="1621">
        <v>0.75</v>
      </c>
      <c r="L70" s="1640">
        <v>0.04</v>
      </c>
      <c r="N70" s="1681">
        <f t="shared" si="187"/>
        <v>4.3778675988638847E-2</v>
      </c>
      <c r="O70" s="1682">
        <f t="shared" si="187"/>
        <v>3.9114251466784385E-2</v>
      </c>
      <c r="P70" s="1682">
        <f t="shared" si="188"/>
        <v>2.1433929911049188E-2</v>
      </c>
      <c r="Q70" s="1682">
        <f t="shared" si="188"/>
        <v>3.7526972511492629E-4</v>
      </c>
      <c r="R70" s="1625"/>
      <c r="S70" s="1626">
        <f>B70/B71-1</f>
        <v>4.3778675988638716E-2</v>
      </c>
      <c r="T70" s="1627">
        <f>C70/C71-1</f>
        <v>3.91142514667846E-2</v>
      </c>
      <c r="U70" s="1627">
        <f>E70/E71-1</f>
        <v>2.143392991104931E-2</v>
      </c>
      <c r="V70" s="1627">
        <f>F70/F71-1</f>
        <v>3.7526972511492396E-4</v>
      </c>
      <c r="AC70" s="1680"/>
      <c r="AD70" s="1680"/>
      <c r="AE70" s="1680"/>
      <c r="AF70" s="1680"/>
    </row>
    <row r="71" spans="1:32" ht="13.8" thickBot="1">
      <c r="A71" s="1618" t="s">
        <v>1673</v>
      </c>
      <c r="B71" s="1650">
        <v>138</v>
      </c>
      <c r="C71" s="1650">
        <v>131</v>
      </c>
      <c r="D71" s="1650">
        <f t="shared" si="165"/>
        <v>131</v>
      </c>
      <c r="E71" s="1650">
        <v>155</v>
      </c>
      <c r="F71" s="1651">
        <v>114</v>
      </c>
      <c r="G71" s="1893">
        <v>2005</v>
      </c>
      <c r="H71" s="1642">
        <v>4</v>
      </c>
      <c r="I71" s="1642">
        <v>3.29</v>
      </c>
      <c r="J71" s="1642">
        <v>1.44</v>
      </c>
      <c r="K71" s="1642">
        <v>0.66</v>
      </c>
      <c r="L71" s="1643">
        <v>7.78</v>
      </c>
      <c r="N71" s="1678">
        <f t="shared" ref="N71:O74" si="191">I71/SUM(I$71:I$74)*(B$71/B$75-1)</f>
        <v>9.9404603216919935E-2</v>
      </c>
      <c r="O71" s="1679">
        <f t="shared" si="191"/>
        <v>4.7636550760861554E-2</v>
      </c>
      <c r="P71" s="1679">
        <f t="shared" ref="P71:Q74" si="192">K71/SUM(K$71:K$74)*(E$71/E$75-1)</f>
        <v>8.3756345177664976E-2</v>
      </c>
      <c r="Q71" s="1679">
        <f t="shared" si="192"/>
        <v>5.2148766661559584E-2</v>
      </c>
      <c r="R71" s="1625"/>
      <c r="S71" s="1633"/>
      <c r="T71" s="1628"/>
      <c r="U71" s="1628"/>
      <c r="V71" s="1628"/>
      <c r="AC71" s="1680"/>
      <c r="AD71" s="1680"/>
      <c r="AE71" s="1680"/>
      <c r="AF71" s="1680"/>
    </row>
    <row r="72" spans="1:32">
      <c r="A72" s="1618" t="s">
        <v>1674</v>
      </c>
      <c r="B72" s="1619">
        <f t="shared" ref="B72:C74" si="193">B73+(B$71-B$75)*I72/SUM(I$71:I$74)</f>
        <v>125.9720430107527</v>
      </c>
      <c r="C72" s="1619">
        <f t="shared" si="193"/>
        <v>125.1883408071749</v>
      </c>
      <c r="D72" s="1619">
        <f t="shared" si="165"/>
        <v>125.1883408071749</v>
      </c>
      <c r="E72" s="1619">
        <f t="shared" ref="E72:F74" si="194">E73+(E$71-E$75)*K72/SUM(K$71:K$74)</f>
        <v>144.61421319796952</v>
      </c>
      <c r="F72" s="1619">
        <f t="shared" si="194"/>
        <v>108.42008196721311</v>
      </c>
      <c r="G72" s="1894">
        <v>2005</v>
      </c>
      <c r="H72" s="1647">
        <v>3</v>
      </c>
      <c r="I72" s="1647">
        <v>0.46</v>
      </c>
      <c r="J72" s="1647">
        <v>0.32</v>
      </c>
      <c r="K72" s="1647">
        <v>0.42</v>
      </c>
      <c r="L72" s="1648">
        <v>0.64</v>
      </c>
      <c r="N72" s="1678">
        <f t="shared" si="191"/>
        <v>1.3898515951301874E-2</v>
      </c>
      <c r="O72" s="1679">
        <f t="shared" si="191"/>
        <v>1.0585900169080346E-2</v>
      </c>
      <c r="P72" s="1679">
        <f t="shared" si="192"/>
        <v>5.3299492385786795E-2</v>
      </c>
      <c r="Q72" s="1679">
        <f t="shared" si="192"/>
        <v>4.2898728359123568E-3</v>
      </c>
      <c r="R72" s="1625"/>
      <c r="S72" s="1623"/>
      <c r="T72" s="1624"/>
      <c r="U72" s="1624"/>
      <c r="V72" s="1624"/>
      <c r="AC72" s="1680"/>
      <c r="AD72" s="1680"/>
      <c r="AE72" s="1680"/>
      <c r="AF72" s="1680"/>
    </row>
    <row r="73" spans="1:32">
      <c r="A73" s="1618" t="s">
        <v>1675</v>
      </c>
      <c r="B73" s="1619">
        <f t="shared" si="193"/>
        <v>124.29032258064517</v>
      </c>
      <c r="C73" s="1619">
        <f t="shared" si="193"/>
        <v>123.8968609865471</v>
      </c>
      <c r="D73" s="1619">
        <f t="shared" si="165"/>
        <v>123.8968609865471</v>
      </c>
      <c r="E73" s="1619">
        <f t="shared" si="194"/>
        <v>138.00507614213197</v>
      </c>
      <c r="F73" s="1619">
        <f t="shared" si="194"/>
        <v>107.96106557377048</v>
      </c>
      <c r="G73" s="1894">
        <v>2005</v>
      </c>
      <c r="H73" s="1634">
        <v>2</v>
      </c>
      <c r="I73" s="1634">
        <v>0.47</v>
      </c>
      <c r="J73" s="1634">
        <v>0.1</v>
      </c>
      <c r="K73" s="1634">
        <v>0.52</v>
      </c>
      <c r="L73" s="1641">
        <v>0.79</v>
      </c>
      <c r="N73" s="1678">
        <f t="shared" si="191"/>
        <v>1.420065760241713E-2</v>
      </c>
      <c r="O73" s="1679">
        <f t="shared" si="191"/>
        <v>3.3080938028376083E-3</v>
      </c>
      <c r="P73" s="1679">
        <f t="shared" si="192"/>
        <v>6.598984771573603E-2</v>
      </c>
      <c r="Q73" s="1679">
        <f t="shared" si="192"/>
        <v>5.2953117818293153E-3</v>
      </c>
      <c r="R73" s="1625"/>
      <c r="S73" s="1623"/>
      <c r="T73" s="1624"/>
      <c r="U73" s="1624"/>
      <c r="V73" s="1624"/>
      <c r="AC73" s="1680"/>
      <c r="AD73" s="1680"/>
      <c r="AE73" s="1680"/>
      <c r="AF73" s="1680"/>
    </row>
    <row r="74" spans="1:32">
      <c r="A74" s="1618" t="s">
        <v>1676</v>
      </c>
      <c r="B74" s="1619">
        <f t="shared" si="193"/>
        <v>122.57204301075269</v>
      </c>
      <c r="C74" s="1619">
        <f t="shared" si="193"/>
        <v>123.4932735426009</v>
      </c>
      <c r="D74" s="1619">
        <f t="shared" si="165"/>
        <v>123.4932735426009</v>
      </c>
      <c r="E74" s="1619">
        <f t="shared" si="194"/>
        <v>129.82233502538071</v>
      </c>
      <c r="F74" s="1619">
        <f t="shared" si="194"/>
        <v>107.39446721311475</v>
      </c>
      <c r="G74" s="1895">
        <v>2005</v>
      </c>
      <c r="H74" s="1621">
        <v>1</v>
      </c>
      <c r="I74" s="1621">
        <v>0.43</v>
      </c>
      <c r="J74" s="1621">
        <v>0.37</v>
      </c>
      <c r="K74" s="1621">
        <v>0.37</v>
      </c>
      <c r="L74" s="1640">
        <v>0.55000000000000004</v>
      </c>
      <c r="N74" s="1681">
        <f t="shared" si="191"/>
        <v>1.2992090997956099E-2</v>
      </c>
      <c r="O74" s="1682">
        <f t="shared" si="191"/>
        <v>1.2239947070499151E-2</v>
      </c>
      <c r="P74" s="1682">
        <f t="shared" si="192"/>
        <v>4.6954314720812178E-2</v>
      </c>
      <c r="Q74" s="1682">
        <f t="shared" si="192"/>
        <v>3.6866094683621815E-3</v>
      </c>
      <c r="R74" s="1625"/>
      <c r="S74" s="1626">
        <f>B74/B75-1</f>
        <v>1.2992090997956174E-2</v>
      </c>
      <c r="T74" s="1627">
        <f>C74/C75-1</f>
        <v>1.2239947070499246E-2</v>
      </c>
      <c r="U74" s="1627">
        <f>E74/E75-1</f>
        <v>4.695431472081224E-2</v>
      </c>
      <c r="V74" s="1627">
        <f>F74/F75-1</f>
        <v>3.6866094683620787E-3</v>
      </c>
      <c r="AC74" s="1680"/>
      <c r="AD74" s="1680"/>
      <c r="AE74" s="1680"/>
      <c r="AF74" s="1680"/>
    </row>
    <row r="75" spans="1:32" ht="13.8" thickBot="1">
      <c r="A75" s="1618" t="s">
        <v>1677</v>
      </c>
      <c r="B75" s="1666">
        <v>121</v>
      </c>
      <c r="C75" s="1666">
        <v>122</v>
      </c>
      <c r="D75" s="1666">
        <f t="shared" si="165"/>
        <v>122</v>
      </c>
      <c r="E75" s="1666">
        <v>124</v>
      </c>
      <c r="F75" s="1667">
        <v>107</v>
      </c>
      <c r="G75" s="1893">
        <v>2004</v>
      </c>
      <c r="H75" s="1642">
        <v>4</v>
      </c>
      <c r="I75" s="1642">
        <v>0.33</v>
      </c>
      <c r="J75" s="1642">
        <v>0.5</v>
      </c>
      <c r="K75" s="1642">
        <v>0.5</v>
      </c>
      <c r="L75" s="1643">
        <v>0</v>
      </c>
      <c r="N75" s="1678">
        <f t="shared" ref="N75:O78" si="195">I75/SUM(I$75:I$78)*(B$75/B$79-1)</f>
        <v>1.3391770148526898E-2</v>
      </c>
      <c r="O75" s="1679">
        <f t="shared" si="195"/>
        <v>1.063264221158958E-2</v>
      </c>
      <c r="P75" s="1679">
        <f t="shared" ref="P75:Q78" si="196">K75/SUM(K$75:K$78)*(E$75/E$79-1)</f>
        <v>2.2244466688911134E-2</v>
      </c>
      <c r="Q75" s="1679">
        <f t="shared" si="196"/>
        <v>0</v>
      </c>
      <c r="R75" s="1625"/>
      <c r="S75" s="1633"/>
      <c r="T75" s="1628"/>
      <c r="U75" s="1628"/>
      <c r="V75" s="1628"/>
      <c r="AC75" s="1680"/>
      <c r="AD75" s="1680"/>
      <c r="AE75" s="1680"/>
      <c r="AF75" s="1680"/>
    </row>
    <row r="76" spans="1:32">
      <c r="A76" s="1618" t="s">
        <v>1678</v>
      </c>
      <c r="B76" s="1619">
        <f t="shared" ref="B76:C78" si="197">B77+(B$75-B$79)*I76/SUM(I$75:I$78)</f>
        <v>119.51351351351352</v>
      </c>
      <c r="C76" s="1619">
        <f t="shared" si="197"/>
        <v>120.7878787878788</v>
      </c>
      <c r="D76" s="1619">
        <f t="shared" si="165"/>
        <v>120.7878787878788</v>
      </c>
      <c r="E76" s="1619">
        <f t="shared" ref="E76:F78" si="198">E77+(E$75-E$79)*K76/SUM(K$75:K$78)</f>
        <v>121.5975975975976</v>
      </c>
      <c r="F76" s="1619">
        <f t="shared" si="198"/>
        <v>107</v>
      </c>
      <c r="G76" s="1894">
        <v>2004</v>
      </c>
      <c r="H76" s="1647">
        <v>3</v>
      </c>
      <c r="I76" s="1647">
        <v>0.56000000000000005</v>
      </c>
      <c r="J76" s="1647">
        <v>0.8</v>
      </c>
      <c r="K76" s="1647">
        <v>0.83</v>
      </c>
      <c r="L76" s="1648">
        <v>0.06</v>
      </c>
      <c r="N76" s="1678">
        <f t="shared" si="195"/>
        <v>2.2725428130833527E-2</v>
      </c>
      <c r="O76" s="1679">
        <f t="shared" si="195"/>
        <v>1.7012227538543329E-2</v>
      </c>
      <c r="P76" s="1679">
        <f t="shared" si="196"/>
        <v>3.6925814703592477E-2</v>
      </c>
      <c r="Q76" s="1679">
        <f t="shared" si="196"/>
        <v>2.8846153846153744E-2</v>
      </c>
      <c r="R76" s="1625"/>
      <c r="S76" s="1623"/>
      <c r="T76" s="1624"/>
      <c r="U76" s="1624"/>
      <c r="V76" s="1624"/>
      <c r="AC76" s="1680"/>
      <c r="AD76" s="1680"/>
      <c r="AE76" s="1680"/>
      <c r="AF76" s="1680"/>
    </row>
    <row r="77" spans="1:32">
      <c r="A77" s="1618" t="s">
        <v>1679</v>
      </c>
      <c r="B77" s="1619">
        <f t="shared" si="197"/>
        <v>116.99099099099099</v>
      </c>
      <c r="C77" s="1619">
        <f t="shared" si="197"/>
        <v>118.84848484848486</v>
      </c>
      <c r="D77" s="1619">
        <f t="shared" si="165"/>
        <v>118.84848484848486</v>
      </c>
      <c r="E77" s="1619">
        <f t="shared" si="198"/>
        <v>117.60960960960961</v>
      </c>
      <c r="F77" s="1619">
        <f t="shared" si="198"/>
        <v>104</v>
      </c>
      <c r="G77" s="1894">
        <v>2004</v>
      </c>
      <c r="H77" s="1634">
        <v>2</v>
      </c>
      <c r="I77" s="1634">
        <v>1</v>
      </c>
      <c r="J77" s="1634">
        <v>1.5</v>
      </c>
      <c r="K77" s="1634">
        <v>1.5</v>
      </c>
      <c r="L77" s="1641">
        <v>0</v>
      </c>
      <c r="N77" s="1678">
        <f t="shared" si="195"/>
        <v>4.0581121662202721E-2</v>
      </c>
      <c r="O77" s="1679">
        <f t="shared" si="195"/>
        <v>3.1897926634768738E-2</v>
      </c>
      <c r="P77" s="1679">
        <f t="shared" si="196"/>
        <v>6.6733400066733395E-2</v>
      </c>
      <c r="Q77" s="1679">
        <f t="shared" si="196"/>
        <v>0</v>
      </c>
      <c r="R77" s="1625"/>
      <c r="S77" s="1623"/>
      <c r="T77" s="1624"/>
      <c r="U77" s="1624"/>
      <c r="V77" s="1624"/>
      <c r="AC77" s="1680"/>
      <c r="AD77" s="1680"/>
      <c r="AE77" s="1680"/>
      <c r="AF77" s="1680"/>
    </row>
    <row r="78" spans="1:32" s="1672" customFormat="1" ht="13.8" thickBot="1">
      <c r="A78" s="1618" t="s">
        <v>1680</v>
      </c>
      <c r="B78" s="1669">
        <f t="shared" si="197"/>
        <v>112.48648648648648</v>
      </c>
      <c r="C78" s="1669">
        <f t="shared" si="197"/>
        <v>115.21212121212122</v>
      </c>
      <c r="D78" s="1669">
        <f t="shared" si="165"/>
        <v>115.21212121212122</v>
      </c>
      <c r="E78" s="1669">
        <f t="shared" si="198"/>
        <v>110.4024024024024</v>
      </c>
      <c r="F78" s="1669">
        <f t="shared" si="198"/>
        <v>104</v>
      </c>
      <c r="G78" s="1895">
        <v>2004</v>
      </c>
      <c r="H78" s="1670">
        <v>1</v>
      </c>
      <c r="I78" s="1670">
        <v>0.33</v>
      </c>
      <c r="J78" s="1670">
        <v>0.5</v>
      </c>
      <c r="K78" s="1670">
        <v>0.5</v>
      </c>
      <c r="L78" s="1671">
        <v>0</v>
      </c>
      <c r="N78" s="1683">
        <f t="shared" si="195"/>
        <v>1.3391770148526898E-2</v>
      </c>
      <c r="O78" s="1684">
        <f t="shared" si="195"/>
        <v>1.063264221158958E-2</v>
      </c>
      <c r="P78" s="1684">
        <f t="shared" si="196"/>
        <v>2.2244466688911134E-2</v>
      </c>
      <c r="Q78" s="1684">
        <f t="shared" si="196"/>
        <v>0</v>
      </c>
      <c r="R78" s="1675"/>
      <c r="S78" s="1673">
        <f>B78/B79-1</f>
        <v>1.3391770148526883E-2</v>
      </c>
      <c r="T78" s="1674">
        <f>C78/C79-1</f>
        <v>1.063264221158966E-2</v>
      </c>
      <c r="U78" s="1674">
        <f>E78/E79-1</f>
        <v>2.2244466688911224E-2</v>
      </c>
      <c r="V78" s="1674">
        <f>F78/F79-1</f>
        <v>0</v>
      </c>
      <c r="AC78" s="1685"/>
      <c r="AD78" s="1685"/>
      <c r="AE78" s="1685"/>
      <c r="AF78" s="1685"/>
    </row>
    <row r="79" spans="1:32" ht="13.8" thickBot="1">
      <c r="A79" s="1618" t="s">
        <v>1681</v>
      </c>
      <c r="B79" s="1686">
        <v>111</v>
      </c>
      <c r="C79" s="1686">
        <v>114</v>
      </c>
      <c r="D79" s="1686">
        <f t="shared" si="165"/>
        <v>114</v>
      </c>
      <c r="E79" s="1686">
        <v>108</v>
      </c>
      <c r="F79" s="1687">
        <v>104</v>
      </c>
      <c r="G79" s="1893">
        <v>2003</v>
      </c>
      <c r="H79" s="1676">
        <v>4</v>
      </c>
      <c r="I79" s="1688"/>
      <c r="J79" s="1688"/>
      <c r="K79" s="1688"/>
      <c r="L79" s="1688"/>
      <c r="N79" s="1689"/>
      <c r="O79" s="1688"/>
      <c r="P79" s="1688"/>
      <c r="Q79" s="1688"/>
      <c r="S79" s="1689"/>
      <c r="T79" s="1688"/>
      <c r="U79" s="1688"/>
      <c r="V79" s="1688"/>
      <c r="AC79" s="1680"/>
      <c r="AD79" s="1680"/>
      <c r="AE79" s="1680"/>
      <c r="AF79" s="1680"/>
    </row>
    <row r="80" spans="1:32">
      <c r="A80" s="1618" t="s">
        <v>1682</v>
      </c>
      <c r="B80" s="1690">
        <f t="shared" ref="B80:C82" si="199">B81+(B$79-B$83)/4</f>
        <v>109.75</v>
      </c>
      <c r="C80" s="1690">
        <f t="shared" si="199"/>
        <v>112.25</v>
      </c>
      <c r="D80" s="1690">
        <f t="shared" si="165"/>
        <v>112.25</v>
      </c>
      <c r="E80" s="1690">
        <f t="shared" ref="E80:F82" si="200">E81+(E$79-E$83)/4</f>
        <v>107.25</v>
      </c>
      <c r="F80" s="1690">
        <f t="shared" si="200"/>
        <v>103.5</v>
      </c>
      <c r="G80" s="1894">
        <v>2003</v>
      </c>
      <c r="H80" s="1647">
        <v>3</v>
      </c>
      <c r="I80" s="1688"/>
      <c r="J80" s="1688"/>
      <c r="K80" s="1688"/>
      <c r="L80" s="1688"/>
      <c r="AC80" s="1680"/>
      <c r="AD80" s="1680"/>
      <c r="AE80" s="1680"/>
      <c r="AF80" s="1680"/>
    </row>
    <row r="81" spans="1:32">
      <c r="A81" s="1618" t="s">
        <v>1683</v>
      </c>
      <c r="B81" s="1690">
        <f t="shared" si="199"/>
        <v>108.5</v>
      </c>
      <c r="C81" s="1690">
        <f t="shared" si="199"/>
        <v>110.5</v>
      </c>
      <c r="D81" s="1690">
        <f t="shared" si="165"/>
        <v>110.5</v>
      </c>
      <c r="E81" s="1690">
        <f t="shared" si="200"/>
        <v>106.5</v>
      </c>
      <c r="F81" s="1690">
        <f t="shared" si="200"/>
        <v>103</v>
      </c>
      <c r="G81" s="1894">
        <v>2003</v>
      </c>
      <c r="H81" s="1634">
        <v>2</v>
      </c>
      <c r="I81" s="1688"/>
      <c r="J81" s="1688"/>
      <c r="K81" s="1688"/>
      <c r="L81" s="1688"/>
      <c r="AC81" s="1680"/>
      <c r="AD81" s="1680"/>
      <c r="AE81" s="1680"/>
      <c r="AF81" s="1680"/>
    </row>
    <row r="82" spans="1:32" ht="13.8" thickBot="1">
      <c r="A82" s="1618" t="s">
        <v>1684</v>
      </c>
      <c r="B82" s="1690">
        <f t="shared" si="199"/>
        <v>107.25</v>
      </c>
      <c r="C82" s="1690">
        <f t="shared" si="199"/>
        <v>108.75</v>
      </c>
      <c r="D82" s="1690">
        <f t="shared" si="165"/>
        <v>108.75</v>
      </c>
      <c r="E82" s="1690">
        <f t="shared" si="200"/>
        <v>105.75</v>
      </c>
      <c r="F82" s="1690">
        <f t="shared" si="200"/>
        <v>102.5</v>
      </c>
      <c r="G82" s="1895">
        <v>2003</v>
      </c>
      <c r="H82" s="1691">
        <v>1</v>
      </c>
      <c r="I82" s="1688"/>
      <c r="J82" s="1688"/>
      <c r="K82" s="1688"/>
      <c r="L82" s="1688"/>
      <c r="S82" s="1623"/>
      <c r="T82" s="1624"/>
      <c r="U82" s="1624"/>
      <c r="AC82" s="1680"/>
      <c r="AD82" s="1680"/>
      <c r="AE82" s="1680"/>
      <c r="AF82" s="1680"/>
    </row>
    <row r="83" spans="1:32" ht="13.8" thickBot="1">
      <c r="A83" s="1618" t="s">
        <v>1685</v>
      </c>
      <c r="B83" s="1692">
        <v>106</v>
      </c>
      <c r="C83" s="1692">
        <v>107</v>
      </c>
      <c r="D83" s="1692">
        <f t="shared" si="165"/>
        <v>107</v>
      </c>
      <c r="E83" s="1692">
        <v>105</v>
      </c>
      <c r="F83" s="1693">
        <v>102</v>
      </c>
      <c r="G83" s="1893">
        <v>2002</v>
      </c>
      <c r="H83" s="1642">
        <v>4</v>
      </c>
      <c r="I83" s="1688"/>
      <c r="J83" s="1688"/>
      <c r="K83" s="1688"/>
      <c r="L83" s="1688"/>
      <c r="N83" s="1689"/>
      <c r="O83" s="1688"/>
      <c r="P83" s="1688"/>
      <c r="Q83" s="1688"/>
      <c r="S83" s="1689"/>
      <c r="T83" s="1688"/>
      <c r="U83" s="1688"/>
      <c r="V83" s="1688"/>
      <c r="AC83" s="1680"/>
      <c r="AD83" s="1680"/>
      <c r="AE83" s="1680"/>
      <c r="AF83" s="1680"/>
    </row>
    <row r="84" spans="1:32">
      <c r="A84" s="1618" t="s">
        <v>1686</v>
      </c>
      <c r="B84" s="1690">
        <f t="shared" ref="B84:C86" si="201">B85+(B$83-B$87)/4</f>
        <v>105</v>
      </c>
      <c r="C84" s="1690">
        <f t="shared" si="201"/>
        <v>106</v>
      </c>
      <c r="D84" s="1690">
        <f t="shared" si="165"/>
        <v>106</v>
      </c>
      <c r="E84" s="1690">
        <f t="shared" ref="E84:F86" si="202">E85+(E$83-E$87)/4</f>
        <v>104.5</v>
      </c>
      <c r="F84" s="1690">
        <f t="shared" si="202"/>
        <v>101.5</v>
      </c>
      <c r="G84" s="1894">
        <v>2002</v>
      </c>
      <c r="H84" s="1647">
        <v>3</v>
      </c>
      <c r="I84" s="1688"/>
      <c r="J84" s="1688"/>
      <c r="K84" s="1688"/>
      <c r="L84" s="1688"/>
      <c r="AC84" s="1680"/>
      <c r="AD84" s="1680"/>
      <c r="AE84" s="1680"/>
      <c r="AF84" s="1680"/>
    </row>
    <row r="85" spans="1:32">
      <c r="A85" s="1618" t="s">
        <v>1687</v>
      </c>
      <c r="B85" s="1690">
        <f t="shared" si="201"/>
        <v>104</v>
      </c>
      <c r="C85" s="1690">
        <f t="shared" si="201"/>
        <v>105</v>
      </c>
      <c r="D85" s="1690">
        <f t="shared" si="165"/>
        <v>105</v>
      </c>
      <c r="E85" s="1690">
        <f t="shared" si="202"/>
        <v>104</v>
      </c>
      <c r="F85" s="1690">
        <f t="shared" si="202"/>
        <v>101</v>
      </c>
      <c r="G85" s="1894">
        <v>2002</v>
      </c>
      <c r="H85" s="1634">
        <v>2</v>
      </c>
      <c r="I85" s="1688"/>
      <c r="J85" s="1688"/>
      <c r="K85" s="1688"/>
      <c r="L85" s="1688"/>
      <c r="AC85" s="1680"/>
      <c r="AD85" s="1680"/>
      <c r="AE85" s="1680"/>
      <c r="AF85" s="1680"/>
    </row>
    <row r="86" spans="1:32" s="1658" customFormat="1" ht="13.8" thickBot="1">
      <c r="A86" s="1654" t="s">
        <v>1688</v>
      </c>
      <c r="B86" s="1661">
        <f t="shared" si="201"/>
        <v>103</v>
      </c>
      <c r="C86" s="1661">
        <f t="shared" si="201"/>
        <v>104</v>
      </c>
      <c r="D86" s="1661">
        <f t="shared" si="165"/>
        <v>104</v>
      </c>
      <c r="E86" s="1768">
        <f t="shared" si="202"/>
        <v>103.5</v>
      </c>
      <c r="F86" s="1661">
        <f t="shared" si="202"/>
        <v>100.5</v>
      </c>
      <c r="G86" s="1895">
        <v>2002</v>
      </c>
      <c r="H86" s="1694">
        <v>1</v>
      </c>
      <c r="I86" s="1695"/>
      <c r="J86" s="1695"/>
      <c r="K86" s="1695"/>
      <c r="L86" s="1695"/>
      <c r="N86" s="1696"/>
      <c r="S86" s="1696"/>
      <c r="AC86" s="1697"/>
      <c r="AD86" s="1697"/>
      <c r="AE86" s="1697"/>
      <c r="AF86" s="1697"/>
    </row>
    <row r="87" spans="1:32" ht="13.8" thickBot="1">
      <c r="B87" s="1698">
        <v>102</v>
      </c>
      <c r="C87" s="1699">
        <v>103</v>
      </c>
      <c r="D87" s="1699">
        <f t="shared" si="165"/>
        <v>103</v>
      </c>
      <c r="E87" s="1699">
        <v>103</v>
      </c>
      <c r="F87" s="1700">
        <v>100</v>
      </c>
      <c r="I87" s="1688"/>
      <c r="J87" s="1688"/>
      <c r="K87" s="1688"/>
      <c r="L87" s="1688"/>
      <c r="N87" s="1689"/>
      <c r="O87" s="1688"/>
      <c r="P87" s="1688"/>
      <c r="Q87" s="1688"/>
      <c r="S87" s="1689"/>
      <c r="T87" s="1688"/>
      <c r="U87" s="1688"/>
      <c r="V87" s="1688"/>
      <c r="AC87" s="1628"/>
      <c r="AD87" s="1628"/>
      <c r="AE87" s="1628"/>
      <c r="AF87" s="1628"/>
    </row>
    <row r="89" spans="1:32" s="1702" customFormat="1">
      <c r="A89" s="1701" t="s">
        <v>1695</v>
      </c>
      <c r="G89" s="1703"/>
      <c r="N89" s="1703"/>
      <c r="S89" s="1703"/>
    </row>
    <row r="90" spans="1:32" s="1702" customFormat="1">
      <c r="A90" s="1702" t="s">
        <v>1696</v>
      </c>
      <c r="G90" s="1703"/>
      <c r="N90" s="1703"/>
      <c r="S90" s="1703"/>
    </row>
    <row r="91" spans="1:32" s="1702" customFormat="1">
      <c r="A91" s="1702" t="s">
        <v>1697</v>
      </c>
      <c r="G91" s="1703"/>
      <c r="I91" s="1704"/>
      <c r="J91" s="1704"/>
      <c r="K91" s="1704"/>
      <c r="L91" s="1704"/>
      <c r="N91" s="1705"/>
      <c r="O91" s="1704"/>
      <c r="P91" s="1704"/>
      <c r="Q91" s="1704"/>
      <c r="S91" s="1705"/>
      <c r="T91" s="1704"/>
      <c r="U91" s="1704"/>
      <c r="V91" s="1704"/>
    </row>
    <row r="92" spans="1:32" s="1702" customFormat="1">
      <c r="A92" s="1702" t="s">
        <v>1698</v>
      </c>
      <c r="G92" s="1703"/>
      <c r="N92" s="1703"/>
      <c r="S92" s="1703"/>
    </row>
    <row r="99" spans="14:29" ht="13.8" thickBot="1"/>
    <row r="100" spans="14:29" ht="24">
      <c r="S100" s="1706" t="s">
        <v>1689</v>
      </c>
      <c r="T100" s="1707" t="s">
        <v>1690</v>
      </c>
      <c r="U100" s="1707" t="s">
        <v>1691</v>
      </c>
      <c r="V100" s="1707" t="s">
        <v>1692</v>
      </c>
      <c r="W100" s="1708" t="s">
        <v>1693</v>
      </c>
      <c r="X100" s="1709">
        <v>2006</v>
      </c>
      <c r="Y100" s="1710">
        <v>4</v>
      </c>
      <c r="Z100" s="1710">
        <v>3.79</v>
      </c>
      <c r="AA100" s="1710">
        <v>2.21</v>
      </c>
      <c r="AB100" s="1710">
        <v>5.65</v>
      </c>
      <c r="AC100" s="1711">
        <v>5.41</v>
      </c>
    </row>
    <row r="101" spans="14:29">
      <c r="N101" s="1633"/>
      <c r="O101" s="1628"/>
      <c r="P101" s="1628"/>
      <c r="Q101" s="1628"/>
      <c r="S101" s="1712">
        <v>2006</v>
      </c>
      <c r="T101" s="1713">
        <v>15.1</v>
      </c>
      <c r="U101" s="1713">
        <v>7.43</v>
      </c>
      <c r="V101" s="1713">
        <v>26.26</v>
      </c>
      <c r="W101" s="1714">
        <v>7.6</v>
      </c>
      <c r="X101" s="1715">
        <v>2006</v>
      </c>
      <c r="Y101" s="1716">
        <v>3</v>
      </c>
      <c r="Z101" s="1716">
        <v>0.92</v>
      </c>
      <c r="AA101" s="1716">
        <v>1.08</v>
      </c>
      <c r="AB101" s="1716">
        <v>0.73</v>
      </c>
      <c r="AC101" s="1717">
        <v>1.08</v>
      </c>
    </row>
    <row r="102" spans="14:29">
      <c r="N102" s="1633"/>
      <c r="O102" s="1628"/>
      <c r="P102" s="1628"/>
      <c r="Q102" s="1628"/>
      <c r="S102" s="1718">
        <v>2005</v>
      </c>
      <c r="T102" s="1716">
        <v>13.9</v>
      </c>
      <c r="U102" s="1716">
        <v>7.49</v>
      </c>
      <c r="V102" s="1716">
        <v>24.92</v>
      </c>
      <c r="W102" s="1717">
        <v>6.51</v>
      </c>
      <c r="X102" s="1719">
        <v>2006</v>
      </c>
      <c r="Y102" s="1713">
        <v>2</v>
      </c>
      <c r="Z102" s="1713">
        <v>0.96</v>
      </c>
      <c r="AA102" s="1713">
        <v>0.25</v>
      </c>
      <c r="AB102" s="1713">
        <v>1.9</v>
      </c>
      <c r="AC102" s="1714">
        <v>0.95</v>
      </c>
    </row>
    <row r="103" spans="14:29" ht="13.8" thickBot="1">
      <c r="N103" s="1633"/>
      <c r="O103" s="1628"/>
      <c r="P103" s="1628"/>
      <c r="Q103" s="1628"/>
      <c r="S103" s="1712">
        <v>2004</v>
      </c>
      <c r="T103" s="1713">
        <v>9.48</v>
      </c>
      <c r="U103" s="1713">
        <v>7.2</v>
      </c>
      <c r="V103" s="1713">
        <v>14.68</v>
      </c>
      <c r="W103" s="1714">
        <v>2.2000000000000002</v>
      </c>
      <c r="X103" s="1720">
        <v>2006</v>
      </c>
      <c r="Y103" s="1721">
        <v>1</v>
      </c>
      <c r="Z103" s="1721">
        <v>2.29</v>
      </c>
      <c r="AA103" s="1721">
        <v>3.72</v>
      </c>
      <c r="AB103" s="1721">
        <v>0.75</v>
      </c>
      <c r="AC103" s="1722">
        <v>0.04</v>
      </c>
    </row>
    <row r="104" spans="14:29">
      <c r="N104" s="1633"/>
      <c r="O104" s="1628"/>
      <c r="P104" s="1628"/>
      <c r="Q104" s="1628"/>
      <c r="S104" s="1718">
        <v>2003</v>
      </c>
      <c r="T104" s="1716">
        <v>4.5</v>
      </c>
      <c r="U104" s="1716">
        <v>6.12</v>
      </c>
      <c r="V104" s="1716">
        <v>2.34</v>
      </c>
      <c r="W104" s="1717">
        <v>2.36</v>
      </c>
    </row>
    <row r="105" spans="14:29" ht="13.8" thickBot="1">
      <c r="N105" s="1633"/>
      <c r="O105" s="1628"/>
      <c r="P105" s="1628"/>
      <c r="Q105" s="1628"/>
      <c r="S105" s="1723">
        <v>2002</v>
      </c>
      <c r="T105" s="1724">
        <v>3.59</v>
      </c>
      <c r="U105" s="1724">
        <v>4.54</v>
      </c>
      <c r="V105" s="1724">
        <v>2.5499999999999998</v>
      </c>
      <c r="W105" s="1725">
        <v>1.52</v>
      </c>
    </row>
    <row r="106" spans="14:29">
      <c r="N106" s="1633"/>
      <c r="O106" s="1628"/>
      <c r="P106" s="1628"/>
      <c r="Q106" s="1628"/>
    </row>
    <row r="107" spans="14:29">
      <c r="N107" s="1633"/>
      <c r="O107" s="1628"/>
      <c r="P107" s="1628"/>
      <c r="Q107" s="1628"/>
    </row>
    <row r="108" spans="14:29">
      <c r="N108" s="1633"/>
      <c r="O108" s="1628"/>
      <c r="P108" s="1628"/>
      <c r="Q108" s="1628"/>
    </row>
    <row r="109" spans="14:29">
      <c r="N109" s="1633"/>
      <c r="O109" s="1628"/>
      <c r="P109" s="1628"/>
      <c r="Q109" s="1628"/>
    </row>
    <row r="110" spans="14:29">
      <c r="N110" s="1633"/>
      <c r="O110" s="1628"/>
      <c r="P110" s="1628"/>
      <c r="Q110" s="1628"/>
    </row>
    <row r="111" spans="14:29">
      <c r="N111" s="1633"/>
      <c r="O111" s="1628"/>
      <c r="P111" s="1628"/>
      <c r="Q111" s="1628"/>
    </row>
    <row r="112" spans="14:29">
      <c r="N112" s="1633"/>
      <c r="O112" s="1628"/>
      <c r="P112" s="1628"/>
      <c r="Q112" s="1628"/>
    </row>
    <row r="113" spans="14:17">
      <c r="N113" s="1633"/>
      <c r="O113" s="1628"/>
      <c r="P113" s="1628"/>
      <c r="Q113" s="1628"/>
    </row>
    <row r="114" spans="14:17">
      <c r="N114" s="1633"/>
      <c r="O114" s="1628"/>
      <c r="P114" s="1628"/>
      <c r="Q114" s="1628"/>
    </row>
    <row r="115" spans="14:17">
      <c r="N115" s="1633"/>
      <c r="O115" s="1628"/>
      <c r="P115" s="1628"/>
      <c r="Q115" s="1628"/>
    </row>
    <row r="116" spans="14:17">
      <c r="N116" s="1633"/>
      <c r="O116" s="1628"/>
      <c r="P116" s="1628"/>
      <c r="Q116" s="1628"/>
    </row>
    <row r="117" spans="14:17">
      <c r="N117" s="1633"/>
      <c r="O117" s="1628"/>
      <c r="P117" s="1628"/>
      <c r="Q117" s="1628"/>
    </row>
    <row r="118" spans="14:17">
      <c r="N118" s="1633"/>
      <c r="O118" s="1628"/>
      <c r="P118" s="1628"/>
      <c r="Q118" s="1628"/>
    </row>
    <row r="119" spans="14:17">
      <c r="N119" s="1633"/>
      <c r="O119" s="1628"/>
      <c r="P119" s="1628"/>
      <c r="Q119" s="1628"/>
    </row>
    <row r="120" spans="14:17">
      <c r="N120" s="1633"/>
      <c r="O120" s="1628"/>
      <c r="P120" s="1628"/>
      <c r="Q120" s="1628"/>
    </row>
    <row r="121" spans="14:17">
      <c r="N121" s="1633"/>
      <c r="O121" s="1628"/>
      <c r="P121" s="1628"/>
      <c r="Q121" s="162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39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1153</v>
      </c>
      <c r="Y2" s="483" t="s">
        <v>1145</v>
      </c>
    </row>
    <row r="3" spans="1:25" ht="15.6">
      <c r="A3" s="645" t="s">
        <v>175</v>
      </c>
      <c r="B3" s="645" t="s">
        <v>1345</v>
      </c>
      <c r="C3" s="394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1154</v>
      </c>
      <c r="Y3" s="483" t="s">
        <v>1147</v>
      </c>
    </row>
    <row r="4" spans="1:25" ht="15.6">
      <c r="A4" s="645" t="s">
        <v>176</v>
      </c>
      <c r="B4" s="645" t="s">
        <v>1351</v>
      </c>
      <c r="C4" s="393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1155</v>
      </c>
      <c r="Y4" s="483" t="s">
        <v>1150</v>
      </c>
    </row>
    <row r="5" spans="1:25" ht="15.6">
      <c r="A5" s="645" t="s">
        <v>177</v>
      </c>
      <c r="B5" s="1154" t="s">
        <v>1552</v>
      </c>
      <c r="C5" s="393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1260</v>
      </c>
      <c r="Y5" s="187"/>
    </row>
    <row r="6" spans="1:25" ht="15.6">
      <c r="A6" s="645" t="s">
        <v>178</v>
      </c>
      <c r="B6" s="185" t="s">
        <v>965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1187</v>
      </c>
      <c r="S6" s="15" t="s">
        <v>56</v>
      </c>
      <c r="T6" s="15"/>
      <c r="U6" s="15" t="s">
        <v>56</v>
      </c>
      <c r="W6" s="15" t="s">
        <v>56</v>
      </c>
      <c r="X6" s="500" t="s">
        <v>1261</v>
      </c>
      <c r="Y6" s="187"/>
    </row>
    <row r="7" spans="1:25" ht="15.6">
      <c r="A7" s="645" t="s">
        <v>179</v>
      </c>
      <c r="B7" s="185" t="s">
        <v>965</v>
      </c>
      <c r="C7" s="393" t="s">
        <v>32</v>
      </c>
      <c r="F7" s="15" t="s">
        <v>57</v>
      </c>
      <c r="H7" s="15"/>
      <c r="I7" s="15" t="s">
        <v>58</v>
      </c>
      <c r="X7" s="500" t="s">
        <v>1262</v>
      </c>
    </row>
    <row r="8" spans="1:25" ht="15.6">
      <c r="A8" s="645" t="s">
        <v>180</v>
      </c>
      <c r="B8" s="185" t="s">
        <v>965</v>
      </c>
      <c r="C8" s="393" t="s">
        <v>974</v>
      </c>
      <c r="F8" s="15" t="s">
        <v>83</v>
      </c>
      <c r="H8" s="15"/>
      <c r="I8" s="15" t="s">
        <v>84</v>
      </c>
      <c r="X8" s="500" t="s">
        <v>1263</v>
      </c>
    </row>
    <row r="9" spans="1:25">
      <c r="A9" s="645" t="s">
        <v>181</v>
      </c>
      <c r="B9" s="185" t="s">
        <v>965</v>
      </c>
      <c r="C9" s="393" t="s">
        <v>975</v>
      </c>
      <c r="F9" s="15" t="s">
        <v>85</v>
      </c>
      <c r="H9" s="15"/>
    </row>
    <row r="10" spans="1:25">
      <c r="A10" s="645" t="s">
        <v>182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183</v>
      </c>
      <c r="B11" s="185" t="s">
        <v>965</v>
      </c>
      <c r="C11" s="393" t="s">
        <v>977</v>
      </c>
    </row>
    <row r="12" spans="1:25">
      <c r="A12" s="645" t="s">
        <v>184</v>
      </c>
      <c r="B12" s="185" t="s">
        <v>965</v>
      </c>
      <c r="C12" s="393" t="s">
        <v>978</v>
      </c>
    </row>
    <row r="13" spans="1:25">
      <c r="A13" s="645" t="s">
        <v>185</v>
      </c>
      <c r="B13" s="185" t="s">
        <v>965</v>
      </c>
      <c r="C13" s="393" t="s">
        <v>979</v>
      </c>
    </row>
    <row r="14" spans="1:25">
      <c r="A14" s="645" t="s">
        <v>186</v>
      </c>
      <c r="B14" s="185" t="s">
        <v>965</v>
      </c>
      <c r="C14" s="396"/>
    </row>
    <row r="15" spans="1:25">
      <c r="A15" s="645" t="s">
        <v>187</v>
      </c>
      <c r="B15" s="185" t="s">
        <v>965</v>
      </c>
      <c r="C15" s="396"/>
    </row>
    <row r="16" spans="1:25">
      <c r="A16" s="645" t="s">
        <v>188</v>
      </c>
      <c r="B16" s="185" t="s">
        <v>965</v>
      </c>
      <c r="C16" s="396"/>
    </row>
    <row r="17" spans="1:3">
      <c r="A17" s="645" t="s">
        <v>189</v>
      </c>
      <c r="B17" s="185" t="s">
        <v>965</v>
      </c>
      <c r="C17" s="396"/>
    </row>
    <row r="18" spans="1:3">
      <c r="A18" s="645" t="s">
        <v>190</v>
      </c>
      <c r="B18" s="185" t="s">
        <v>965</v>
      </c>
      <c r="C18" s="396"/>
    </row>
    <row r="19" spans="1:3">
      <c r="A19" s="645" t="s">
        <v>191</v>
      </c>
      <c r="B19" s="185" t="s">
        <v>965</v>
      </c>
      <c r="C19" s="396"/>
    </row>
    <row r="20" spans="1:3">
      <c r="A20" s="645" t="s">
        <v>192</v>
      </c>
      <c r="B20" s="185" t="s">
        <v>965</v>
      </c>
      <c r="C20" s="396"/>
    </row>
    <row r="21" spans="1:3">
      <c r="A21" s="645" t="s">
        <v>193</v>
      </c>
      <c r="B21" s="185" t="s">
        <v>965</v>
      </c>
      <c r="C21" s="396"/>
    </row>
    <row r="22" spans="1:3">
      <c r="A22" s="645" t="s">
        <v>194</v>
      </c>
      <c r="B22" s="185" t="s">
        <v>965</v>
      </c>
      <c r="C22" s="396"/>
    </row>
    <row r="23" spans="1:3">
      <c r="A23" s="645" t="s">
        <v>195</v>
      </c>
      <c r="B23" s="185" t="s">
        <v>965</v>
      </c>
      <c r="C23" s="396"/>
    </row>
    <row r="24" spans="1:3">
      <c r="A24" s="645" t="s">
        <v>196</v>
      </c>
      <c r="B24" s="185" t="s">
        <v>965</v>
      </c>
      <c r="C24" s="396"/>
    </row>
    <row r="25" spans="1:3">
      <c r="A25" s="645" t="s">
        <v>197</v>
      </c>
      <c r="B25" s="185" t="s">
        <v>965</v>
      </c>
      <c r="C25" s="396"/>
    </row>
    <row r="26" spans="1:3">
      <c r="A26" s="645" t="s">
        <v>198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968</v>
      </c>
      <c r="H1" s="249">
        <f>'2014基准地价'!M18</f>
        <v>18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30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1625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1629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205</v>
      </c>
      <c r="D2" s="1256"/>
      <c r="E2" s="1257"/>
      <c r="F2" s="1257"/>
      <c r="G2" s="1258" t="s">
        <v>206</v>
      </c>
    </row>
    <row r="3" spans="1:18" ht="69.599999999999994">
      <c r="A3" s="1259" t="s">
        <v>207</v>
      </c>
      <c r="B3" s="1260" t="s">
        <v>4</v>
      </c>
      <c r="C3" s="1261" t="s">
        <v>216</v>
      </c>
      <c r="D3" s="1256"/>
      <c r="E3" s="1262" t="s">
        <v>208</v>
      </c>
      <c r="F3" s="1260" t="s">
        <v>209</v>
      </c>
      <c r="G3" s="1263" t="s">
        <v>1733</v>
      </c>
    </row>
    <row r="4" spans="1:18" ht="52.2">
      <c r="A4" s="1264"/>
      <c r="B4" s="1265" t="s">
        <v>210</v>
      </c>
      <c r="C4" s="1266" t="s">
        <v>217</v>
      </c>
      <c r="D4" s="1256"/>
      <c r="E4" s="1267"/>
      <c r="F4" s="1268" t="s">
        <v>211</v>
      </c>
      <c r="G4" s="1269" t="s">
        <v>218</v>
      </c>
    </row>
    <row r="5" spans="1:18" ht="34.799999999999997">
      <c r="A5" s="1264"/>
      <c r="B5" s="1265" t="s">
        <v>212</v>
      </c>
      <c r="C5" s="1266" t="s">
        <v>219</v>
      </c>
      <c r="D5" s="1270"/>
      <c r="E5" s="1267"/>
      <c r="F5" s="1268" t="s">
        <v>213</v>
      </c>
      <c r="G5" s="1271" t="s">
        <v>951</v>
      </c>
    </row>
    <row r="6" spans="1:18" ht="52.2">
      <c r="A6" s="1264"/>
      <c r="B6" s="1268" t="s">
        <v>7</v>
      </c>
      <c r="C6" s="1269" t="s">
        <v>200</v>
      </c>
      <c r="D6" s="1270"/>
      <c r="E6" s="1267"/>
      <c r="F6" s="1268" t="s">
        <v>201</v>
      </c>
      <c r="G6" s="1272" t="s">
        <v>202</v>
      </c>
    </row>
    <row r="7" spans="1:18" ht="34.799999999999997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4.799999999999997">
      <c r="A8" s="1264"/>
      <c r="B8" s="1268" t="s">
        <v>10</v>
      </c>
      <c r="C8" s="1266" t="s">
        <v>203</v>
      </c>
      <c r="D8" s="1270"/>
      <c r="E8" s="1267"/>
      <c r="F8" s="1273" t="s">
        <v>1189</v>
      </c>
      <c r="G8" s="1269" t="s">
        <v>1191</v>
      </c>
    </row>
    <row r="9" spans="1:18" ht="34.799999999999997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214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215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1" customWidth="1"/>
    <col min="2" max="9" width="15.77734375" style="1731" customWidth="1"/>
    <col min="10" max="16384" width="9" style="1731"/>
  </cols>
  <sheetData>
    <row r="1" spans="1:10" ht="16.2">
      <c r="A1" s="1727" t="s">
        <v>1701</v>
      </c>
      <c r="B1" s="1728">
        <f>SUM(B14:B23)</f>
        <v>66.31</v>
      </c>
      <c r="C1" s="1726"/>
      <c r="D1" s="1726"/>
      <c r="E1" s="1726"/>
      <c r="F1" s="1726"/>
      <c r="G1" s="1729"/>
      <c r="H1" s="1730"/>
      <c r="I1" s="1730"/>
    </row>
    <row r="2" spans="1:10" ht="16.2">
      <c r="A2" s="1727" t="s">
        <v>1702</v>
      </c>
      <c r="B2" s="1728">
        <f>SUM(C14:C23)</f>
        <v>0</v>
      </c>
      <c r="C2" s="1726"/>
      <c r="D2" s="1726"/>
      <c r="E2" s="1726"/>
      <c r="F2" s="1726"/>
      <c r="G2" s="1729"/>
      <c r="H2" s="1730"/>
      <c r="I2" s="1730"/>
    </row>
    <row r="3" spans="1:10" ht="15.6">
      <c r="A3" s="1728" t="s">
        <v>1703</v>
      </c>
      <c r="B3" s="1732">
        <f>主表!B3</f>
        <v>39953</v>
      </c>
      <c r="C3" s="1726"/>
      <c r="D3" s="1726"/>
      <c r="E3" s="1726"/>
      <c r="F3" s="1726"/>
      <c r="G3" s="1729"/>
      <c r="H3" s="1730"/>
      <c r="I3" s="1730"/>
    </row>
    <row r="4" spans="1:10" ht="31.2">
      <c r="A4" s="1728" t="s">
        <v>1704</v>
      </c>
      <c r="B4" s="1728" t="s">
        <v>1705</v>
      </c>
      <c r="C4" s="1728" t="s">
        <v>1706</v>
      </c>
      <c r="D4" s="1728" t="s">
        <v>1707</v>
      </c>
      <c r="E4" s="1726"/>
      <c r="F4" s="1729"/>
      <c r="G4" s="1729"/>
      <c r="H4" s="1730"/>
      <c r="I4" s="1730"/>
    </row>
    <row r="5" spans="1:10" ht="15.6">
      <c r="A5" s="1728" t="s">
        <v>1708</v>
      </c>
      <c r="B5" s="1728">
        <f>SUM(D14:D23)</f>
        <v>0</v>
      </c>
      <c r="C5" s="1728">
        <f>ROUND(B5*10000/$B$1,0)</f>
        <v>0</v>
      </c>
      <c r="D5" s="1728" t="e">
        <f>ROUND(B5*10000/$B$2,0)</f>
        <v>#DIV/0!</v>
      </c>
      <c r="E5" s="1726"/>
      <c r="F5" s="1729"/>
      <c r="G5" s="1729"/>
      <c r="H5" s="1730"/>
      <c r="I5" s="1730"/>
    </row>
    <row r="6" spans="1:10" ht="15.6">
      <c r="A6" s="1728" t="s">
        <v>1709</v>
      </c>
      <c r="B6" s="1728">
        <f>SUM(G14:G23)</f>
        <v>0</v>
      </c>
      <c r="C6" s="1728">
        <f>ROUND(B6*10000/$B$1,0)</f>
        <v>0</v>
      </c>
      <c r="D6" s="1728" t="e">
        <f>ROUND(B6*10000/$B$2,0)</f>
        <v>#DIV/0!</v>
      </c>
      <c r="E6" s="1726"/>
      <c r="F6" s="1729"/>
      <c r="G6" s="1729"/>
      <c r="H6" s="1730"/>
      <c r="I6" s="1730"/>
    </row>
    <row r="7" spans="1:10" ht="15.6">
      <c r="A7" s="1728" t="s">
        <v>1710</v>
      </c>
      <c r="B7" s="1728">
        <f>SUM(H14:H23)</f>
        <v>0</v>
      </c>
      <c r="C7" s="1728">
        <f>ROUND(B7*10000/$B$1,0)</f>
        <v>0</v>
      </c>
      <c r="D7" s="1728" t="e">
        <f>ROUND(B7*10000/$B$2,0)</f>
        <v>#DIV/0!</v>
      </c>
      <c r="E7" s="1726"/>
      <c r="F7" s="1729"/>
      <c r="G7" s="1729"/>
      <c r="H7" s="1730"/>
      <c r="I7" s="1730"/>
    </row>
    <row r="8" spans="1:10" ht="15.6">
      <c r="A8" s="1728" t="s">
        <v>1711</v>
      </c>
      <c r="B8" s="1728">
        <f>SUM(I14:I23)</f>
        <v>0</v>
      </c>
      <c r="C8" s="1728">
        <f>ROUND(B8*10000/$B$1,0)</f>
        <v>0</v>
      </c>
      <c r="D8" s="1728" t="e">
        <f>ROUND(B8*10000/$B$2,0)</f>
        <v>#DIV/0!</v>
      </c>
      <c r="E8" s="1726"/>
      <c r="F8" s="1729"/>
      <c r="G8" s="1729"/>
      <c r="H8" s="1730"/>
      <c r="I8" s="1730"/>
    </row>
    <row r="9" spans="1:10" ht="15.6">
      <c r="A9" s="1728" t="s">
        <v>1712</v>
      </c>
      <c r="B9" s="1581"/>
      <c r="C9" s="1726"/>
      <c r="D9" s="1726"/>
      <c r="E9" s="1726"/>
      <c r="F9" s="1729"/>
      <c r="G9" s="1729"/>
      <c r="H9" s="1730"/>
      <c r="I9" s="1730"/>
    </row>
    <row r="10" spans="1:10" ht="15.6">
      <c r="A10" s="1728" t="s">
        <v>1713</v>
      </c>
      <c r="B10" s="1581"/>
      <c r="C10" s="1726"/>
      <c r="D10" s="1726"/>
      <c r="E10" s="1726"/>
      <c r="F10" s="1729"/>
      <c r="G10" s="1729"/>
      <c r="H10" s="1730"/>
      <c r="I10" s="1730"/>
    </row>
    <row r="11" spans="1:10" ht="15.6">
      <c r="A11" s="1727" t="s">
        <v>1732</v>
      </c>
      <c r="B11" s="1727">
        <f ca="1">结果表!B19</f>
        <v>0</v>
      </c>
      <c r="C11" s="1727">
        <f ca="1">结果表!B18</f>
        <v>0</v>
      </c>
      <c r="D11" s="1726"/>
      <c r="E11" s="1726"/>
      <c r="F11" s="1729"/>
      <c r="G11" s="1729"/>
      <c r="H11" s="1730"/>
      <c r="I11" s="1730"/>
    </row>
    <row r="12" spans="1:10" ht="15.6">
      <c r="A12" s="1726"/>
      <c r="B12" s="1726"/>
      <c r="C12" s="1726"/>
      <c r="D12" s="1726"/>
      <c r="E12" s="1726"/>
      <c r="F12" s="1729"/>
      <c r="G12" s="1729"/>
      <c r="H12" s="1730"/>
      <c r="I12" s="1730"/>
    </row>
    <row r="13" spans="1:10" ht="31.2">
      <c r="A13" s="1733" t="s">
        <v>1714</v>
      </c>
      <c r="B13" s="1734" t="s">
        <v>1715</v>
      </c>
      <c r="C13" s="1734" t="s">
        <v>1716</v>
      </c>
      <c r="D13" s="1734" t="s">
        <v>1717</v>
      </c>
      <c r="E13" s="1728" t="s">
        <v>1706</v>
      </c>
      <c r="F13" s="1728" t="s">
        <v>1718</v>
      </c>
      <c r="G13" s="1734" t="s">
        <v>1719</v>
      </c>
      <c r="H13" s="1734" t="s">
        <v>1720</v>
      </c>
      <c r="I13" s="1734" t="s">
        <v>1721</v>
      </c>
      <c r="J13" s="1735"/>
    </row>
    <row r="14" spans="1:10" ht="15.6">
      <c r="A14" s="1736" t="s">
        <v>1722</v>
      </c>
      <c r="B14" s="1737">
        <f>主表!B7</f>
        <v>66.31</v>
      </c>
      <c r="C14" s="1737">
        <f>主表!B6</f>
        <v>0</v>
      </c>
      <c r="D14" s="1737"/>
      <c r="E14" s="1737">
        <f>ROUND(D14*10000/B14,0)</f>
        <v>0</v>
      </c>
      <c r="F14" s="1737" t="e">
        <f>ROUND(D14*10000/C14,0)</f>
        <v>#DIV/0!</v>
      </c>
      <c r="G14" s="1737"/>
      <c r="H14" s="1737"/>
      <c r="I14" s="1737"/>
      <c r="J14" s="1735"/>
    </row>
    <row r="15" spans="1:10" ht="15.6">
      <c r="A15" s="1736" t="s">
        <v>1723</v>
      </c>
      <c r="B15" s="1738"/>
      <c r="C15" s="1738"/>
      <c r="D15" s="1738"/>
      <c r="E15" s="1737" t="e">
        <f t="shared" ref="E15:E23" si="0">ROUND(D15*10000/B15,0)</f>
        <v>#DIV/0!</v>
      </c>
      <c r="F15" s="1737" t="e">
        <f t="shared" ref="F15:F23" si="1">ROUND(D15*10000/C15,0)</f>
        <v>#DIV/0!</v>
      </c>
      <c r="G15" s="1581"/>
      <c r="H15" s="1581"/>
      <c r="I15" s="1738"/>
      <c r="J15" s="1735"/>
    </row>
    <row r="16" spans="1:10" ht="15.6">
      <c r="A16" s="1736" t="s">
        <v>1724</v>
      </c>
      <c r="B16" s="1738"/>
      <c r="C16" s="1738"/>
      <c r="D16" s="1738"/>
      <c r="E16" s="1737" t="e">
        <f t="shared" si="0"/>
        <v>#DIV/0!</v>
      </c>
      <c r="F16" s="1737" t="e">
        <f t="shared" si="1"/>
        <v>#DIV/0!</v>
      </c>
      <c r="G16" s="1534"/>
      <c r="H16" s="1534"/>
      <c r="I16" s="1739"/>
    </row>
    <row r="17" spans="1:9" ht="15.6">
      <c r="A17" s="1736" t="s">
        <v>1725</v>
      </c>
      <c r="B17" s="1738"/>
      <c r="C17" s="1738"/>
      <c r="D17" s="1738"/>
      <c r="E17" s="1737" t="e">
        <f t="shared" si="0"/>
        <v>#DIV/0!</v>
      </c>
      <c r="F17" s="1737" t="e">
        <f t="shared" si="1"/>
        <v>#DIV/0!</v>
      </c>
      <c r="G17" s="1534"/>
      <c r="H17" s="1534"/>
      <c r="I17" s="1739"/>
    </row>
    <row r="18" spans="1:9" ht="15.6">
      <c r="A18" s="1736" t="s">
        <v>1726</v>
      </c>
      <c r="B18" s="1738"/>
      <c r="C18" s="1738"/>
      <c r="D18" s="1738"/>
      <c r="E18" s="1737" t="e">
        <f t="shared" si="0"/>
        <v>#DIV/0!</v>
      </c>
      <c r="F18" s="1737" t="e">
        <f t="shared" si="1"/>
        <v>#DIV/0!</v>
      </c>
      <c r="G18" s="1739"/>
      <c r="H18" s="1739"/>
      <c r="I18" s="1739"/>
    </row>
    <row r="19" spans="1:9" ht="15.6">
      <c r="A19" s="1736" t="s">
        <v>1727</v>
      </c>
      <c r="B19" s="1738"/>
      <c r="C19" s="1738"/>
      <c r="D19" s="1738"/>
      <c r="E19" s="1737" t="e">
        <f t="shared" si="0"/>
        <v>#DIV/0!</v>
      </c>
      <c r="F19" s="1737" t="e">
        <f t="shared" si="1"/>
        <v>#DIV/0!</v>
      </c>
      <c r="G19" s="1739"/>
      <c r="H19" s="1739"/>
      <c r="I19" s="1739"/>
    </row>
    <row r="20" spans="1:9" ht="15.6">
      <c r="A20" s="1736" t="s">
        <v>1728</v>
      </c>
      <c r="B20" s="1738"/>
      <c r="C20" s="1738"/>
      <c r="D20" s="1738"/>
      <c r="E20" s="1737" t="e">
        <f t="shared" si="0"/>
        <v>#DIV/0!</v>
      </c>
      <c r="F20" s="1737" t="e">
        <f t="shared" si="1"/>
        <v>#DIV/0!</v>
      </c>
      <c r="G20" s="1739"/>
      <c r="H20" s="1739"/>
      <c r="I20" s="1739"/>
    </row>
    <row r="21" spans="1:9" ht="15.6">
      <c r="A21" s="1736" t="s">
        <v>1729</v>
      </c>
      <c r="B21" s="1738"/>
      <c r="C21" s="1738"/>
      <c r="D21" s="1738"/>
      <c r="E21" s="1737" t="e">
        <f t="shared" si="0"/>
        <v>#DIV/0!</v>
      </c>
      <c r="F21" s="1737" t="e">
        <f t="shared" si="1"/>
        <v>#DIV/0!</v>
      </c>
      <c r="G21" s="1739"/>
      <c r="H21" s="1739"/>
      <c r="I21" s="1739"/>
    </row>
    <row r="22" spans="1:9" ht="15.6">
      <c r="A22" s="1736" t="s">
        <v>1730</v>
      </c>
      <c r="B22" s="1738"/>
      <c r="C22" s="1738"/>
      <c r="D22" s="1738"/>
      <c r="E22" s="1737" t="e">
        <f t="shared" si="0"/>
        <v>#DIV/0!</v>
      </c>
      <c r="F22" s="1737" t="e">
        <f t="shared" si="1"/>
        <v>#DIV/0!</v>
      </c>
      <c r="G22" s="1739"/>
      <c r="H22" s="1739"/>
      <c r="I22" s="1739"/>
    </row>
    <row r="23" spans="1:9" ht="15.6">
      <c r="A23" s="1736" t="s">
        <v>1731</v>
      </c>
      <c r="B23" s="1738"/>
      <c r="C23" s="1738"/>
      <c r="D23" s="1738"/>
      <c r="E23" s="1581" t="e">
        <f t="shared" si="0"/>
        <v>#DIV/0!</v>
      </c>
      <c r="F23" s="1581" t="e">
        <f t="shared" si="1"/>
        <v>#DIV/0!</v>
      </c>
      <c r="G23" s="1739"/>
      <c r="H23" s="1739"/>
      <c r="I23" s="1739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40"/>
      <c r="I1" s="1740"/>
      <c r="X1" s="221"/>
      <c r="AG1" s="189"/>
    </row>
    <row r="2" spans="1:33" ht="18" thickBot="1">
      <c r="A2" s="1785" t="s">
        <v>1352</v>
      </c>
      <c r="B2" s="1785"/>
      <c r="C2" s="1785"/>
      <c r="D2" s="1785"/>
      <c r="E2" s="1785"/>
      <c r="F2" s="1785"/>
      <c r="G2" s="1785"/>
      <c r="H2" s="1741"/>
      <c r="I2" s="1740"/>
      <c r="X2" s="221"/>
      <c r="AG2" s="189"/>
    </row>
    <row r="3" spans="1:33" ht="14.4">
      <c r="A3" s="1786" t="s">
        <v>1353</v>
      </c>
      <c r="B3" s="1787"/>
      <c r="C3" s="1788"/>
      <c r="D3" s="1789" t="s">
        <v>1354</v>
      </c>
      <c r="E3" s="1787"/>
      <c r="F3" s="1787"/>
      <c r="G3" s="1790"/>
      <c r="H3" s="1741"/>
      <c r="I3" s="1740"/>
      <c r="X3" s="221"/>
      <c r="AG3" s="189"/>
    </row>
    <row r="4" spans="1:33" ht="28.8">
      <c r="A4" s="1291" t="s">
        <v>1355</v>
      </c>
      <c r="B4" s="1292" t="s">
        <v>1356</v>
      </c>
      <c r="C4" s="1293" t="s">
        <v>1357</v>
      </c>
      <c r="D4" s="1791" t="s">
        <v>1355</v>
      </c>
      <c r="E4" s="1783"/>
      <c r="F4" s="1292" t="s">
        <v>1356</v>
      </c>
      <c r="G4" s="1294" t="s">
        <v>1358</v>
      </c>
      <c r="H4" s="1741"/>
      <c r="I4" s="1740"/>
      <c r="X4" s="221"/>
      <c r="AG4" s="189"/>
    </row>
    <row r="5" spans="1:33" ht="14.4">
      <c r="A5" s="1792" t="s">
        <v>1359</v>
      </c>
      <c r="B5" s="1777">
        <f>主表!F5</f>
        <v>9047</v>
      </c>
      <c r="C5" s="1793" t="s">
        <v>1360</v>
      </c>
      <c r="D5" s="1783" t="s">
        <v>1361</v>
      </c>
      <c r="E5" s="1784"/>
      <c r="F5" s="1295">
        <f>SUM(F6:F10)</f>
        <v>0</v>
      </c>
      <c r="G5" s="1296" t="s">
        <v>1634</v>
      </c>
      <c r="H5" s="1741"/>
      <c r="I5" s="1740"/>
      <c r="X5" s="221"/>
      <c r="AG5" s="189"/>
    </row>
    <row r="6" spans="1:33" ht="43.2">
      <c r="A6" s="1792"/>
      <c r="B6" s="1777"/>
      <c r="C6" s="1793"/>
      <c r="D6" s="1794" t="s">
        <v>1382</v>
      </c>
      <c r="E6" s="1295" t="s">
        <v>1362</v>
      </c>
      <c r="F6" s="1295">
        <f>主表!F14</f>
        <v>0</v>
      </c>
      <c r="G6" s="1296" t="s">
        <v>1363</v>
      </c>
      <c r="H6" s="1741"/>
      <c r="I6" s="1740"/>
      <c r="X6" s="221"/>
      <c r="AG6" s="189"/>
    </row>
    <row r="7" spans="1:33" ht="14.4">
      <c r="A7" s="1792"/>
      <c r="B7" s="1777"/>
      <c r="C7" s="1793"/>
      <c r="D7" s="1794"/>
      <c r="E7" s="1295" t="s">
        <v>1364</v>
      </c>
      <c r="F7" s="1295">
        <f>主表!F15</f>
        <v>0</v>
      </c>
      <c r="G7" s="1296"/>
      <c r="H7" s="1741"/>
      <c r="I7" s="1740"/>
      <c r="X7" s="221"/>
      <c r="AG7" s="189"/>
    </row>
    <row r="8" spans="1:33" ht="14.4">
      <c r="A8" s="1792"/>
      <c r="B8" s="1777"/>
      <c r="C8" s="1793"/>
      <c r="D8" s="1779" t="s">
        <v>1383</v>
      </c>
      <c r="E8" s="1780"/>
      <c r="F8" s="1295">
        <f>主表!F16</f>
        <v>0</v>
      </c>
      <c r="G8" s="1296" t="str">
        <f>"按建安工程费的"&amp;TEXT(主表!G16,"0.0%")&amp;"计取"</f>
        <v>按建安工程费的0.0%计取</v>
      </c>
      <c r="H8" s="1741"/>
      <c r="I8" s="1740"/>
      <c r="X8" s="221"/>
      <c r="AG8" s="189"/>
    </row>
    <row r="9" spans="1:33" ht="14.4">
      <c r="A9" s="1792"/>
      <c r="B9" s="1777"/>
      <c r="C9" s="1793"/>
      <c r="D9" s="1779" t="s">
        <v>1384</v>
      </c>
      <c r="E9" s="1780"/>
      <c r="F9" s="1295">
        <f>主表!F18</f>
        <v>0</v>
      </c>
      <c r="G9" s="1296" t="str">
        <f>"按建安工程费的"&amp;TEXT(主表!G18,"0.0%")&amp;"计取"</f>
        <v>按建安工程费的0.0%计取</v>
      </c>
      <c r="H9" s="1741"/>
      <c r="I9" s="1740"/>
      <c r="X9" s="221"/>
      <c r="AG9" s="189"/>
    </row>
    <row r="10" spans="1:33" ht="14.4">
      <c r="A10" s="1792"/>
      <c r="B10" s="1777"/>
      <c r="C10" s="1793"/>
      <c r="D10" s="1779" t="s">
        <v>1385</v>
      </c>
      <c r="E10" s="1780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1"/>
      <c r="I10" s="1740"/>
      <c r="X10" s="221"/>
      <c r="AG10" s="189"/>
    </row>
    <row r="11" spans="1:33" ht="14.4">
      <c r="A11" s="1291" t="s">
        <v>1365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83" t="s">
        <v>1366</v>
      </c>
      <c r="E11" s="1784"/>
      <c r="F11" s="1295">
        <f>主表!F20</f>
        <v>0</v>
      </c>
      <c r="G11" s="1296" t="str">
        <f>"按房屋建设成本的"&amp;主表!G20&amp;"计取"</f>
        <v>按房屋建设成本的计取</v>
      </c>
      <c r="H11" s="1741"/>
      <c r="I11" s="1740"/>
      <c r="X11" s="221"/>
      <c r="AG11" s="189"/>
    </row>
    <row r="12" spans="1:33" ht="43.2">
      <c r="A12" s="1291" t="s">
        <v>1367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83" t="s">
        <v>1368</v>
      </c>
      <c r="E12" s="1784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1"/>
      <c r="I12" s="1740"/>
      <c r="X12" s="221"/>
      <c r="AG12" s="189"/>
    </row>
    <row r="13" spans="1:33" ht="28.8">
      <c r="A13" s="1291" t="s">
        <v>1369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83" t="s">
        <v>1369</v>
      </c>
      <c r="E13" s="1784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1"/>
      <c r="I13" s="1740"/>
      <c r="X13" s="221"/>
      <c r="AG13" s="189"/>
    </row>
    <row r="14" spans="1:33" ht="14.4">
      <c r="A14" s="1291" t="s">
        <v>1370</v>
      </c>
      <c r="B14" s="1295">
        <f ca="1">SUM(B5:B13)</f>
        <v>9047</v>
      </c>
      <c r="C14" s="1298" t="s">
        <v>1371</v>
      </c>
      <c r="D14" s="1783" t="s">
        <v>1370</v>
      </c>
      <c r="E14" s="1784"/>
      <c r="F14" s="1295">
        <f ca="1">F5+F11+F12+F13</f>
        <v>0</v>
      </c>
      <c r="G14" s="1296" t="s">
        <v>1371</v>
      </c>
      <c r="H14" s="1741"/>
      <c r="I14" s="1740"/>
      <c r="X14" s="221"/>
      <c r="AG14" s="189"/>
    </row>
    <row r="15" spans="1:33" ht="29.4" thickBot="1">
      <c r="A15" s="1291" t="s">
        <v>1372</v>
      </c>
      <c r="B15" s="1777">
        <f ca="1">主表!F24</f>
        <v>9047</v>
      </c>
      <c r="C15" s="1778"/>
      <c r="D15" s="1779" t="s">
        <v>1373</v>
      </c>
      <c r="E15" s="1780"/>
      <c r="F15" s="1780"/>
      <c r="G15" s="1781"/>
      <c r="H15" s="1741"/>
      <c r="I15" s="1740"/>
      <c r="X15" s="221"/>
      <c r="AG15" s="189"/>
    </row>
    <row r="16" spans="1:33" ht="29.4" thickBot="1">
      <c r="A16" s="1291" t="s">
        <v>1374</v>
      </c>
      <c r="B16" s="1777">
        <f ca="1">主表!F25</f>
        <v>59.990699999999997</v>
      </c>
      <c r="C16" s="1778"/>
      <c r="D16" s="1779" t="s">
        <v>1375</v>
      </c>
      <c r="E16" s="1780"/>
      <c r="F16" s="1780"/>
      <c r="G16" s="1781"/>
      <c r="H16" s="1300" t="str">
        <f ca="1">NUMBERSTRING(INT(B16*10000),2)&amp;"元整"</f>
        <v>伍拾玖万玖仟玖佰零柒元整</v>
      </c>
      <c r="I16" s="1301"/>
      <c r="X16" s="221"/>
      <c r="AG16" s="189"/>
    </row>
    <row r="17" spans="1:33" ht="14.4">
      <c r="A17" s="1291" t="s">
        <v>1376</v>
      </c>
      <c r="B17" s="1782">
        <f>主表!F33</f>
        <v>0</v>
      </c>
      <c r="C17" s="1778"/>
      <c r="D17" s="1779" t="s">
        <v>1377</v>
      </c>
      <c r="E17" s="1780"/>
      <c r="F17" s="1780"/>
      <c r="G17" s="1781"/>
      <c r="H17" s="1741"/>
      <c r="I17" s="1740"/>
      <c r="X17" s="221"/>
      <c r="AG17" s="189"/>
    </row>
    <row r="18" spans="1:33" ht="29.4" thickBot="1">
      <c r="A18" s="1291" t="s">
        <v>1378</v>
      </c>
      <c r="B18" s="1777">
        <f ca="1">主表!F35</f>
        <v>0</v>
      </c>
      <c r="C18" s="1778"/>
      <c r="D18" s="1779" t="s">
        <v>1379</v>
      </c>
      <c r="E18" s="1780"/>
      <c r="F18" s="1780"/>
      <c r="G18" s="1781"/>
      <c r="H18" s="1741"/>
      <c r="I18" s="1740"/>
      <c r="X18" s="221"/>
      <c r="AG18" s="189"/>
    </row>
    <row r="19" spans="1:33" ht="29.4" thickBot="1">
      <c r="A19" s="1299" t="s">
        <v>1380</v>
      </c>
      <c r="B19" s="1772">
        <f ca="1">主表!F36</f>
        <v>0</v>
      </c>
      <c r="C19" s="1773"/>
      <c r="D19" s="1774" t="s">
        <v>1381</v>
      </c>
      <c r="E19" s="1775"/>
      <c r="F19" s="1775"/>
      <c r="G19" s="1776"/>
      <c r="H19" s="1300" t="str">
        <f ca="1">NUMBERSTRING(INT(B19*10000),2)&amp;"元整"</f>
        <v>零元整</v>
      </c>
      <c r="I19" s="1301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2"/>
      <c r="E20" s="1742"/>
      <c r="F20" s="1742"/>
      <c r="G20" s="1743"/>
      <c r="H20" s="1744"/>
      <c r="I20" s="1745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6" t="s">
        <v>222</v>
      </c>
      <c r="H26" s="227"/>
      <c r="I26" s="227"/>
      <c r="W26" s="221"/>
      <c r="X26" s="221"/>
      <c r="AF26" s="189"/>
      <c r="AG26" s="189"/>
    </row>
    <row r="27" spans="1:33">
      <c r="A27" s="1302" t="s">
        <v>223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G23" sqref="G23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0" t="s">
        <v>1283</v>
      </c>
      <c r="B2" s="1162"/>
      <c r="C2" s="1163"/>
      <c r="D2" s="1800" t="s">
        <v>1274</v>
      </c>
      <c r="E2" s="1801"/>
      <c r="F2" s="1801"/>
      <c r="G2" s="1801"/>
      <c r="H2" s="1802"/>
      <c r="I2" s="1164"/>
      <c r="J2" s="1164"/>
      <c r="K2" s="1211"/>
      <c r="L2" s="1211"/>
      <c r="N2" s="501" t="s">
        <v>1152</v>
      </c>
      <c r="O2" s="484">
        <f>SUMPRODUCT((N6:N12=B20)*(O5:Q5=B21)*(O6:Q12))</f>
        <v>60</v>
      </c>
    </row>
    <row r="3" spans="1:18" ht="15.75" customHeight="1">
      <c r="A3" s="1178" t="s">
        <v>1774</v>
      </c>
      <c r="B3" s="1564">
        <v>39953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60</v>
      </c>
    </row>
    <row r="4" spans="1:18" ht="15.75" customHeight="1">
      <c r="A4" s="1190" t="s">
        <v>1775</v>
      </c>
      <c r="B4" s="1564">
        <f>B3</f>
        <v>39953</v>
      </c>
      <c r="C4" s="1163"/>
      <c r="D4" s="1170" t="s">
        <v>1275</v>
      </c>
      <c r="E4" s="1171" t="s">
        <v>1568</v>
      </c>
      <c r="F4" s="1172">
        <f ca="1">F5+F8+F9+F10</f>
        <v>9047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>IF(B4&lt;DATE(2002,12,10),F6,F6-F7)</f>
        <v>9047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/>
      <c r="C6" s="1163"/>
      <c r="D6" s="1182" t="s">
        <v>1267</v>
      </c>
      <c r="E6" s="1178" t="s">
        <v>1223</v>
      </c>
      <c r="F6" s="1021">
        <f>IF(B4&lt;DATE(2002,12,10),'1993基准地价'!B3,IF(B4&gt;=DATE(2014,8,28),'2014基准地价'!B3,'2002基准地价'!B3))</f>
        <v>10065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66.31</v>
      </c>
      <c r="C7" s="1163"/>
      <c r="D7" s="1182" t="s">
        <v>1268</v>
      </c>
      <c r="E7" s="1178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1018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 t="e">
        <f>ROUND(B7/B6,2)</f>
        <v>#DIV/0!</v>
      </c>
      <c r="C8" s="1163"/>
      <c r="D8" s="1189">
        <v>2</v>
      </c>
      <c r="E8" s="1190" t="s">
        <v>1226</v>
      </c>
      <c r="F8" s="1191">
        <f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766" t="s">
        <v>580</v>
      </c>
      <c r="C10" s="1163"/>
      <c r="D10" s="1197">
        <v>4</v>
      </c>
      <c r="E10" s="1198" t="s">
        <v>1228</v>
      </c>
      <c r="F10" s="1199">
        <f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8" t="s">
        <v>580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69" t="s">
        <v>1792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0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1"/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2">
        <f>IF(B14="",B13-(YEAR($B$4)-B22+B23+B24),ROUNDDOWN(MIN((B14-$B$4)/365,B13),2))</f>
        <v>-1939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>
        <v>70</v>
      </c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3">
        <f>IF(B4&lt;DATE(2002,12,10),'1993基准地价'!C23,IF(B4&gt;=DATE(2014,8,28),'2014基准地价'!G20,'2002基准地价'!E10))</f>
        <v>0.04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4">
        <f>IF(ISERROR(ROUND(POWER(1+B17,B13-B15)*(POWER(1+B17,B15)-1)/(POWER(1+B17,B13)-1),3)),0,ROUND(POWER(1+B17,B13-B15)*(POWER(1+B17,B15)-1)/(POWER(1+B17,B13)-1),3))</f>
        <v>-1.13886137333573E+33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5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6" t="s">
        <v>1805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7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8"/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79"/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79"/>
      <c r="C24" s="1211"/>
      <c r="D24" s="1177">
        <v>1</v>
      </c>
      <c r="E24" s="1178" t="s">
        <v>1244</v>
      </c>
      <c r="F24" s="1021">
        <f ca="1">F4+F11</f>
        <v>9047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59.990699999999997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3" t="s">
        <v>1276</v>
      </c>
      <c r="E26" s="1804"/>
      <c r="F26" s="1804"/>
      <c r="G26" s="1804"/>
      <c r="H26" s="1805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</v>
      </c>
      <c r="G28" s="506"/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/>
      <c r="G30" s="1227">
        <f>IF(ISNUMBER(FIND("砖木",B20)),O30,SUMPRODUCT((N30:N32=E30)*(O29:R29=B20)*(O30:R32)))</f>
        <v>0.2</v>
      </c>
      <c r="H30" s="1228"/>
      <c r="I30" s="1795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0</v>
      </c>
      <c r="G31" s="1227">
        <f>IF(ISNUMBER(FIND("砖木",B20)),O31,SUMPRODUCT((N30:N32=E31)*(O29:R29=B20)*(O30:R32)))</f>
        <v>0.5</v>
      </c>
      <c r="H31" s="1228"/>
      <c r="I31" s="1795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0</v>
      </c>
      <c r="G32" s="1227">
        <f>IF(ISNUMBER(FIND("砖木",B20)),O32,SUMPRODUCT((N30:N32=E32)*(O29:R29=B20)*(O30:R32)))</f>
        <v>0.3</v>
      </c>
      <c r="H32" s="1228"/>
      <c r="I32" s="1795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3" t="s">
        <v>1279</v>
      </c>
      <c r="E34" s="1804"/>
      <c r="F34" s="1804"/>
      <c r="G34" s="1804"/>
      <c r="H34" s="1805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0</v>
      </c>
      <c r="G35" s="1796" t="s">
        <v>1256</v>
      </c>
      <c r="H35" s="1797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0</v>
      </c>
      <c r="G36" s="1798" t="s">
        <v>1258</v>
      </c>
      <c r="H36" s="1799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D69" sqref="D69"/>
    </sheetView>
  </sheetViews>
  <sheetFormatPr defaultColWidth="9" defaultRowHeight="12"/>
  <cols>
    <col min="1" max="1" width="9.77734375" style="710" customWidth="1"/>
    <col min="2" max="2" width="19.21875" style="778" customWidth="1"/>
    <col min="3" max="3" width="22.21875" style="709" customWidth="1"/>
    <col min="4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66.31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三级</v>
      </c>
      <c r="H2" s="811" t="s">
        <v>911</v>
      </c>
      <c r="I2" s="665" t="str">
        <f>主表!B11</f>
        <v>三级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</v>
      </c>
      <c r="H3" s="814" t="s">
        <v>254</v>
      </c>
      <c r="I3" s="398">
        <v>1</v>
      </c>
      <c r="J3" s="717" t="s">
        <v>255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3" t="str">
        <f>IF(E2="商业",IF(C8="不临58条商业街","",2),"")</f>
        <v/>
      </c>
      <c r="B7" s="826" t="s">
        <v>916</v>
      </c>
      <c r="C7" s="371">
        <f>IF(C8="不临58条商业街",1,ROUND(1+(1.6*E8+1.2*E9+0.8*E10+0.4*E11)*C9,4))</f>
        <v>1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4"/>
      <c r="B8" s="814" t="s">
        <v>918</v>
      </c>
      <c r="C8" s="933" t="s">
        <v>1799</v>
      </c>
      <c r="D8" s="374" t="s">
        <v>256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4"/>
      <c r="B9" s="814" t="s">
        <v>919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4"/>
      <c r="B10" s="814" t="s">
        <v>920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4"/>
      <c r="B11" s="833" t="s">
        <v>921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3">
        <f>IF(E2="住宅/居住",2,"")</f>
        <v>2</v>
      </c>
      <c r="B12" s="836" t="s">
        <v>922</v>
      </c>
      <c r="C12" s="371">
        <f>ROUND(C15*D15*E15*F15*G15*H15*I15*J15,4)</f>
        <v>1.21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5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260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5"/>
      <c r="B14" s="846"/>
      <c r="C14" s="847" t="s">
        <v>26</v>
      </c>
      <c r="D14" s="795" t="s">
        <v>25</v>
      </c>
      <c r="E14" s="795" t="s">
        <v>26</v>
      </c>
      <c r="F14" s="848" t="s">
        <v>1801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6"/>
      <c r="B15" s="853" t="s">
        <v>1473</v>
      </c>
      <c r="C15" s="29">
        <f>IF(C14="有",1.1,1)</f>
        <v>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1.1000000000000001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3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22" t="s">
        <v>927</v>
      </c>
      <c r="E16" s="1823"/>
      <c r="F16" s="1822" t="s">
        <v>925</v>
      </c>
      <c r="G16" s="1824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7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1802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18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2">
        <f>IF(H19&lt;DATE(2014,8,28),0,ROUND(I19/F19,4))</f>
        <v>0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39953</v>
      </c>
      <c r="I19" s="1506">
        <f>ROUND(SUMPRODUCT((地价!A5:A38=YEAR(H19)&amp;"-"&amp;ROUNDUP(MONTH(H19)/3,0))*(地价!B3:F3=E2)*(地价!B5:F38)),0)</f>
        <v>0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5.3099999999999994E-2</v>
      </c>
      <c r="F20" s="1464" t="s">
        <v>935</v>
      </c>
      <c r="G20" s="1468">
        <f ca="1">SUMIF(P18:S18,E2,P20:S20)</f>
        <v>6.0999999999999999E-2</v>
      </c>
      <c r="H20" s="1469" t="s">
        <v>1795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1.0601</v>
      </c>
      <c r="E22" s="1473">
        <f>ROUNDDOWN(G3,1)</f>
        <v>2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2">
        <f>ROUNDUP(G3,1)</f>
        <v>2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1.0426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0</v>
      </c>
      <c r="D29" s="607">
        <f>主表!B7</f>
        <v>66.31</v>
      </c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9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20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20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21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6.0999999999999999E-2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5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6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5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6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1.0426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5.7400000000000012E-3</v>
      </c>
      <c r="E70" s="253">
        <f>ROUND(SUM(D70:D78),4)</f>
        <v>4.2599999999999999E-2</v>
      </c>
      <c r="F70" s="937">
        <f>IF(E2="住宅/居住",SUMIF(L1:L12,G2,N1:N12),"——")</f>
        <v>0</v>
      </c>
      <c r="G70" s="491">
        <v>5.7400000000000012E-3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1.1480000000000002E-2</v>
      </c>
      <c r="K70" s="492">
        <f t="shared" ref="K70:K78" si="17">$L70+$G70</f>
        <v>5.7400000000000012E-3</v>
      </c>
      <c r="L70" s="492">
        <v>0</v>
      </c>
      <c r="M70" s="492">
        <f t="shared" ref="M70:N78" si="18">L70-$G70</f>
        <v>-5.7400000000000012E-3</v>
      </c>
      <c r="N70" s="492">
        <f t="shared" si="18"/>
        <v>-1.1480000000000002E-2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1.23E-2</v>
      </c>
      <c r="E71" s="263"/>
      <c r="F71" s="938"/>
      <c r="G71" s="491">
        <v>1.23E-2</v>
      </c>
      <c r="H71" s="494">
        <f t="shared" si="15"/>
        <v>0</v>
      </c>
      <c r="I71" s="252">
        <v>0.3</v>
      </c>
      <c r="J71" s="492">
        <f t="shared" si="16"/>
        <v>2.46E-2</v>
      </c>
      <c r="K71" s="492">
        <f t="shared" si="17"/>
        <v>1.23E-2</v>
      </c>
      <c r="L71" s="492">
        <v>0</v>
      </c>
      <c r="M71" s="492">
        <f t="shared" si="18"/>
        <v>-1.23E-2</v>
      </c>
      <c r="N71" s="492">
        <f t="shared" si="18"/>
        <v>-2.46E-2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3.2800000000000004E-3</v>
      </c>
      <c r="E72" s="263"/>
      <c r="F72" s="938"/>
      <c r="G72" s="491">
        <v>3.2800000000000004E-3</v>
      </c>
      <c r="H72" s="494">
        <f t="shared" si="15"/>
        <v>0</v>
      </c>
      <c r="I72" s="252">
        <v>0.08</v>
      </c>
      <c r="J72" s="492">
        <f t="shared" si="16"/>
        <v>6.5600000000000007E-3</v>
      </c>
      <c r="K72" s="492">
        <f t="shared" si="17"/>
        <v>3.2800000000000004E-3</v>
      </c>
      <c r="L72" s="492">
        <v>0</v>
      </c>
      <c r="M72" s="492">
        <f t="shared" si="18"/>
        <v>-3.2800000000000004E-3</v>
      </c>
      <c r="N72" s="492">
        <f t="shared" si="18"/>
        <v>-6.5600000000000007E-3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1797</v>
      </c>
      <c r="D73" s="490">
        <f t="shared" si="14"/>
        <v>-1.6400000000000002E-3</v>
      </c>
      <c r="E73" s="263"/>
      <c r="F73" s="938"/>
      <c r="G73" s="491">
        <v>1.6400000000000002E-3</v>
      </c>
      <c r="H73" s="494">
        <f t="shared" si="15"/>
        <v>0</v>
      </c>
      <c r="I73" s="252">
        <v>0.04</v>
      </c>
      <c r="J73" s="492">
        <f t="shared" si="16"/>
        <v>3.2800000000000004E-3</v>
      </c>
      <c r="K73" s="492">
        <f t="shared" si="17"/>
        <v>1.6400000000000002E-3</v>
      </c>
      <c r="L73" s="492">
        <v>0</v>
      </c>
      <c r="M73" s="492">
        <f t="shared" si="18"/>
        <v>-1.6400000000000002E-3</v>
      </c>
      <c r="N73" s="492">
        <f t="shared" si="18"/>
        <v>-3.2800000000000004E-3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1798</v>
      </c>
      <c r="D74" s="490">
        <f t="shared" si="14"/>
        <v>3.2800000000000004E-3</v>
      </c>
      <c r="E74" s="263"/>
      <c r="F74" s="938"/>
      <c r="G74" s="491">
        <v>3.2800000000000004E-3</v>
      </c>
      <c r="H74" s="494">
        <f t="shared" si="15"/>
        <v>0</v>
      </c>
      <c r="I74" s="252">
        <v>0.08</v>
      </c>
      <c r="J74" s="492">
        <f t="shared" si="16"/>
        <v>6.5600000000000007E-3</v>
      </c>
      <c r="K74" s="492">
        <f t="shared" si="17"/>
        <v>3.2800000000000004E-3</v>
      </c>
      <c r="L74" s="492">
        <v>0</v>
      </c>
      <c r="M74" s="492">
        <f t="shared" si="18"/>
        <v>-3.2800000000000004E-3</v>
      </c>
      <c r="N74" s="492">
        <f t="shared" si="18"/>
        <v>-6.5600000000000007E-3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1800</v>
      </c>
      <c r="D75" s="490">
        <f t="shared" si="14"/>
        <v>9.8399999999999998E-3</v>
      </c>
      <c r="E75" s="263"/>
      <c r="F75" s="938"/>
      <c r="G75" s="491">
        <v>4.9199999999999999E-3</v>
      </c>
      <c r="H75" s="494">
        <f t="shared" si="15"/>
        <v>0</v>
      </c>
      <c r="I75" s="252">
        <v>0.12</v>
      </c>
      <c r="J75" s="492">
        <f t="shared" si="16"/>
        <v>9.8399999999999998E-3</v>
      </c>
      <c r="K75" s="492">
        <f t="shared" si="17"/>
        <v>4.9199999999999999E-3</v>
      </c>
      <c r="L75" s="492">
        <v>0</v>
      </c>
      <c r="M75" s="492">
        <f t="shared" si="18"/>
        <v>-4.9199999999999999E-3</v>
      </c>
      <c r="N75" s="492">
        <f t="shared" si="18"/>
        <v>-9.8399999999999998E-3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6" t="s">
        <v>1736</v>
      </c>
      <c r="C76" s="795" t="s">
        <v>1798</v>
      </c>
      <c r="D76" s="490">
        <f t="shared" si="14"/>
        <v>2.0500000000000002E-3</v>
      </c>
      <c r="E76" s="263"/>
      <c r="F76" s="938"/>
      <c r="G76" s="491">
        <v>2.0500000000000002E-3</v>
      </c>
      <c r="H76" s="494">
        <f t="shared" si="15"/>
        <v>0</v>
      </c>
      <c r="I76" s="252">
        <v>0.05</v>
      </c>
      <c r="J76" s="492">
        <f t="shared" si="16"/>
        <v>4.1000000000000003E-3</v>
      </c>
      <c r="K76" s="492">
        <f t="shared" si="17"/>
        <v>2.0500000000000002E-3</v>
      </c>
      <c r="L76" s="492">
        <v>0</v>
      </c>
      <c r="M76" s="492">
        <f t="shared" si="18"/>
        <v>-2.0500000000000002E-3</v>
      </c>
      <c r="N76" s="492">
        <f t="shared" si="18"/>
        <v>-4.1000000000000003E-3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1798</v>
      </c>
      <c r="D77" s="490">
        <f t="shared" si="14"/>
        <v>6.1500000000000001E-3</v>
      </c>
      <c r="E77" s="263"/>
      <c r="F77" s="938"/>
      <c r="G77" s="491">
        <v>6.1500000000000001E-3</v>
      </c>
      <c r="H77" s="494">
        <f t="shared" si="15"/>
        <v>0</v>
      </c>
      <c r="I77" s="252">
        <v>0.15</v>
      </c>
      <c r="J77" s="492">
        <f t="shared" si="16"/>
        <v>1.23E-2</v>
      </c>
      <c r="K77" s="492">
        <f t="shared" si="17"/>
        <v>6.1500000000000001E-3</v>
      </c>
      <c r="L77" s="492">
        <v>0</v>
      </c>
      <c r="M77" s="492">
        <f t="shared" si="18"/>
        <v>-6.1500000000000001E-3</v>
      </c>
      <c r="N77" s="492">
        <f t="shared" si="18"/>
        <v>-1.23E-2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1798</v>
      </c>
      <c r="D78" s="490">
        <f t="shared" si="14"/>
        <v>1.6400000000000002E-3</v>
      </c>
      <c r="E78" s="264"/>
      <c r="F78" s="938"/>
      <c r="G78" s="491">
        <v>1.6400000000000002E-3</v>
      </c>
      <c r="H78" s="494">
        <f t="shared" si="15"/>
        <v>0</v>
      </c>
      <c r="I78" s="260">
        <v>0.04</v>
      </c>
      <c r="J78" s="492">
        <f t="shared" si="16"/>
        <v>3.2800000000000004E-3</v>
      </c>
      <c r="K78" s="492">
        <f t="shared" si="17"/>
        <v>1.6400000000000002E-3</v>
      </c>
      <c r="L78" s="492">
        <v>0</v>
      </c>
      <c r="M78" s="492">
        <f t="shared" si="18"/>
        <v>-1.6400000000000002E-3</v>
      </c>
      <c r="N78" s="492">
        <f t="shared" si="18"/>
        <v>-3.2800000000000004E-3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6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8" t="s">
        <v>1158</v>
      </c>
      <c r="B91" s="1818"/>
      <c r="C91" s="1818"/>
      <c r="D91" s="1818"/>
      <c r="E91" s="1818"/>
      <c r="F91" s="1818"/>
      <c r="G91" s="1818"/>
      <c r="H91" s="1818"/>
      <c r="I91" s="1818"/>
      <c r="J91" s="1818"/>
      <c r="K91" s="653"/>
      <c r="L91" s="653"/>
      <c r="M91" s="653"/>
      <c r="N91" s="653"/>
    </row>
    <row r="92" spans="1:37">
      <c r="A92" s="1807" t="s">
        <v>1159</v>
      </c>
      <c r="B92" s="1807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7"/>
      <c r="B93" s="1807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08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9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1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8" t="s">
        <v>1479</v>
      </c>
      <c r="B102" s="943" t="s">
        <v>1482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09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09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09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09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09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09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09"/>
      <c r="B109" s="1811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10"/>
      <c r="B110" s="1812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06" t="s">
        <v>1174</v>
      </c>
      <c r="B111" s="1806"/>
      <c r="C111" s="1806"/>
      <c r="D111" s="1806"/>
      <c r="E111" s="1806"/>
      <c r="F111" s="1806"/>
      <c r="G111" s="1806"/>
      <c r="H111" s="1806"/>
      <c r="I111" s="1806"/>
      <c r="J111" s="180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226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5" t="s">
        <v>984</v>
      </c>
      <c r="B1" s="1825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5" t="s">
        <v>288</v>
      </c>
      <c r="B1" s="1825"/>
      <c r="C1" s="1825"/>
      <c r="D1" s="1825"/>
      <c r="E1" s="1825"/>
      <c r="F1" s="1825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6" t="s">
        <v>301</v>
      </c>
      <c r="B2" s="1826"/>
      <c r="C2" s="1826"/>
      <c r="D2" s="1826"/>
      <c r="E2" s="1826"/>
      <c r="F2" s="1826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7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8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252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251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251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2017-02-10T06:38:27Z</cp:lastPrinted>
  <dcterms:created xsi:type="dcterms:W3CDTF">2015-07-13T07:17:23Z</dcterms:created>
  <dcterms:modified xsi:type="dcterms:W3CDTF">2024-10-10T05:45:19Z</dcterms:modified>
</cp:coreProperties>
</file>