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408北京市朝阳区潘道庙8号楼7单元5层04户\"/>
    </mc:Choice>
  </mc:AlternateContent>
  <bookViews>
    <workbookView xWindow="0" yWindow="0" windowWidth="17724" windowHeight="1362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5" i="21"/>
  <c r="G5" i="21"/>
  <c r="E5" i="21"/>
  <c r="T3" i="87"/>
  <c r="S3" i="87"/>
  <c r="AB3" i="87" s="1"/>
  <c r="Q3" i="87"/>
  <c r="S4" i="87"/>
  <c r="AB4" i="87" s="1"/>
  <c r="Q4" i="87"/>
  <c r="N20" i="1"/>
  <c r="I13" i="3"/>
  <c r="C6" i="69"/>
  <c r="W3" i="87" l="1"/>
  <c r="X3" i="87" s="1"/>
  <c r="T4" i="87"/>
  <c r="W4" i="87"/>
  <c r="X4" i="87" s="1"/>
  <c r="C37" i="21" l="1"/>
  <c r="D5" i="9"/>
  <c r="L59" i="21" l="1"/>
  <c r="K59" i="21"/>
  <c r="I59" i="21"/>
  <c r="H59" i="21"/>
  <c r="F59" i="21"/>
  <c r="E59" i="21"/>
  <c r="F90" i="21"/>
  <c r="E90" i="21"/>
  <c r="D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G26" i="12"/>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F33" i="21"/>
  <c r="AA33" i="21" s="1"/>
  <c r="J33" i="21"/>
  <c r="AC33" i="21" s="1"/>
  <c r="H33" i="21"/>
  <c r="AB33" i="21" s="1"/>
  <c r="AB14" i="21"/>
  <c r="U40" i="21"/>
  <c r="U13" i="21"/>
  <c r="AB13" i="21"/>
  <c r="J17" i="21"/>
  <c r="AC17" i="21" s="1"/>
  <c r="AC19" i="21"/>
  <c r="AC14" i="21"/>
  <c r="W30" i="21"/>
  <c r="H45" i="21"/>
  <c r="U45" i="21" s="1"/>
  <c r="F29" i="21"/>
  <c r="AA29" i="21" s="1"/>
  <c r="F13" i="21"/>
  <c r="AA13" i="21" s="1"/>
  <c r="H32" i="21"/>
  <c r="U32" i="21" s="1"/>
  <c r="H9" i="21"/>
  <c r="AB9" i="21" s="1"/>
  <c r="J9" i="21"/>
  <c r="AC9" i="21" s="1"/>
  <c r="F32" i="21"/>
  <c r="AA32" i="21" s="1"/>
  <c r="AA31" i="21"/>
  <c r="W29" i="21"/>
  <c r="S19" i="21"/>
  <c r="AA9" i="21"/>
  <c r="K141" i="21"/>
  <c r="K144" i="21"/>
  <c r="K143" i="21"/>
  <c r="AB25" i="21"/>
  <c r="W13" i="21"/>
  <c r="F10" i="21"/>
  <c r="AA10" i="21" s="1"/>
  <c r="K145" i="21"/>
  <c r="W25" i="21"/>
  <c r="W31"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11" i="76"/>
  <c r="B9" i="76"/>
  <c r="M8" i="67"/>
  <c r="E12" i="76"/>
  <c r="B7" i="76"/>
  <c r="B8" i="76"/>
  <c r="F3" i="73"/>
  <c r="E11" i="76"/>
  <c r="AO13" i="1"/>
  <c r="F5" i="73"/>
  <c r="E2" i="68"/>
  <c r="E7" i="76"/>
  <c r="E9" i="76"/>
  <c r="F7" i="67"/>
  <c r="M9" i="67"/>
  <c r="B10" i="76"/>
  <c r="D35" i="9"/>
  <c r="E2" i="69"/>
  <c r="F7" i="73"/>
  <c r="M22" i="67"/>
  <c r="F6" i="73"/>
  <c r="F4" i="73"/>
  <c r="B13" i="76"/>
  <c r="F20" i="31"/>
  <c r="M8" i="15"/>
  <c r="B12" i="76"/>
  <c r="M23" i="67"/>
  <c r="E13" i="76"/>
  <c r="D34" i="9"/>
  <c r="C76" i="67"/>
  <c r="E8" i="76"/>
  <c r="J15" i="21" l="1"/>
  <c r="AC15" i="21" s="1"/>
  <c r="H15" i="21"/>
  <c r="U15" i="21" s="1"/>
  <c r="J32" i="21"/>
  <c r="W32" i="21" s="1"/>
  <c r="AA15" i="21"/>
  <c r="G22" i="68"/>
  <c r="G22" i="69"/>
  <c r="G22" i="11"/>
  <c r="E1" i="73"/>
  <c r="C7" i="12"/>
  <c r="H36" i="21"/>
  <c r="U36" i="21" s="1"/>
  <c r="F17" i="21"/>
  <c r="AA17" i="21" s="1"/>
  <c r="S28" i="21"/>
  <c r="C40" i="11"/>
  <c r="AA21" i="39"/>
  <c r="S12" i="33"/>
  <c r="AZ135" i="3"/>
  <c r="AA15" i="39"/>
  <c r="S15" i="39"/>
  <c r="AB37" i="39"/>
  <c r="U37" i="39"/>
  <c r="AA36" i="37"/>
  <c r="S36" i="37"/>
  <c r="U29" i="33"/>
  <c r="AB29" i="33"/>
  <c r="AA17" i="34"/>
  <c r="S17" i="34"/>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J15" i="15"/>
  <c r="M26" i="67"/>
  <c r="M26" i="15"/>
  <c r="F9" i="15"/>
  <c r="M28" i="15"/>
  <c r="J15" i="67"/>
  <c r="C36" i="69"/>
  <c r="D7" i="73"/>
  <c r="F38" i="67"/>
  <c r="M29" i="15"/>
  <c r="F7" i="15"/>
  <c r="F13" i="67"/>
  <c r="F42" i="67"/>
  <c r="L47" i="15"/>
  <c r="F8" i="15"/>
  <c r="F38" i="15"/>
  <c r="M6" i="15"/>
  <c r="F36" i="67"/>
  <c r="F16" i="67"/>
  <c r="L48" i="15"/>
  <c r="M22" i="15"/>
  <c r="D9" i="69"/>
  <c r="F36" i="15"/>
  <c r="D4" i="73"/>
  <c r="M24" i="15"/>
  <c r="F40" i="67"/>
  <c r="D3" i="73"/>
  <c r="F43" i="15"/>
  <c r="D6" i="73"/>
  <c r="F43" i="67"/>
  <c r="F26" i="67"/>
  <c r="F6" i="67"/>
  <c r="M6" i="67"/>
  <c r="F13" i="15"/>
  <c r="F37" i="15"/>
  <c r="D5" i="73"/>
  <c r="L48" i="67"/>
  <c r="L47" i="67"/>
  <c r="F16" i="15"/>
  <c r="M24" i="67"/>
  <c r="F9" i="67"/>
  <c r="M23" i="15"/>
  <c r="M29" i="67"/>
  <c r="M28" i="67"/>
  <c r="F40" i="15"/>
  <c r="F42" i="15"/>
  <c r="F26" i="15"/>
  <c r="F6" i="15"/>
  <c r="M9" i="15"/>
  <c r="F37" i="67"/>
  <c r="F8" i="67"/>
  <c r="C76" i="15"/>
  <c r="AB15" i="21" l="1"/>
  <c r="W15"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C16" i="15"/>
  <c r="G1" i="73"/>
  <c r="C16" i="67"/>
  <c r="F27" i="69"/>
  <c r="M17" i="15" l="1"/>
  <c r="W7" i="36"/>
  <c r="E211" i="3"/>
  <c r="E162" i="3"/>
  <c r="E514" i="3"/>
  <c r="E533" i="3"/>
  <c r="E321" i="3"/>
  <c r="E227" i="3"/>
  <c r="E551" i="3"/>
  <c r="E134" i="3"/>
  <c r="E236"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7" i="67"/>
  <c r="M27" i="15"/>
  <c r="F41" i="15"/>
  <c r="W10" i="40" l="1"/>
  <c r="E49" i="34"/>
  <c r="F45" i="68"/>
  <c r="C29" i="68"/>
  <c r="D27"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D10" i="69"/>
  <c r="C17" i="67"/>
  <c r="C34" i="69"/>
  <c r="C14" i="67"/>
  <c r="D22" i="6" l="1"/>
  <c r="D5" i="6"/>
  <c r="H24" i="6"/>
  <c r="D13" i="6"/>
  <c r="D23" i="6"/>
  <c r="D29" i="6"/>
  <c r="D30" i="6" s="1"/>
  <c r="D14" i="6"/>
  <c r="D20" i="6"/>
  <c r="D15" i="6"/>
  <c r="H26" i="6"/>
  <c r="D11" i="6"/>
  <c r="D8" i="6"/>
  <c r="D24" i="6"/>
  <c r="D25" i="6"/>
  <c r="D12" i="6"/>
  <c r="D19" i="6"/>
  <c r="D10" i="6"/>
  <c r="D26" i="6"/>
  <c r="C26" i="69"/>
  <c r="D22" i="69" s="1"/>
  <c r="H22" i="6"/>
  <c r="R22" i="6" s="1"/>
  <c r="R9" i="1" s="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4" i="6"/>
  <c r="R11" i="1" s="1"/>
  <c r="C15" i="12"/>
  <c r="C12" i="12"/>
  <c r="D8" i="74"/>
  <c r="D7" i="74"/>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R20" i="6" l="1"/>
  <c r="R7"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10" i="1"/>
  <c r="AO6"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D19" i="9"/>
  <c r="B3" i="69"/>
  <c r="C57" i="69" l="1"/>
  <c r="C56" i="69" s="1"/>
  <c r="G19" i="9"/>
  <c r="G21" i="9" s="1"/>
  <c r="D22" i="9"/>
  <c r="D102" i="9"/>
  <c r="D21" i="9"/>
  <c r="D20" i="9"/>
  <c r="G20" i="9" l="1"/>
  <c r="C32" i="9" s="1"/>
  <c r="C35" i="9" s="1"/>
  <c r="C34" i="9" s="1"/>
  <c r="D103" i="9"/>
  <c r="D14" i="74"/>
  <c r="B5" i="74" s="1"/>
  <c r="F14" i="74" l="1"/>
  <c r="D5" i="74"/>
  <c r="E14" i="74"/>
  <c r="N58" i="9" l="1"/>
  <c r="P57" i="9"/>
  <c r="B30" i="72"/>
  <c r="N61" i="9"/>
  <c r="N59" i="9"/>
  <c r="N60" i="9"/>
  <c r="D8" i="52"/>
  <c r="B20" i="72"/>
  <c r="B21" i="72"/>
  <c r="M54" i="9"/>
  <c r="B31" i="72"/>
  <c r="I4" i="52"/>
  <c r="C105" i="9"/>
  <c r="E81" i="9"/>
  <c r="B51" i="72"/>
  <c r="M48" i="9"/>
  <c r="D52" i="9"/>
  <c r="D53" i="9"/>
  <c r="D56" i="9"/>
  <c r="C104" i="9"/>
  <c r="H4" i="52"/>
  <c r="F4" i="52"/>
  <c r="B52" i="72"/>
  <c r="B48" i="72"/>
  <c r="D13" i="53"/>
  <c r="D14" i="53"/>
  <c r="B32" i="72"/>
  <c r="D54" i="9"/>
  <c r="C68" i="9"/>
  <c r="C81" i="9"/>
  <c r="F119" i="9"/>
  <c r="F5" i="52"/>
  <c r="B53" i="72"/>
  <c r="H119" i="9"/>
  <c r="H5" i="52"/>
  <c r="C5" i="74"/>
  <c r="H102" i="9"/>
  <c r="D7" i="53"/>
  <c r="D15" i="53"/>
  <c r="H108" i="9"/>
  <c r="C6" i="74"/>
  <c r="C93" i="9"/>
  <c r="C86" i="9"/>
  <c r="H107" i="9"/>
  <c r="D122" i="9"/>
  <c r="D123" i="9"/>
  <c r="D9" i="52"/>
  <c r="E4" i="52"/>
  <c r="C97" i="9"/>
  <c r="D58" i="9"/>
  <c r="C80" i="9"/>
  <c r="E80" i="9"/>
  <c r="B47" i="72"/>
  <c r="D5" i="53"/>
  <c r="D6" i="53"/>
  <c r="B22" i="72"/>
  <c r="G4" i="52"/>
  <c r="G118" i="9"/>
  <c r="F118" i="9"/>
  <c r="D4" i="52"/>
  <c r="C85" i="9"/>
  <c r="C95" i="9"/>
  <c r="C96" i="9"/>
  <c r="E96" i="9"/>
  <c r="E97" i="9"/>
  <c r="C72" i="9"/>
  <c r="C79" i="9"/>
  <c r="C78" i="9"/>
  <c r="C73" i="9"/>
  <c r="B49" i="72"/>
  <c r="E118" i="9"/>
  <c r="D118" i="9"/>
  <c r="D119" i="9"/>
  <c r="D5" i="52"/>
  <c r="D55" i="9"/>
  <c r="M53" i="9"/>
  <c r="N57"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<sst xmlns="http://schemas.openxmlformats.org/spreadsheetml/2006/main" count="9606" uniqueCount="4033">
  <si>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</si>
  <si>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</si>
  <si>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</si>
  <si>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</si>
  <si>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</si>
  <si>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</si>
  <si>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</si>
  <si>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</si>
  <si>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</si>
  <si>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</si>
  <si>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</si>
  <si>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</si>
  <si>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</si>
  <si>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</si>
  <si>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</si>
  <si>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</si>
  <si>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</si>
  <si>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</si>
  <si>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</si>
  <si>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</si>
  <si>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</si>
  <si>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</si>
  <si>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</si>
  <si>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</si>
  <si>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</si>
  <si>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</si>
  <si>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</si>
  <si>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</si>
  <si>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</si>
  <si>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</si>
  <si>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</si>
  <si>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</si>
  <si>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</si>
  <si>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</si>
  <si>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</si>
  <si>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</si>
  <si>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</si>
  <si>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</si>
  <si>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</si>
  <si>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</si>
  <si>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</si>
  <si>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</si>
  <si>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</si>
  <si>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</si>
  <si>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</si>
  <si>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</si>
  <si>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</si>
  <si>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</si>
  <si>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</si>
  <si>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</si>
  <si>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</si>
  <si>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</si>
  <si>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</si>
  <si>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</si>
  <si>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</si>
  <si>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</si>
  <si>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</si>
  <si>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</si>
  <si>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</si>
  <si>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</si>
  <si>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</si>
  <si>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</si>
  <si>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</si>
  <si>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</si>
  <si>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</si>
  <si>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</si>
  <si>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</si>
  <si>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</si>
  <si>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</si>
  <si>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</si>
  <si>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</si>
  <si>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</si>
  <si>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</si>
  <si>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</si>
  <si>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</si>
  <si>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</si>
  <si>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</si>
  <si>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</si>
  <si>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</si>
  <si>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</si>
  <si>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</si>
  <si>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</si>
  <si>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</si>
  <si>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</si>
  <si>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</si>
  <si>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</si>
  <si>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</si>
  <si>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</si>
  <si>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</si>
  <si>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</si>
  <si>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</si>
  <si>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</si>
  <si>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</si>
  <si>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</si>
  <si>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</si>
  <si>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</si>
  <si>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</si>
  <si>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</si>
  <si>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</si>
  <si>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</si>
  <si>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</si>
  <si>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</si>
  <si>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</si>
  <si>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</si>
  <si>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</si>
  <si>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</si>
  <si>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</si>
  <si>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</si>
  <si>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</si>
  <si>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</si>
  <si>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</si>
  <si>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</si>
  <si>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</si>
  <si>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</si>
  <si>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</si>
  <si>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</si>
  <si>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</si>
  <si>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</si>
  <si>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</si>
  <si>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</si>
  <si>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</si>
  <si>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</si>
  <si>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</si>
  <si>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</si>
  <si>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</si>
  <si>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</si>
  <si>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</si>
  <si>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</si>
  <si>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</si>
  <si>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</si>
  <si>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</si>
  <si>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</si>
  <si>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</si>
  <si>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</si>
  <si>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</si>
  <si>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</si>
  <si>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</si>
  <si>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</si>
  <si>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</si>
  <si>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</si>
  <si>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</si>
  <si>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</si>
  <si>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</si>
  <si>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</si>
  <si>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</si>
  <si>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</si>
  <si>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</si>
  <si>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</si>
  <si>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</si>
  <si>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</si>
  <si>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</si>
  <si>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</si>
  <si>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</si>
  <si>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</si>
  <si>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</si>
  <si>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</si>
  <si>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</si>
  <si>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</si>
  <si>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</si>
  <si>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</si>
  <si>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</si>
  <si>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</si>
  <si>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</si>
  <si>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</si>
  <si>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</si>
  <si>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</si>
  <si>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</si>
  <si>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</si>
  <si>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</si>
  <si>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</si>
  <si>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</si>
  <si>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</si>
  <si>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</si>
  <si>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</si>
  <si>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</si>
  <si>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</si>
  <si>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</si>
  <si>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</si>
  <si>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</si>
  <si>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</si>
  <si>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</si>
  <si>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</si>
  <si>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</si>
  <si>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</si>
  <si>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</si>
  <si>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</si>
  <si>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</si>
  <si>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</si>
  <si>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</si>
  <si>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</si>
  <si>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</si>
  <si>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</si>
  <si>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</si>
  <si>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</si>
  <si>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</si>
  <si>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</si>
  <si>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</si>
  <si>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</si>
  <si>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</si>
  <si>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</si>
  <si>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</si>
  <si>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</si>
  <si>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</si>
  <si>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</si>
  <si>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</si>
  <si>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</si>
  <si>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</si>
  <si>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</si>
  <si>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</si>
  <si>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</si>
  <si>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</si>
  <si>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</si>
  <si>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</si>
  <si>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</si>
  <si>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</si>
  <si>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</si>
  <si>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</si>
  <si>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</si>
  <si>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</si>
  <si>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</si>
  <si>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</si>
  <si>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</si>
  <si>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</si>
  <si>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</si>
  <si>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</si>
  <si>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</si>
  <si>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</si>
  <si>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</si>
  <si>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</si>
  <si>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</si>
  <si>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</si>
  <si>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</si>
  <si>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</si>
  <si>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</si>
  <si>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</si>
  <si>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</si>
  <si>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</si>
  <si>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</si>
  <si>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</si>
  <si>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</si>
  <si>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</si>
  <si>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</si>
  <si>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</si>
  <si>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</si>
  <si>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</si>
  <si>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</si>
  <si>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</si>
  <si>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</si>
  <si>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</si>
  <si>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</si>
  <si>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</si>
  <si>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</si>
  <si>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</si>
  <si>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</si>
  <si>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</si>
  <si>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</si>
  <si>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</si>
  <si>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</si>
  <si>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</si>
  <si>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</si>
  <si>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</si>
  <si>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</si>
  <si>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</si>
  <si>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</si>
  <si>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</si>
  <si>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</si>
  <si>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</si>
  <si>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</si>
  <si>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</si>
  <si>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</si>
  <si>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</si>
  <si>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</si>
  <si>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</si>
  <si>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</si>
  <si>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</si>
  <si>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</si>
  <si>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</si>
  <si>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</si>
  <si>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</si>
  <si>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</si>
  <si>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</si>
  <si>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</si>
  <si>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</si>
  <si>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</si>
  <si>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</si>
  <si>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</si>
  <si>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</si>
  <si>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</si>
  <si>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</si>
  <si>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</si>
  <si>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</si>
  <si>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</si>
  <si>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</si>
  <si>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</si>
  <si>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</si>
  <si>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</si>
  <si>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</si>
  <si>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</si>
  <si>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</si>
  <si>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</si>
  <si>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</si>
  <si>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</si>
  <si>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</si>
  <si>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</si>
  <si>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</si>
  <si>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</si>
  <si>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</si>
  <si>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</si>
  <si>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</si>
  <si>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</si>
  <si>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</si>
  <si>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</si>
  <si>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</si>
  <si>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</si>
  <si>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</si>
  <si>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</si>
  <si>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</si>
  <si>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</si>
  <si>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</si>
  <si>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</si>
  <si>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</si>
  <si>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</si>
  <si>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</si>
  <si>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</si>
  <si>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</si>
  <si>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</si>
  <si>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</si>
  <si>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</si>
  <si>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</si>
  <si>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</si>
  <si>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</si>
  <si>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</si>
  <si>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</si>
  <si>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</si>
  <si>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</si>
  <si>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</si>
  <si>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</si>
  <si>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</si>
  <si>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</si>
  <si>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</si>
  <si>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</si>
  <si>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</si>
  <si>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</si>
  <si>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</si>
  <si>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</si>
  <si>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</si>
  <si>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</si>
  <si>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</si>
  <si>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</si>
  <si>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</si>
  <si>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</si>
  <si>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</si>
  <si>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</si>
  <si>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</si>
  <si>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</si>
  <si>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</si>
  <si>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</si>
  <si>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</si>
  <si>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</si>
  <si>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</si>
  <si>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</si>
  <si>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</si>
  <si>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</si>
  <si>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</si>
  <si>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</si>
  <si>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</si>
  <si>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</si>
  <si>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</si>
  <si>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</si>
  <si>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</si>
  <si>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</si>
  <si>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</si>
  <si>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</si>
  <si>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</si>
  <si>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</si>
  <si>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</si>
  <si>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</si>
  <si>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</si>
  <si>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</si>
  <si>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</si>
  <si>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</si>
  <si>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</si>
  <si>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</si>
  <si>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</si>
  <si>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</si>
  <si>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</si>
  <si>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</si>
  <si>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</si>
  <si>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</si>
  <si>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</si>
  <si>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</si>
  <si>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</si>
  <si>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</si>
  <si>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</si>
  <si>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</si>
  <si>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</si>
  <si>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</si>
  <si>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</si>
  <si>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</si>
  <si>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</si>
  <si>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</si>
  <si>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</si>
  <si>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</si>
  <si>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</si>
  <si>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</si>
  <si>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</si>
  <si>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</si>
  <si>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</si>
  <si>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</si>
  <si>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</si>
  <si>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</si>
  <si>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</si>
  <si>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</si>
  <si>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</si>
  <si>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</si>
  <si>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</si>
  <si>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</si>
  <si>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</si>
  <si>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</si>
  <si>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</si>
  <si>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</si>
  <si>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</si>
  <si>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</si>
  <si>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</si>
  <si>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</si>
  <si>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</si>
  <si>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</si>
  <si>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</si>
  <si>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</si>
  <si>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</si>
  <si>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</si>
  <si>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</si>
  <si>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</si>
  <si>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</si>
  <si>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</si>
  <si>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</si>
  <si>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</si>
  <si>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</si>
  <si>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</si>
  <si>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</si>
  <si>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</si>
  <si>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</si>
  <si>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</si>
  <si>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</si>
  <si>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</si>
  <si>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</si>
  <si>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</si>
  <si>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</si>
  <si>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</si>
  <si>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</si>
  <si>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</si>
  <si>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</si>
  <si>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</si>
  <si>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</si>
  <si>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</si>
  <si>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</si>
  <si>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</si>
  <si>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</si>
  <si>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</si>
  <si>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</si>
  <si>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</si>
  <si>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</si>
  <si>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</si>
  <si>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</si>
  <si>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</si>
  <si>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</si>
  <si>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</si>
  <si>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</si>
  <si>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</si>
  <si>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</si>
  <si>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</si>
  <si>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</si>
  <si>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</si>
  <si>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</si>
  <si>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</si>
  <si>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</si>
  <si>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</si>
  <si>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</si>
  <si>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</si>
  <si>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</si>
  <si>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</si>
  <si>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</si>
  <si>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</si>
  <si>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</si>
  <si>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</si>
  <si>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</si>
  <si>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</si>
  <si>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</si>
  <si>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</si>
  <si>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</si>
  <si>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</si>
  <si>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</si>
  <si>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</si>
  <si>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</si>
  <si>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</si>
  <si>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</si>
  <si>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</si>
  <si>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</si>
  <si>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</si>
  <si>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</si>
  <si>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</si>
  <si>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</si>
  <si>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</si>
  <si>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</si>
  <si>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</si>
  <si>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</si>
  <si>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</si>
  <si>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</si>
  <si>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</si>
  <si>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</si>
  <si>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</si>
  <si>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</si>
  <si>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</si>
  <si>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</si>
  <si>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</si>
  <si>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</si>
  <si>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</si>
  <si>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</si>
  <si>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</si>
  <si>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</si>
  <si>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</si>
  <si>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</si>
  <si>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</si>
  <si>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</si>
  <si>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</si>
  <si>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</si>
  <si>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</si>
  <si>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</si>
  <si>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</si>
  <si>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</si>
  <si>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</si>
  <si>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</si>
  <si>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</si>
  <si>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</si>
  <si>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</si>
  <si>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</si>
  <si>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</si>
  <si>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</si>
  <si>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</si>
  <si>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</si>
  <si>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</si>
  <si>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</si>
  <si>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</si>
  <si>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</si>
  <si>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</si>
  <si>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</si>
  <si>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</si>
  <si>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</si>
  <si>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</si>
  <si>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</si>
  <si>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</si>
  <si>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</si>
  <si>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</si>
  <si>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</si>
  <si>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</si>
  <si>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</si>
  <si>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</si>
  <si>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</si>
  <si>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</si>
  <si>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</si>
  <si>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</si>
  <si>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</si>
  <si>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</si>
  <si>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</si>
  <si>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</si>
  <si>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</si>
  <si>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</si>
  <si>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</si>
  <si>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</si>
  <si>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</si>
  <si>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</si>
  <si>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</si>
  <si>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</si>
  <si>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</si>
  <si>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</si>
  <si>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</si>
  <si>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</si>
  <si>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</si>
  <si>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</si>
  <si>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</si>
  <si>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</si>
  <si>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</si>
  <si>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</si>
  <si>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</si>
  <si>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</si>
  <si>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</si>
  <si>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</si>
  <si>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</si>
  <si>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</si>
  <si>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</si>
  <si>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</si>
  <si>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</si>
  <si>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</si>
  <si>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</si>
  <si>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</si>
  <si>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</si>
  <si>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</si>
  <si>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</si>
  <si>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</si>
  <si>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</si>
  <si>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</si>
  <si>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</si>
  <si>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</si>
  <si>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</si>
  <si>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</si>
  <si>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</si>
  <si>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</si>
  <si>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</si>
  <si>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</si>
  <si>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</si>
  <si>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</si>
  <si>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</si>
  <si>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</si>
  <si>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</si>
  <si>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</si>
  <si>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</si>
  <si>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</si>
  <si>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</si>
  <si>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</si>
  <si>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</si>
  <si>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</si>
  <si>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</si>
  <si>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</si>
  <si>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</si>
  <si>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</si>
  <si>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</si>
  <si>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</si>
  <si>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</si>
  <si>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</si>
  <si>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</si>
  <si>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</si>
  <si>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</si>
  <si>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</si>
  <si>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</si>
  <si>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</si>
  <si>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</si>
  <si>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</si>
  <si>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</si>
  <si>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</si>
  <si>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</si>
  <si>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</si>
  <si>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</si>
  <si>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</si>
  <si>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</si>
  <si>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</si>
  <si>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</si>
  <si>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</si>
  <si>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</si>
  <si>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</si>
  <si>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</si>
  <si>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</si>
  <si>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</si>
  <si>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</si>
  <si>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</si>
  <si>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</si>
  <si>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</si>
  <si>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</si>
  <si>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</si>
  <si>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</si>
  <si>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</si>
  <si>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</si>
  <si>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</si>
  <si>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</si>
  <si>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</si>
  <si>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</si>
  <si>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</si>
  <si>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</si>
  <si>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</si>
  <si>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</si>
  <si>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</si>
  <si>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</si>
  <si>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</si>
  <si>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</si>
  <si>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</si>
  <si>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</si>
  <si>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</si>
  <si>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</si>
  <si>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</si>
  <si>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</si>
  <si>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</si>
  <si>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</si>
  <si>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</si>
  <si>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</si>
  <si>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</si>
  <si>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</si>
  <si>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</si>
  <si>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</si>
  <si>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</si>
  <si>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</si>
  <si>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</si>
  <si>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</si>
  <si>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</si>
  <si>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</si>
  <si>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</si>
  <si>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</si>
  <si>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</si>
  <si>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</si>
  <si>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</si>
  <si>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</si>
  <si>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</si>
  <si>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</si>
  <si>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</si>
  <si>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</si>
  <si>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</si>
  <si>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</si>
  <si>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</si>
  <si>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</si>
  <si>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</si>
  <si>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</si>
  <si>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</si>
  <si>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</si>
  <si>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</si>
  <si>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</si>
  <si>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</si>
  <si>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</si>
  <si>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</si>
  <si>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</si>
  <si>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</si>
  <si>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</si>
  <si>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</si>
  <si>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</si>
  <si>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</si>
  <si>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</si>
  <si>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</si>
  <si>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</si>
  <si>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</si>
  <si>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</si>
  <si>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</si>
  <si>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</si>
  <si>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</si>
  <si>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</si>
  <si>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</si>
  <si>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</si>
  <si>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</si>
  <si>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</si>
  <si>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</si>
  <si>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</si>
  <si>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</si>
  <si>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</si>
  <si>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</si>
  <si>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</si>
  <si>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</si>
  <si>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</si>
  <si>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</si>
  <si>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</si>
  <si>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</si>
  <si>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</si>
  <si>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</si>
  <si>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</si>
  <si>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</si>
  <si>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</si>
  <si>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</si>
  <si>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</si>
  <si>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</si>
  <si>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</si>
  <si>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</si>
  <si>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</si>
  <si>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</si>
  <si>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</si>
  <si>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</si>
  <si>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</si>
  <si>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</si>
  <si>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</si>
  <si>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</si>
  <si>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</si>
  <si>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</si>
  <si>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</si>
  <si>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</si>
  <si>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</si>
  <si>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</si>
  <si>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</si>
  <si>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</si>
  <si>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</si>
  <si>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</si>
  <si>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</si>
  <si>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</si>
  <si>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</si>
  <si>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</si>
  <si>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</si>
  <si>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</si>
  <si>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</si>
  <si>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</si>
  <si>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</si>
  <si>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</si>
  <si>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</si>
  <si>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</si>
  <si>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</si>
  <si>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</si>
  <si>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</si>
  <si>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</si>
  <si>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</si>
  <si>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</si>
  <si>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</si>
  <si>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</si>
  <si>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</si>
  <si>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</si>
  <si>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</si>
  <si>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</si>
  <si>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</si>
  <si>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</si>
  <si>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</si>
  <si>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</si>
  <si>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</si>
  <si>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</si>
  <si>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</si>
  <si>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</si>
  <si>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</si>
  <si>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</si>
  <si>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</si>
  <si>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</si>
  <si>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</si>
  <si>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</si>
  <si>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</si>
  <si>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</si>
  <si>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</si>
  <si>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</si>
  <si>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</si>
  <si>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</si>
  <si>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</si>
  <si>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</si>
  <si>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</si>
  <si>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</si>
  <si>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</si>
  <si>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</si>
  <si>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</si>
  <si>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</si>
  <si>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</si>
  <si>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</si>
  <si>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</si>
  <si>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</si>
  <si>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</si>
  <si>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</si>
  <si>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</si>
  <si>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</si>
  <si>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</si>
  <si>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</si>
  <si>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</si>
  <si>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</si>
  <si>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</si>
  <si>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</si>
  <si>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</si>
  <si>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</si>
  <si>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</si>
  <si>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</si>
  <si>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</si>
  <si>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</si>
  <si>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</si>
  <si>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</si>
  <si>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</si>
  <si>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</si>
  <si>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</si>
  <si>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</si>
  <si>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</si>
  <si>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</si>
  <si>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</si>
  <si>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</si>
  <si>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</si>
  <si>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</si>
  <si>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</si>
  <si>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</si>
  <si>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</si>
  <si>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</si>
  <si>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</si>
  <si>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</si>
  <si>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</si>
  <si>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</si>
  <si>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</si>
  <si>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</si>
  <si>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</si>
  <si>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</si>
  <si>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</si>
  <si>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</si>
  <si>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</si>
  <si>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</si>
  <si>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</si>
  <si>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</si>
  <si>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</si>
  <si>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</si>
  <si>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</si>
  <si>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</si>
  <si>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</si>
  <si>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</si>
  <si>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</si>
  <si>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</si>
  <si>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</si>
  <si>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</si>
  <si>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</si>
  <si>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</si>
  <si>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</si>
  <si>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</si>
  <si>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</si>
  <si>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</si>
  <si>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</si>
  <si>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</si>
  <si>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</si>
  <si>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</si>
  <si>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</si>
  <si>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</si>
  <si>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</si>
  <si>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</si>
  <si>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</si>
  <si>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</si>
  <si>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</si>
  <si>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</si>
  <si>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</si>
  <si>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</si>
  <si>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</si>
  <si>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</si>
  <si>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</si>
  <si>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</si>
  <si>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</si>
  <si>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</si>
  <si>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</si>
  <si>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</si>
  <si>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</si>
  <si>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</si>
  <si>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</si>
  <si>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</si>
  <si>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</si>
  <si>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</si>
  <si>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</si>
  <si>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</si>
  <si>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</si>
  <si>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</si>
  <si>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</si>
  <si>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</si>
  <si>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</si>
  <si>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</si>
  <si>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</si>
  <si>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</si>
  <si>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</si>
  <si>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</si>
  <si>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</si>
  <si>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</si>
  <si>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</si>
  <si>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</si>
  <si>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</si>
  <si>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</si>
  <si>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</si>
  <si>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</si>
  <si>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</si>
  <si>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</si>
  <si>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</si>
  <si>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</si>
  <si>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</si>
  <si>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</si>
  <si>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</si>
  <si>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</si>
  <si>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</si>
  <si>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</si>
  <si>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</si>
  <si>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</si>
  <si>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</si>
  <si>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</si>
  <si>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</si>
  <si>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</si>
  <si>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</si>
  <si>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</si>
  <si>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</si>
  <si>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</si>
  <si>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</si>
  <si>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</si>
  <si>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</si>
  <si>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</si>
  <si>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</si>
  <si>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</si>
  <si>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</si>
  <si>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</si>
  <si>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</si>
  <si>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</si>
  <si>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</si>
  <si>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</si>
  <si>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</si>
  <si>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</si>
  <si>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</si>
  <si>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</si>
  <si>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</si>
  <si>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</si>
  <si>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</si>
  <si>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</si>
  <si>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</si>
  <si>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</si>
  <si>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</si>
  <si>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</si>
  <si>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</si>
  <si>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</si>
  <si>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</si>
  <si>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</si>
  <si>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</si>
  <si>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</si>
  <si>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</si>
  <si>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</si>
  <si>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</si>
  <si>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</si>
  <si>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</si>
  <si>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</si>
  <si>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</si>
  <si>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</si>
  <si>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</si>
  <si>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</si>
  <si>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</si>
  <si>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</si>
  <si>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</si>
  <si>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</si>
  <si>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</si>
  <si>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</si>
  <si>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</si>
  <si>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</si>
  <si>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</si>
  <si>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</si>
  <si>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</si>
  <si>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</si>
  <si>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</si>
  <si>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</si>
  <si>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</si>
  <si>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</si>
  <si>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</si>
  <si>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</si>
  <si>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</si>
  <si>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</si>
  <si>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</si>
  <si>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</si>
  <si>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</si>
  <si>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</si>
  <si>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</si>
  <si>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</si>
  <si>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</si>
  <si>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</si>
  <si>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</si>
  <si>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</si>
  <si>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</si>
  <si>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</si>
  <si>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</si>
  <si>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</si>
  <si>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</si>
  <si>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</si>
  <si>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</si>
  <si>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</si>
  <si>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</si>
  <si>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</si>
  <si>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</si>
  <si>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</si>
  <si>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</si>
  <si>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</si>
  <si>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</si>
  <si>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</si>
  <si>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</si>
  <si>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</si>
  <si>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</si>
  <si>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</si>
  <si>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</si>
  <si>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</si>
  <si>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</si>
  <si>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</si>
  <si>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</si>
  <si>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</si>
  <si>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</si>
  <si>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</si>
  <si>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</si>
  <si>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</si>
  <si>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</si>
  <si>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</si>
  <si>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</si>
  <si>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</si>
  <si>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</si>
  <si>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</si>
  <si>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</si>
  <si>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</si>
  <si>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</si>
  <si>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</si>
  <si>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</si>
  <si>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</si>
  <si>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</si>
  <si>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</si>
  <si>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</si>
  <si>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</si>
  <si>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</si>
  <si>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</si>
  <si>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</si>
  <si>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</si>
  <si>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</si>
  <si>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</si>
  <si>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</si>
  <si>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</si>
  <si>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</si>
  <si>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</si>
  <si>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</si>
  <si>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</si>
  <si>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</si>
  <si>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</si>
  <si>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</si>
  <si>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</si>
  <si>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</si>
  <si>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</si>
  <si>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</si>
  <si>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</si>
  <si>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</si>
  <si>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</si>
  <si>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</si>
  <si>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</si>
  <si>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</si>
  <si>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</si>
  <si>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</si>
  <si>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</si>
  <si>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</si>
  <si>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</si>
  <si>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</si>
  <si>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</si>
  <si>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</si>
  <si>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</si>
  <si>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</si>
  <si>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</si>
  <si>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</si>
  <si>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</si>
  <si>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</si>
  <si>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</si>
  <si>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</si>
  <si>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</si>
  <si>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</si>
  <si>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</si>
  <si>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</si>
  <si>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</si>
  <si>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</si>
  <si>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</si>
  <si>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</si>
  <si>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</si>
  <si>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</si>
  <si>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</si>
  <si>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</si>
  <si>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</si>
  <si>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</si>
  <si>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</si>
  <si>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</si>
  <si>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</si>
  <si>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</si>
  <si>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</si>
  <si>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</si>
  <si>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</si>
  <si>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</si>
  <si>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</si>
  <si>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</si>
  <si>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</si>
  <si>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</si>
  <si>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</si>
  <si>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</si>
  <si>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</si>
  <si>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</si>
  <si>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</si>
  <si>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</si>
  <si>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</si>
  <si>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</si>
  <si>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</si>
  <si>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</si>
  <si>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</si>
  <si>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</si>
  <si>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</si>
  <si>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</si>
  <si>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</si>
  <si>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</si>
  <si>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</si>
  <si>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</si>
  <si>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</si>
  <si>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</si>
  <si>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</si>
  <si>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</si>
  <si>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</si>
  <si>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</si>
  <si>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</si>
  <si>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</si>
  <si>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</si>
  <si>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</si>
  <si>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</si>
  <si>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</si>
  <si>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</si>
  <si>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</si>
  <si>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</si>
  <si>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</si>
  <si>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</si>
  <si>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</si>
  <si>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</si>
  <si>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</si>
  <si>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</si>
  <si>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</si>
  <si>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</si>
  <si>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</si>
  <si>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</si>
  <si>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</si>
  <si>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</si>
  <si>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</si>
  <si>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</si>
  <si>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</si>
  <si>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</si>
  <si>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</si>
  <si>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</si>
  <si>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</si>
  <si>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</si>
  <si>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</si>
  <si>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</si>
  <si>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</si>
  <si>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</si>
  <si>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</si>
  <si>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</si>
  <si>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</si>
  <si>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</si>
  <si>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</si>
  <si>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</si>
  <si>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</si>
  <si>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</si>
  <si>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</si>
  <si>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</si>
  <si>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</si>
  <si>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</si>
  <si>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</si>
  <si>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</si>
  <si>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</si>
  <si>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</si>
  <si>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</si>
  <si>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</si>
  <si>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</si>
  <si>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</si>
  <si>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</si>
  <si>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</si>
  <si>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</si>
  <si>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</si>
  <si>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</si>
  <si>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</si>
  <si>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</si>
  <si>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</si>
  <si>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</si>
  <si>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</si>
  <si>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</si>
  <si>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</si>
  <si>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</si>
  <si>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</si>
  <si>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</si>
  <si>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</si>
  <si>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</si>
  <si>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</si>
  <si>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</si>
  <si>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</si>
  <si>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</si>
  <si>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</si>
  <si>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</si>
  <si>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</si>
  <si>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</si>
  <si>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</si>
  <si>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</si>
  <si>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</si>
  <si>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</si>
  <si>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</si>
  <si>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</si>
  <si>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</si>
  <si>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</si>
  <si>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</si>
  <si>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</si>
  <si>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</si>
  <si>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</si>
  <si>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</si>
  <si>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</si>
  <si>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</si>
  <si>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</si>
  <si>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</si>
  <si>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</si>
  <si>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</si>
  <si>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</si>
  <si>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</si>
  <si>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</si>
  <si>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</si>
  <si>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</si>
  <si>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</si>
  <si>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</si>
  <si>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</si>
  <si>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</si>
  <si>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</si>
  <si>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</si>
  <si>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</si>
  <si>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</si>
  <si>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</si>
  <si>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</si>
  <si>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</si>
  <si>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</si>
  <si>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</si>
  <si>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</si>
  <si>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</si>
  <si>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</si>
  <si>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</si>
  <si>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</si>
  <si>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</si>
  <si>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</si>
  <si>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</si>
  <si>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</si>
  <si>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</si>
  <si>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</si>
  <si>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</si>
  <si>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</si>
  <si>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</si>
  <si>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</si>
  <si>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</si>
  <si>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</si>
  <si>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</si>
  <si>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</si>
  <si>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</si>
  <si>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</si>
  <si>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</si>
  <si>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</si>
  <si>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</si>
  <si>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</si>
  <si>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</si>
  <si>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</si>
  <si>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</si>
  <si>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</si>
  <si>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</si>
  <si>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</si>
  <si>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</si>
  <si>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</si>
  <si>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</si>
  <si>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</si>
  <si>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</si>
  <si>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</si>
  <si>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</si>
  <si>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</si>
  <si>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</si>
  <si>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</si>
  <si>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</si>
  <si>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</si>
  <si>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</si>
  <si>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</si>
  <si>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</si>
  <si>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</si>
  <si>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</si>
  <si>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</si>
  <si>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</si>
  <si>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</si>
  <si>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</si>
  <si>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</si>
  <si>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</si>
  <si>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</si>
  <si>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</si>
  <si>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</si>
  <si>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</si>
  <si>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</si>
  <si>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</si>
  <si>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</si>
  <si>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</si>
  <si>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</si>
  <si>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</si>
  <si>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</si>
  <si>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</si>
  <si>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</si>
  <si>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</si>
  <si>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</si>
  <si>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</si>
  <si>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</si>
  <si>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</si>
  <si>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</si>
  <si>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</si>
  <si>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</si>
  <si>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</si>
  <si>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</si>
  <si>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</si>
  <si>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</si>
  <si>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</si>
  <si>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</si>
  <si>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</si>
  <si>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</si>
  <si>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</si>
  <si>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</si>
  <si>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</si>
  <si>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</si>
  <si>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</si>
  <si>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</si>
  <si>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</si>
  <si>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</si>
  <si>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</si>
  <si>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</si>
  <si>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</si>
  <si>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</si>
  <si>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</si>
  <si>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</si>
  <si>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</si>
  <si>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</si>
  <si>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</si>
  <si>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</si>
  <si>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</si>
  <si>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</si>
  <si>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</si>
  <si>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</si>
  <si>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</si>
  <si>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</si>
  <si>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</si>
  <si>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</si>
  <si>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</si>
  <si>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</si>
  <si>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</si>
  <si>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</si>
  <si>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</si>
  <si>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</si>
  <si>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</si>
  <si>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</si>
  <si>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</si>
  <si>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</si>
  <si>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</si>
  <si>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</si>
  <si>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</si>
  <si>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</si>
  <si>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</si>
  <si>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</si>
  <si>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</si>
  <si>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</si>
  <si>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</si>
  <si>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</si>
  <si>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</si>
  <si>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</si>
  <si>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</si>
  <si>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</si>
  <si>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</si>
  <si>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</si>
  <si>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</si>
  <si>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</si>
  <si>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</si>
  <si>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</si>
  <si>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</si>
  <si>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</si>
  <si>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</si>
  <si>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</si>
  <si>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</si>
  <si>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</si>
  <si>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</si>
  <si>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</si>
  <si>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</si>
  <si>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</si>
  <si>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</si>
  <si>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</si>
  <si>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</si>
  <si>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</si>
  <si>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</si>
  <si>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</si>
  <si>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</si>
  <si>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</si>
  <si>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</si>
  <si>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</si>
  <si>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</si>
  <si>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</si>
  <si>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</si>
  <si>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</si>
  <si>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</si>
  <si>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</si>
  <si>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</si>
  <si>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</si>
  <si>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</si>
  <si>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</si>
  <si>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</si>
  <si>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</si>
  <si>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</si>
  <si>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</si>
  <si>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</si>
  <si>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</si>
  <si>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</si>
  <si>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</si>
  <si>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</si>
  <si>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</si>
  <si>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</si>
  <si>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</si>
  <si>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</si>
  <si>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</si>
  <si>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</si>
  <si>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</si>
  <si>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</si>
  <si>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</si>
  <si>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</si>
  <si>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</si>
  <si>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</si>
  <si>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</si>
  <si>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</si>
  <si>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</si>
  <si>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</si>
  <si>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</si>
  <si>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</si>
  <si>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</si>
  <si>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</si>
  <si>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</si>
  <si>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</si>
  <si>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</si>
  <si>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</si>
  <si>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</si>
  <si>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</si>
  <si>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</si>
  <si>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</si>
  <si>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</si>
  <si>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</si>
  <si>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</si>
  <si>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</si>
  <si>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</si>
  <si>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</si>
  <si>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</si>
  <si>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</si>
  <si>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</si>
  <si>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</si>
  <si>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</si>
  <si>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</si>
  <si>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</si>
  <si>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</si>
  <si>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</si>
  <si>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</si>
  <si>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</si>
  <si>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</si>
  <si>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</si>
  <si>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</si>
  <si>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</si>
  <si>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</si>
  <si>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</si>
  <si>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</si>
  <si>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</si>
  <si>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</si>
  <si>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</si>
  <si>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</si>
  <si>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</si>
  <si>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</si>
  <si>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</si>
  <si>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</si>
  <si>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</si>
  <si>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</si>
  <si>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</si>
  <si>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</si>
  <si>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</si>
  <si>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</si>
  <si>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</si>
  <si>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</si>
  <si>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</si>
  <si>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</si>
  <si>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</si>
  <si>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</si>
  <si>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</si>
  <si>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</si>
  <si>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</si>
  <si>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</si>
  <si>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</si>
  <si>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</si>
  <si>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</si>
  <si>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</si>
  <si>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</si>
  <si>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</si>
  <si>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</si>
  <si>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</si>
  <si>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</si>
  <si>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</si>
  <si>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</si>
  <si>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</si>
  <si>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</si>
  <si>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</si>
  <si>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</si>
  <si>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</si>
  <si>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</si>
  <si>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</si>
  <si>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</si>
  <si>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</si>
  <si>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</si>
  <si>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</si>
  <si>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</si>
  <si>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</si>
  <si>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</si>
  <si>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</si>
  <si>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</si>
  <si>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</si>
  <si>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</si>
  <si>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</si>
  <si>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</si>
  <si>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</si>
  <si>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</si>
  <si>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</si>
  <si>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</si>
  <si>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</si>
  <si>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</si>
  <si>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</si>
  <si>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</si>
  <si>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</si>
  <si>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</si>
  <si>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</si>
  <si>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</si>
  <si>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</si>
  <si>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</si>
  <si>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</si>
  <si>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</si>
  <si>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</si>
  <si>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</si>
  <si>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</si>
  <si>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</si>
  <si>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</si>
  <si>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</si>
  <si>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</si>
  <si>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</si>
  <si>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</si>
  <si>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</si>
  <si>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</si>
  <si>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</si>
  <si>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</si>
  <si>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</si>
  <si>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</si>
  <si>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</si>
  <si>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</si>
  <si>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</si>
  <si>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</si>
  <si>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</si>
  <si>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</si>
  <si>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</si>
  <si>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</si>
  <si>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</si>
  <si>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</si>
  <si>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</si>
  <si>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</si>
  <si>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</si>
  <si>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</si>
  <si>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</si>
  <si>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</si>
  <si>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</si>
  <si>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</si>
  <si>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</si>
  <si>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</si>
  <si>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</si>
  <si>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</si>
  <si>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</si>
  <si>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</si>
  <si>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</si>
  <si>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</si>
  <si>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</si>
  <si>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</si>
  <si>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</si>
  <si>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</si>
  <si>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</si>
  <si>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</si>
  <si>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</si>
  <si>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</si>
  <si>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</si>
  <si>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</si>
  <si>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</si>
  <si>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</si>
  <si>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</si>
  <si>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</si>
  <si>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</si>
  <si>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</si>
  <si>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</si>
  <si>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</si>
  <si>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</si>
  <si>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</si>
  <si>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</si>
  <si>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</si>
  <si>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</si>
  <si>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</si>
  <si>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</si>
  <si>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</si>
  <si>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</si>
  <si>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</si>
  <si>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</si>
  <si>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</si>
  <si>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</si>
  <si>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</si>
  <si>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</si>
  <si>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</si>
  <si>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</si>
  <si>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</si>
  <si>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</si>
  <si>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</si>
  <si>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</si>
  <si>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</si>
  <si>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</si>
  <si>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</si>
  <si>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</si>
  <si>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</si>
  <si>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</si>
  <si>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</si>
  <si>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</si>
  <si>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</si>
  <si>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</si>
  <si>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</si>
  <si>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</si>
  <si>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</si>
  <si>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</si>
  <si>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</si>
  <si>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</si>
  <si>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</si>
  <si>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</si>
  <si>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</si>
  <si>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</si>
  <si>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</si>
  <si>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</si>
  <si>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</si>
  <si>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</si>
  <si>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</si>
  <si>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</si>
  <si>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</si>
  <si>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</si>
  <si>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</si>
  <si>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</si>
  <si>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</si>
  <si>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</si>
  <si>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</si>
  <si>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</si>
  <si>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</si>
  <si>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</si>
  <si>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</si>
  <si>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</si>
  <si>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</si>
  <si>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</si>
  <si>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</si>
  <si>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</si>
  <si>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</si>
  <si>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</si>
  <si>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</si>
  <si>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</si>
  <si>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</si>
  <si>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</si>
  <si>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</si>
  <si>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</si>
  <si>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</si>
  <si>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</si>
  <si>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</si>
  <si>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</si>
  <si>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</si>
  <si>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</si>
  <si>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</si>
  <si>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</si>
  <si>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</si>
  <si>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</si>
  <si>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</si>
  <si>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</si>
  <si>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</si>
  <si>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</si>
  <si>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</si>
  <si>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</si>
  <si>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</si>
  <si>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</si>
  <si>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</si>
  <si>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</si>
  <si>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</si>
  <si>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</si>
  <si>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</si>
  <si>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</si>
  <si>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</si>
  <si>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</si>
  <si>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</si>
  <si>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</si>
  <si>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</si>
  <si>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</si>
  <si>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</si>
  <si>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</si>
  <si>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</si>
  <si>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</si>
  <si>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</si>
  <si>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</si>
  <si>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</si>
  <si>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</si>
  <si>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</si>
  <si>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</si>
  <si>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</si>
  <si>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</si>
  <si>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</si>
  <si>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</si>
  <si>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</si>
  <si>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</si>
  <si>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</si>
  <si>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</si>
  <si>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</si>
  <si>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</si>
  <si>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</si>
  <si>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</si>
  <si>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</si>
  <si>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</si>
  <si>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</si>
  <si>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</si>
  <si>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</si>
  <si>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</si>
  <si>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</si>
  <si>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</si>
  <si>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</si>
  <si>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</si>
  <si>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</si>
  <si>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</si>
  <si>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</si>
  <si>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</si>
  <si>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</si>
  <si>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</si>
  <si>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</si>
  <si>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</si>
  <si>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</si>
  <si>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</si>
  <si>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</si>
  <si>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</si>
  <si>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</si>
  <si>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</si>
  <si>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</si>
  <si>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</si>
  <si>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</si>
  <si>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</si>
  <si>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</si>
  <si>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</si>
  <si>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</si>
  <si>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</si>
  <si>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</si>
  <si>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</si>
  <si>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</si>
  <si>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</si>
  <si>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</si>
  <si>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</si>
  <si>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</si>
  <si>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</si>
  <si>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</si>
  <si>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</si>
  <si>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</si>
  <si>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</si>
  <si>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</si>
  <si>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</si>
  <si>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</si>
  <si>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</si>
  <si>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</si>
  <si>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</si>
  <si>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</si>
  <si>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</si>
  <si>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</si>
  <si>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</si>
  <si>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</si>
  <si>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</si>
  <si>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</si>
  <si>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</si>
  <si>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</si>
  <si>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</si>
  <si>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</si>
  <si>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</si>
  <si>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</si>
  <si>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</si>
  <si>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</si>
  <si>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</si>
  <si>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</si>
  <si>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</si>
  <si>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</si>
  <si>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</si>
  <si>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</si>
  <si>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</si>
  <si>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</si>
  <si>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</si>
  <si>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</si>
  <si>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</si>
  <si>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</si>
  <si>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</si>
  <si>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</si>
  <si>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</si>
  <si>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</si>
  <si>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</si>
  <si>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</si>
  <si>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</si>
  <si>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</si>
  <si>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</si>
  <si>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</si>
  <si>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</si>
  <si>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</si>
  <si>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</si>
  <si>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</si>
  <si>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</si>
  <si>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</si>
  <si>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</si>
  <si>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</si>
  <si>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</si>
  <si>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</si>
  <si>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</si>
  <si>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</si>
  <si>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</si>
  <si>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</si>
  <si>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</si>
  <si>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</si>
  <si>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</si>
  <si>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</si>
  <si>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</si>
  <si>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</si>
  <si>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</si>
  <si>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</si>
  <si>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</si>
  <si>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</si>
  <si>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</si>
  <si>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</si>
  <si>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</si>
  <si>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</si>
  <si>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</si>
  <si>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</si>
  <si>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</si>
  <si>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</si>
  <si>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</si>
  <si>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</si>
  <si>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</si>
  <si>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</si>
  <si>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</si>
  <si>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</si>
  <si>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</si>
  <si>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</si>
  <si>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</si>
  <si>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</si>
  <si>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</si>
  <si>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</si>
  <si>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</si>
  <si>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</si>
  <si>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</si>
  <si>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</si>
  <si>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</si>
  <si>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</si>
  <si>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</si>
  <si>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</si>
  <si>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</si>
  <si>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</si>
  <si>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</si>
  <si>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</si>
  <si>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</si>
  <si>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</si>
  <si>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</si>
  <si>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</si>
  <si>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</si>
  <si>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</si>
  <si>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</si>
  <si>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</si>
  <si>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</si>
  <si>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</si>
  <si>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</si>
  <si>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</si>
  <si>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</si>
  <si>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</si>
  <si>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</si>
  <si>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</si>
  <si>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</si>
  <si>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</si>
  <si>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</si>
  <si>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</si>
  <si>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</si>
  <si>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</si>
  <si>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</si>
  <si>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</si>
  <si>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</si>
  <si>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</si>
  <si>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</si>
  <si>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</si>
  <si>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</si>
  <si>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</si>
  <si>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</si>
  <si>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</si>
  <si>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</si>
  <si>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</si>
  <si>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</si>
  <si>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</si>
  <si>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</si>
  <si>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</si>
  <si>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</si>
  <si>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</si>
  <si>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</si>
  <si>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</si>
  <si>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</si>
  <si>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</si>
  <si>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</si>
  <si>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</si>
  <si>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</si>
  <si>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</si>
  <si>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</si>
  <si>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</si>
  <si>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</si>
  <si>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</si>
  <si>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</si>
  <si>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</si>
  <si>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</si>
  <si>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</si>
  <si>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</si>
  <si>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</si>
  <si>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</si>
  <si>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</si>
  <si>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</si>
  <si>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</si>
  <si>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</si>
  <si>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</si>
  <si>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</si>
  <si>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</si>
  <si>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</si>
  <si>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</si>
  <si>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</si>
  <si>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</si>
  <si>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</si>
  <si>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</si>
  <si>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</si>
  <si>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</si>
  <si>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</si>
  <si>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</si>
  <si>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</si>
  <si>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</si>
  <si>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</si>
  <si>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</si>
  <si>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</si>
  <si>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</si>
  <si>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</si>
  <si>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</si>
  <si>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</si>
  <si>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</si>
  <si>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</si>
  <si>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</si>
  <si>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</si>
  <si>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</si>
  <si>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</si>
  <si>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</si>
  <si>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</si>
  <si>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</si>
  <si>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</si>
  <si>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</si>
  <si>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</si>
  <si>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</si>
  <si>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</si>
  <si>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</si>
  <si>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</si>
  <si>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</si>
  <si>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</si>
  <si>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</si>
  <si>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</si>
  <si>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</si>
  <si>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</si>
  <si>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</si>
  <si>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</si>
  <si>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</si>
  <si>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</si>
  <si>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</si>
  <si>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</si>
  <si>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</si>
  <si>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</si>
  <si>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</si>
  <si>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</si>
  <si>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</si>
  <si>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</si>
  <si>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</si>
  <si>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</si>
  <si>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</si>
  <si>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</si>
  <si>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</si>
  <si>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</si>
  <si>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</si>
  <si>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</si>
  <si>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</si>
  <si>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</si>
  <si>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</si>
  <si>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</si>
  <si>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</si>
  <si>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</si>
  <si>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</si>
  <si>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</si>
  <si>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</si>
  <si>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</si>
  <si>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</si>
  <si>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</si>
  <si>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</si>
  <si>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</si>
  <si>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</si>
  <si>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</si>
  <si>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</si>
  <si>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</si>
  <si>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</si>
  <si>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</si>
  <si>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</si>
  <si>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</si>
  <si>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</si>
  <si>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</si>
  <si>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</si>
  <si>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</si>
  <si>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</si>
  <si>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</si>
  <si>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</si>
  <si>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</si>
  <si>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</si>
  <si>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</si>
  <si>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</si>
  <si>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</si>
  <si>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</si>
  <si>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</si>
  <si>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</si>
  <si>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</si>
  <si>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</si>
  <si>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</si>
  <si>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</si>
  <si>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</si>
  <si>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</si>
  <si>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</si>
  <si>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</si>
  <si>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</si>
  <si>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</si>
  <si>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</si>
  <si>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</si>
  <si>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</si>
  <si>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</si>
  <si>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</si>
  <si>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</si>
  <si>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</si>
  <si>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</si>
  <si>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</si>
  <si>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</si>
  <si>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</si>
  <si>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</si>
  <si>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</si>
  <si>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</si>
  <si>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</si>
  <si>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</si>
  <si>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</si>
  <si>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</si>
  <si>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</si>
  <si>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</si>
  <si>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</si>
  <si>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</si>
  <si>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</si>
  <si>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</si>
  <si>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</si>
  <si>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</si>
  <si>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</si>
  <si>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</si>
  <si>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</si>
  <si>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</si>
  <si>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</si>
  <si>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</si>
  <si>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</si>
  <si>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</si>
  <si>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</si>
  <si>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</si>
  <si>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</si>
  <si>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</si>
  <si>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</si>
  <si>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</si>
  <si>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</si>
  <si>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</si>
  <si>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</si>
  <si>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</si>
  <si>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</si>
  <si>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</si>
  <si>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</si>
  <si>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</si>
  <si>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</si>
  <si>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</si>
  <si>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</si>
  <si>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</si>
  <si>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</si>
  <si>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</si>
  <si>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</si>
  <si>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</si>
  <si>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</si>
  <si>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</si>
  <si>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</si>
  <si>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</si>
  <si>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</si>
  <si>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</si>
  <si>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</si>
  <si>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</si>
  <si>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</si>
  <si>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</si>
  <si>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</si>
  <si>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</si>
  <si>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</si>
  <si>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</si>
  <si>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</si>
  <si>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</si>
  <si>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</si>
  <si>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</si>
  <si>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</si>
  <si>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</si>
  <si>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</si>
  <si>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</si>
  <si>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</si>
  <si>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</si>
  <si>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</si>
  <si>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</si>
  <si>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</si>
  <si>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</si>
  <si>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</si>
  <si>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</si>
  <si>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</si>
  <si>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</si>
  <si>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</si>
  <si>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</si>
  <si>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</si>
  <si>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</si>
  <si>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</si>
  <si>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</si>
  <si>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</si>
  <si>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</si>
  <si>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</si>
  <si>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</si>
  <si>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</si>
  <si>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</si>
  <si>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</si>
  <si>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</si>
  <si>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</si>
  <si>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</si>
  <si>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</si>
  <si>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</si>
  <si>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</si>
  <si>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</si>
  <si>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</si>
  <si>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</si>
  <si>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</si>
  <si>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</si>
  <si>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</si>
  <si>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</si>
  <si>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</si>
  <si>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</si>
  <si>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</si>
  <si>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</si>
  <si>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</si>
  <si>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</si>
  <si>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</si>
  <si>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</si>
  <si>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</si>
  <si>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</si>
  <si>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</si>
  <si>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</si>
  <si>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</si>
  <si>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</si>
  <si>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</si>
  <si>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</si>
  <si>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</si>
  <si>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</si>
  <si>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</si>
  <si>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</si>
  <si>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</si>
  <si>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</si>
  <si>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</si>
  <si>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</si>
  <si>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</si>
  <si>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</si>
  <si>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</si>
  <si>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</si>
  <si>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</si>
  <si>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</si>
  <si>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</si>
  <si>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</si>
  <si>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</si>
  <si>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</si>
  <si>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</si>
  <si>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</si>
  <si>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</si>
  <si>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</si>
  <si>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</si>
  <si>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</si>
  <si>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</si>
  <si>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</si>
  <si>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</si>
  <si>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</si>
  <si>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</si>
  <si>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</si>
  <si>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</si>
  <si>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</si>
  <si>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</si>
  <si>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</si>
  <si>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</si>
  <si>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</si>
  <si>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</si>
  <si>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</si>
  <si>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</si>
  <si>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</si>
  <si>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</si>
  <si>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</si>
  <si>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</si>
  <si>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</si>
  <si>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</si>
  <si>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</si>
  <si>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</si>
  <si>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</si>
  <si>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</si>
  <si>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</si>
  <si>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</si>
  <si>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</si>
  <si>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</si>
  <si>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</si>
  <si>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</si>
  <si>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</si>
  <si>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</si>
  <si>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</si>
  <si>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</si>
  <si>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</si>
  <si>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</si>
  <si>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</si>
  <si>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</si>
  <si>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</si>
  <si>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</si>
  <si>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</si>
  <si>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</si>
  <si>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</si>
  <si>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</si>
  <si>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</si>
  <si>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</si>
  <si>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</si>
  <si>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</si>
  <si>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</si>
  <si>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</si>
  <si>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</si>
  <si>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</si>
  <si>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</si>
  <si>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</si>
  <si>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</si>
  <si>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</si>
  <si>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</si>
  <si>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</si>
  <si>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</si>
  <si>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</si>
  <si>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</si>
  <si>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</si>
  <si>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</si>
  <si>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</si>
  <si>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</si>
  <si>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</si>
  <si>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</si>
  <si>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</si>
  <si>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</si>
  <si>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</si>
  <si>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</si>
  <si>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</si>
  <si>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</si>
  <si>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</si>
  <si>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</si>
  <si>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</si>
  <si>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</si>
  <si>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</si>
  <si>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</si>
  <si>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</si>
  <si>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</si>
  <si>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</si>
  <si>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</si>
  <si>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</si>
  <si>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</si>
  <si>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</si>
  <si>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</si>
  <si>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</si>
  <si>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</si>
  <si>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</si>
  <si>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</si>
  <si>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</si>
  <si>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</si>
  <si>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</si>
  <si>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</si>
  <si>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</si>
  <si>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</si>
  <si>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</si>
  <si>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</si>
  <si>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</si>
  <si>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</si>
  <si>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</si>
  <si>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</si>
  <si>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</si>
  <si>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</si>
  <si>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</si>
  <si>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</si>
  <si>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</si>
  <si>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</si>
  <si>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</si>
  <si>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</si>
  <si>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</si>
  <si>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</si>
  <si>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</si>
  <si>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</si>
  <si>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</si>
  <si>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</si>
  <si>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</si>
  <si>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</si>
  <si>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</si>
  <si>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</si>
  <si>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</si>
  <si>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</si>
  <si>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</si>
  <si>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</si>
  <si>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</si>
  <si>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</si>
  <si>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</si>
  <si>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</si>
  <si>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</si>
  <si>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</si>
  <si>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</si>
  <si>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</si>
  <si>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</si>
  <si>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</si>
  <si>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</si>
  <si>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</si>
  <si>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</si>
  <si>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</si>
  <si>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</si>
  <si>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</si>
  <si>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</si>
  <si>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</si>
  <si>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</si>
  <si>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</si>
  <si>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</si>
  <si>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</si>
  <si>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</si>
  <si>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</si>
  <si>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</si>
  <si>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</si>
  <si>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</si>
  <si>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</si>
  <si>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</si>
  <si>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</si>
  <si>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</si>
  <si>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</si>
  <si>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</si>
  <si>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</si>
  <si>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</si>
  <si>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</si>
  <si>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</si>
  <si>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</si>
  <si>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</si>
  <si>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</si>
  <si>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</si>
  <si>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</si>
  <si>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</si>
  <si>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</si>
  <si>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</si>
  <si>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</si>
  <si>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</si>
  <si>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</si>
  <si>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</si>
  <si>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</si>
  <si>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</si>
  <si>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</si>
  <si>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</si>
  <si>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</si>
  <si>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</si>
  <si>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</si>
  <si>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</si>
  <si>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</si>
  <si>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</si>
  <si>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</si>
  <si>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</si>
  <si>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</si>
  <si>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</si>
  <si>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</si>
  <si>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</si>
  <si>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</si>
  <si>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</si>
  <si>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</si>
  <si>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</si>
  <si>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</si>
  <si>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</si>
  <si>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</si>
  <si>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</si>
  <si>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</si>
  <si>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</si>
  <si>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</si>
  <si>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</si>
  <si>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</si>
  <si>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</si>
  <si>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</si>
  <si>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</si>
  <si>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</si>
  <si>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</si>
  <si>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</si>
  <si>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</si>
  <si>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</si>
  <si>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</si>
  <si>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</si>
  <si>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</si>
  <si>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</si>
  <si>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</si>
  <si>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</si>
  <si>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</si>
  <si>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</si>
  <si>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</si>
  <si>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</si>
  <si>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</si>
  <si>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</si>
  <si>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</si>
  <si>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</si>
  <si>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</si>
  <si>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</si>
  <si>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</si>
  <si>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</si>
  <si>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</si>
  <si>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</si>
  <si>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</si>
  <si>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</si>
  <si>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</si>
  <si>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</si>
  <si>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</si>
  <si>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</si>
  <si>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</si>
  <si>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</si>
  <si>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</si>
  <si>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</si>
  <si>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</si>
  <si>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</si>
  <si>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</si>
  <si>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</si>
  <si>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</si>
  <si>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</si>
  <si>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</si>
  <si>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</si>
  <si>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</si>
  <si>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</si>
  <si>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</si>
  <si>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</si>
  <si>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</si>
  <si>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</si>
  <si>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</si>
  <si>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</si>
  <si>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</si>
  <si>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</si>
  <si>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</si>
  <si>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</si>
  <si>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</si>
  <si>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</si>
  <si>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</si>
  <si>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</si>
  <si>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</si>
  <si>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</si>
  <si>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</si>
  <si>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</si>
  <si>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</si>
  <si>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</si>
  <si>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</si>
  <si>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</si>
  <si>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</si>
  <si>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</si>
  <si>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</si>
  <si>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</si>
  <si>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</si>
  <si>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</si>
  <si>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</si>
  <si>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</si>
  <si>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</si>
  <si>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</si>
  <si>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</si>
  <si>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</si>
  <si>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</si>
  <si>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</si>
  <si>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</si>
  <si>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</si>
  <si>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</si>
  <si>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</si>
  <si>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</si>
  <si>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</si>
  <si>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</si>
  <si>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</si>
  <si>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</si>
  <si>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</si>
  <si>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</si>
  <si>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</si>
  <si>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</si>
  <si>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</si>
  <si>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</si>
  <si>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</si>
  <si>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</si>
  <si>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</si>
  <si>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</si>
  <si>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</si>
  <si>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</si>
  <si>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</si>
  <si>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</si>
  <si>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</si>
  <si>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</si>
  <si>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</si>
  <si>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</si>
  <si>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</si>
  <si>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</si>
  <si>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</si>
  <si>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</si>
  <si>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</si>
  <si>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</si>
  <si>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</si>
  <si>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</si>
  <si>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</si>
  <si>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</si>
  <si>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</si>
  <si>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</si>
  <si>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</si>
  <si>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</si>
  <si>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</si>
  <si>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</si>
  <si>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</si>
  <si>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</si>
  <si>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</si>
  <si>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</si>
  <si>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</si>
  <si>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</si>
  <si>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</si>
  <si>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</si>
  <si>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</si>
  <si>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</si>
  <si>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</si>
  <si>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</si>
  <si>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</si>
  <si>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</si>
  <si>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</si>
  <si>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</si>
  <si>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</si>
  <si>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</si>
  <si>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</si>
  <si>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</si>
  <si>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</si>
  <si>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</si>
  <si>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</si>
  <si>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</si>
  <si>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</si>
  <si>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</si>
  <si>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</si>
  <si>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</si>
  <si>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</si>
  <si>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</si>
  <si>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</si>
  <si>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</si>
  <si>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</si>
  <si>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</si>
  <si>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</si>
  <si>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</si>
  <si>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</si>
  <si>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</si>
  <si>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</si>
  <si>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</si>
  <si>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</si>
  <si>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</si>
  <si>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</si>
  <si>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</si>
  <si>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</si>
  <si>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</si>
  <si>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</si>
  <si>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</si>
  <si>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</si>
  <si>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</si>
  <si>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</si>
  <si>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</si>
  <si>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</si>
  <si>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</si>
  <si>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</si>
  <si>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</si>
  <si>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</si>
  <si>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</si>
  <si>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</si>
  <si>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</si>
  <si>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</si>
  <si>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</si>
  <si>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</si>
  <si>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</si>
  <si>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</si>
  <si>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</si>
  <si>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</si>
  <si>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</si>
  <si>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</si>
  <si>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</si>
  <si>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</si>
  <si>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</si>
  <si>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</si>
  <si>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</si>
  <si>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</si>
  <si>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</si>
  <si>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</si>
  <si>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</si>
  <si>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</si>
  <si>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</si>
  <si>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</si>
  <si>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</si>
  <si>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</si>
  <si>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</si>
  <si>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</si>
  <si>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</si>
  <si>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</si>
  <si>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</si>
  <si>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</si>
  <si>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</si>
  <si>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</si>
  <si>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</si>
  <si>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</si>
  <si>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</si>
  <si>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</si>
  <si>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</si>
  <si>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</si>
  <si>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</si>
  <si>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</si>
  <si>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</si>
  <si>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</si>
  <si>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</si>
  <si>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</si>
  <si>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</si>
  <si>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</si>
  <si>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</si>
  <si>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</si>
  <si>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</si>
  <si>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</si>
  <si>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</si>
  <si>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</si>
  <si>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</si>
  <si>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</si>
  <si>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</si>
  <si>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</si>
  <si>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</si>
  <si>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</si>
  <si>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</si>
  <si>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</si>
  <si>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</si>
  <si>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</si>
  <si>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</si>
  <si>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</si>
  <si>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</si>
  <si>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</si>
  <si>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</si>
  <si>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</si>
  <si>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</si>
  <si>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</si>
  <si>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</si>
  <si>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</si>
  <si>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</si>
  <si>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</si>
  <si>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</si>
  <si>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</si>
  <si>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</si>
  <si>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</si>
  <si>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</si>
  <si>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</si>
  <si>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</si>
  <si>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</si>
  <si>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</si>
  <si>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</si>
  <si>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</si>
  <si>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</si>
  <si>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</si>
  <si>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</si>
  <si>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</si>
  <si>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</si>
  <si>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</si>
  <si>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</si>
  <si>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</si>
  <si>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</si>
  <si>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</si>
  <si>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</si>
  <si>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</si>
  <si>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</si>
  <si>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</si>
  <si>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</si>
  <si>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</si>
  <si>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</si>
  <si>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</si>
  <si>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</si>
  <si>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</si>
  <si>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</si>
  <si>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</si>
  <si>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</si>
  <si>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</si>
  <si>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</si>
  <si>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</si>
  <si>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</si>
  <si>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</si>
  <si>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</si>
  <si>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</si>
  <si>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</si>
  <si>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</si>
  <si>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</si>
  <si>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</si>
  <si>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</si>
  <si>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</si>
  <si>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</si>
  <si>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</si>
  <si>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</si>
  <si>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</si>
  <si>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</si>
  <si>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</si>
  <si>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</si>
  <si>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</si>
  <si>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</si>
  <si>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</si>
  <si>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</si>
  <si>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</si>
  <si>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</si>
  <si>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</si>
  <si>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</si>
  <si>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</si>
  <si>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</si>
  <si>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</si>
  <si>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</si>
  <si>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</si>
  <si>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</si>
  <si>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</si>
  <si>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</si>
  <si>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</si>
  <si>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</si>
  <si>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</si>
  <si>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</si>
  <si>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</si>
  <si>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</si>
  <si>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</si>
  <si>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</si>
  <si>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</si>
  <si>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</si>
  <si>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</si>
  <si>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</si>
  <si>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</si>
  <si>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</si>
  <si>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</si>
  <si>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</si>
  <si>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</si>
  <si>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</si>
  <si>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</si>
  <si>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</si>
  <si>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</si>
  <si>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</si>
  <si>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</si>
  <si>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</si>
  <si>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</si>
  <si>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</si>
  <si>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</si>
  <si>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</si>
  <si>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</si>
  <si>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</si>
  <si>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</si>
  <si>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</si>
  <si>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</si>
  <si>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</si>
  <si>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</si>
  <si>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</si>
  <si>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</si>
  <si>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</si>
  <si>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</si>
  <si>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</si>
  <si>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</si>
  <si>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</si>
  <si>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</si>
  <si>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</si>
  <si>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</si>
  <si>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</si>
  <si>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</si>
  <si>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</si>
  <si>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</si>
  <si>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</si>
  <si>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</si>
  <si>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</si>
  <si>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</si>
  <si>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</si>
  <si>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</si>
  <si>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</si>
  <si>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</si>
  <si>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</si>
  <si>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</si>
  <si>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</si>
  <si>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</si>
  <si>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</si>
  <si>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</si>
  <si>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</si>
  <si>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</si>
  <si>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</si>
  <si>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</si>
  <si>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</si>
  <si>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</si>
  <si>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</si>
  <si>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</si>
  <si>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</si>
  <si>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</si>
  <si>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</si>
  <si>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</si>
  <si>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</si>
  <si>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</si>
  <si>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</si>
  <si>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</si>
  <si>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</si>
  <si>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</si>
  <si>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</si>
  <si>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</si>
  <si>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</si>
  <si>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</si>
  <si>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</si>
  <si>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</si>
  <si>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</si>
  <si>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</si>
  <si>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</si>
  <si>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</si>
  <si>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</si>
  <si>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</si>
  <si>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</si>
  <si>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</si>
  <si>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</si>
  <si>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</si>
  <si>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</si>
  <si>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</si>
  <si>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</si>
  <si>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</si>
  <si>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</si>
  <si>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</si>
  <si>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</si>
  <si>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</si>
  <si>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</si>
  <si>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</si>
  <si>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</si>
  <si>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</si>
  <si>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</si>
  <si>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</si>
  <si>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</si>
  <si>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</si>
  <si>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</si>
  <si>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</si>
  <si>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</si>
  <si>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</si>
  <si>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</si>
  <si>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</si>
  <si>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</si>
  <si>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</si>
  <si>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</si>
  <si>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</si>
  <si>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</si>
  <si>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</si>
  <si>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</si>
  <si>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</si>
  <si>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</si>
  <si>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</si>
  <si>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</si>
  <si>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</si>
  <si>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</si>
  <si>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</si>
  <si>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</si>
  <si>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</si>
  <si>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</si>
  <si>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</si>
  <si>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</si>
  <si>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</si>
  <si>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</si>
  <si>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</si>
  <si>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</si>
  <si>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</si>
  <si>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</si>
  <si>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</si>
  <si>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</si>
  <si>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</si>
  <si>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</si>
  <si>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</si>
  <si>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</si>
  <si>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</si>
  <si>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</si>
  <si>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</si>
  <si>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</si>
  <si>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</si>
  <si>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</si>
  <si>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</si>
  <si>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</si>
  <si>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</si>
  <si>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</si>
  <si>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</si>
  <si>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</si>
  <si>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</si>
  <si>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</si>
  <si>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</si>
  <si>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</si>
  <si>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</si>
  <si>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</si>
  <si>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</si>
  <si>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</si>
  <si>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</si>
  <si>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</si>
  <si>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</si>
  <si>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</si>
  <si>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</si>
  <si>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</si>
  <si>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</si>
  <si>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</si>
  <si>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</si>
  <si>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</si>
  <si>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</si>
  <si>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</si>
  <si>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</si>
  <si>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</si>
  <si>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</si>
  <si>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</si>
  <si>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</si>
  <si>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</si>
  <si>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</si>
  <si>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</si>
  <si>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</si>
  <si>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</si>
  <si>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</si>
  <si>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</si>
  <si>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</si>
  <si>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</si>
  <si>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</si>
  <si>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</si>
  <si>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</si>
  <si>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</si>
  <si>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</si>
  <si>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</si>
  <si>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</si>
  <si>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</si>
  <si>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</si>
  <si>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</si>
  <si>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</si>
  <si>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</si>
  <si>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</si>
  <si>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</si>
  <si>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</si>
  <si>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</si>
  <si>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</si>
  <si>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</si>
  <si>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</si>
  <si>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</si>
  <si>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</si>
  <si>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</si>
  <si>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</si>
  <si>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</si>
  <si>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</si>
  <si>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</si>
  <si>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</si>
  <si>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</si>
  <si>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</si>
  <si>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</si>
  <si>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</si>
  <si>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</si>
  <si>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</si>
  <si>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</si>
  <si>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</si>
  <si>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</si>
  <si>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</si>
  <si>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</si>
  <si>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</si>
  <si>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</si>
  <si>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</si>
  <si>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</si>
  <si>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</si>
  <si>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</si>
  <si>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</si>
  <si>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</si>
  <si>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</si>
  <si>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</si>
  <si>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</si>
  <si>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</si>
  <si>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</si>
  <si>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</si>
  <si>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</si>
  <si>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</si>
  <si>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</si>
  <si>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</si>
  <si>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</si>
  <si>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</si>
  <si>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</si>
  <si>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</si>
  <si>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</si>
  <si>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</si>
  <si>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</si>
  <si>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</si>
  <si>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</si>
  <si>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</si>
  <si>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</si>
  <si>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</si>
  <si>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</si>
  <si>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</si>
  <si>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</si>
  <si>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</si>
  <si>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</si>
  <si>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</si>
  <si>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</si>
  <si>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</si>
  <si>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</si>
  <si>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</si>
  <si>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</si>
  <si>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</si>
  <si>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</si>
  <si>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</si>
  <si>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</si>
  <si>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</si>
  <si>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</si>
  <si>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</si>
  <si>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</si>
  <si>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</si>
  <si>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</si>
  <si>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</si>
  <si>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</si>
  <si>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</si>
  <si>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</si>
  <si>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</si>
  <si>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</si>
  <si>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</si>
  <si>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</si>
  <si>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</si>
  <si>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</si>
  <si>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</si>
  <si>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</si>
  <si>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</si>
  <si>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</si>
  <si>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</si>
  <si>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</si>
  <si>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</si>
  <si>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</si>
  <si>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</si>
  <si>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</si>
  <si>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</si>
  <si>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</si>
  <si>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</si>
  <si>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</si>
  <si>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</si>
  <si>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</si>
  <si>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</si>
  <si>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</si>
  <si>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</si>
  <si>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</si>
  <si>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</si>
  <si>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</si>
  <si>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</si>
  <si>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</si>
  <si>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</si>
  <si>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</si>
  <si>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</si>
  <si>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</si>
  <si>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</si>
  <si>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</si>
  <si>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</si>
  <si>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</si>
  <si>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</si>
  <si>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</si>
  <si>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</si>
  <si>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</si>
  <si>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</si>
  <si>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</si>
  <si>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</si>
  <si>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</si>
  <si>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</si>
  <si>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</si>
  <si>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</si>
  <si>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</si>
  <si>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</si>
  <si>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</si>
  <si>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</si>
  <si>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</si>
  <si>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</si>
  <si>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</si>
  <si>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</si>
  <si>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</si>
  <si>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</si>
  <si>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</si>
  <si>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</si>
  <si>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</si>
  <si>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</si>
  <si>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</si>
  <si>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</si>
  <si>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</si>
  <si>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</si>
  <si>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</si>
  <si>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</si>
  <si>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</si>
  <si>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</si>
  <si>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</si>
  <si>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</si>
  <si>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</si>
  <si>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</si>
  <si>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</si>
  <si>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</si>
  <si>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</si>
  <si>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</si>
  <si>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</si>
  <si>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</si>
  <si>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</si>
  <si>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</si>
  <si>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</si>
  <si>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</si>
  <si>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</si>
  <si>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</si>
  <si>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</si>
  <si>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</si>
  <si>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</si>
  <si>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</si>
  <si>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</si>
  <si>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</si>
  <si>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</si>
  <si>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</si>
  <si>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</si>
  <si>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</si>
  <si>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</si>
  <si>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</si>
  <si>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</si>
  <si>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</si>
  <si>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</si>
  <si>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</si>
  <si>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</si>
  <si>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</si>
  <si>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</si>
  <si>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</si>
  <si>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</si>
  <si>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</si>
  <si>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</si>
  <si>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</si>
  <si>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</si>
  <si>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</si>
  <si>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</si>
  <si>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</si>
  <si>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</si>
  <si>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</si>
  <si>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</si>
  <si>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</si>
  <si>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</si>
  <si>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</si>
  <si>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</si>
  <si>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</si>
  <si>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</si>
  <si>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</si>
  <si>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</si>
  <si>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</si>
  <si>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</si>
  <si>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</si>
  <si>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</si>
  <si>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</si>
  <si>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</si>
  <si>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</si>
  <si>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</si>
  <si>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</si>
  <si>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</si>
  <si>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</si>
  <si>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</si>
  <si>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</si>
  <si>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</si>
  <si>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</si>
  <si>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</si>
  <si>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</si>
  <si>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</si>
  <si>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</si>
  <si>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</si>
  <si>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</si>
  <si>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</si>
  <si>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</si>
  <si>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</si>
  <si>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</si>
  <si>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</si>
  <si>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</si>
  <si>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</si>
  <si>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</si>
  <si>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</si>
  <si>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</si>
  <si>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</si>
  <si>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</si>
  <si>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</si>
  <si>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</si>
  <si>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</si>
  <si>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</si>
  <si>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</si>
  <si>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</si>
  <si>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</si>
  <si>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</si>
  <si>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</si>
  <si>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</si>
  <si>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</si>
  <si>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</si>
  <si>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</si>
  <si>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</si>
  <si>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</si>
  <si>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</si>
  <si>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</si>
  <si>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</si>
  <si>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</si>
  <si>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</si>
  <si>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</si>
  <si>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</si>
  <si>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</si>
  <si>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</si>
  <si>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</si>
  <si>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</si>
  <si>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</si>
  <si>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</si>
  <si>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</si>
  <si>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</si>
  <si>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</si>
  <si>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</si>
  <si>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</si>
  <si>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</si>
  <si>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</si>
  <si>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</si>
  <si>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</si>
  <si>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</si>
  <si>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</si>
  <si>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</si>
  <si>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</si>
  <si>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</si>
  <si>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</si>
  <si>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</si>
  <si>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</si>
  <si>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</si>
  <si>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</si>
  <si>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</si>
  <si>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</si>
  <si>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</si>
  <si>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</si>
  <si>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</si>
  <si>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</si>
  <si>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</si>
  <si>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</si>
  <si>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</si>
  <si>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</si>
  <si>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</si>
  <si>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</si>
  <si>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</si>
  <si>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</si>
  <si>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</si>
  <si>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</si>
  <si>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</si>
  <si>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</si>
  <si>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</si>
  <si>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</si>
  <si>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</si>
  <si>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</si>
  <si>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</si>
  <si>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</si>
  <si>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</si>
  <si>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</si>
  <si>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</si>
  <si>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</si>
  <si>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</si>
  <si>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</si>
  <si>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</si>
  <si>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</si>
  <si>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</si>
  <si>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</si>
  <si>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</si>
  <si>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</si>
  <si>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</si>
  <si>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</si>
  <si>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</si>
  <si>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</si>
  <si>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</si>
  <si>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</si>
  <si>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</si>
  <si>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</si>
  <si>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</si>
  <si>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</si>
  <si>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</si>
  <si>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</si>
  <si>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</si>
  <si>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</si>
  <si>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</si>
  <si>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</si>
  <si>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</si>
  <si>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</si>
  <si>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</si>
  <si>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</si>
  <si>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</si>
  <si>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</si>
  <si>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</si>
  <si>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</si>
  <si>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</si>
  <si>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</si>
  <si>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</si>
  <si>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</si>
  <si>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</si>
  <si>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</si>
  <si>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</si>
  <si>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</si>
  <si>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</si>
  <si>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</si>
  <si>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</si>
  <si>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</si>
  <si>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</si>
  <si>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</si>
  <si>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</si>
  <si>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</si>
  <si>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</si>
  <si>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</si>
  <si>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</si>
  <si>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</si>
  <si>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</si>
  <si>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</si>
  <si>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</si>
  <si>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</si>
  <si>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</si>
  <si>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</si>
  <si>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</si>
  <si>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</si>
  <si>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</si>
  <si>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</si>
  <si>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</si>
  <si>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</si>
  <si>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</si>
  <si>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</si>
  <si>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</si>
  <si>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</si>
  <si>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</si>
  <si>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</si>
  <si>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</si>
  <si>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</si>
  <si>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</si>
  <si>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</si>
  <si>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</si>
  <si>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</si>
  <si>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</si>
  <si>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</si>
  <si>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</si>
  <si>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</si>
  <si>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</si>
  <si>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</si>
  <si>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</si>
  <si>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</si>
  <si>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</si>
  <si>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</si>
  <si>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</si>
  <si>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</si>
  <si>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</si>
  <si>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</si>
  <si>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</si>
  <si>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</si>
  <si>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</si>
  <si>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</si>
  <si>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</si>
  <si>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</si>
  <si>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</si>
  <si>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</si>
  <si>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</si>
  <si>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</si>
  <si>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</si>
  <si>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</si>
  <si>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</si>
  <si>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</si>
  <si>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</si>
  <si>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</si>
  <si>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</si>
  <si>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</si>
  <si>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</si>
  <si>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</si>
  <si>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</si>
  <si>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</si>
  <si>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</si>
  <si>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</si>
  <si>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</si>
  <si>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</si>
  <si>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</si>
  <si>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</si>
  <si>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</si>
  <si>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</si>
  <si>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</si>
  <si>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</si>
  <si>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</si>
  <si>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</si>
  <si>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</si>
  <si>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</si>
  <si>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</si>
  <si>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</si>
  <si>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</si>
  <si>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</si>
  <si>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</si>
  <si>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</si>
  <si>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</si>
  <si>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</si>
  <si>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</si>
  <si>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</si>
  <si>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</si>
  <si>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</si>
  <si>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</si>
  <si>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</si>
  <si>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</si>
  <si>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</si>
  <si>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</si>
  <si>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</si>
  <si>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</si>
  <si>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</si>
  <si>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</si>
  <si>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</si>
  <si>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</si>
  <si>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</si>
  <si>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</si>
  <si>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苏海</t>
  </si>
  <si>
    <t>可抵押商品住宅</t>
  </si>
  <si>
    <t>邹晓鸣</t>
  </si>
  <si>
    <t>二</t>
  </si>
  <si>
    <t>裴蓓</t>
  </si>
  <si>
    <t>新增</t>
  </si>
  <si>
    <t>合同</t>
  </si>
  <si>
    <t xml:space="preserve"> </t>
  </si>
  <si>
    <t>预售</t>
  </si>
  <si>
    <t>三</t>
  </si>
  <si>
    <t>复式、平层√、跃层、错层</t>
  </si>
  <si>
    <t>四</t>
  </si>
  <si>
    <t>现房</t>
  </si>
  <si>
    <t>预售</t>
    <phoneticPr fontId="24" type="noConversion"/>
  </si>
  <si>
    <t>朝向</t>
  </si>
  <si>
    <t>七通</t>
  </si>
  <si>
    <t>毛坯</t>
  </si>
  <si>
    <t>毛坯</t>
    <phoneticPr fontId="24" type="noConversion"/>
  </si>
  <si>
    <t>二室一厅一卫一厨</t>
  </si>
  <si>
    <t>周婷婷</t>
  </si>
  <si>
    <t>二室二厅二卫一厨</t>
  </si>
  <si>
    <t>北京住房公积金管理中心宣武第二管理部</t>
  </si>
  <si>
    <t>五</t>
  </si>
  <si>
    <t>一</t>
  </si>
  <si>
    <t>预售</t>
    <phoneticPr fontId="24" type="noConversion"/>
  </si>
  <si>
    <t>一般</t>
  </si>
  <si>
    <t>二手房</t>
    <phoneticPr fontId="24" type="noConversion"/>
  </si>
  <si>
    <t>一手房</t>
    <phoneticPr fontId="24" type="noConversion"/>
  </si>
  <si>
    <t>北京市朝阳区潘道庙8号楼7单元5层04户</t>
    <phoneticPr fontId="3" type="noConversion"/>
  </si>
  <si>
    <t>5/6</t>
    <phoneticPr fontId="24" type="noConversion"/>
  </si>
  <si>
    <t>多层板楼</t>
  </si>
  <si>
    <t>多层板楼</t>
    <phoneticPr fontId="24" type="noConversion"/>
  </si>
  <si>
    <t>高层板楼</t>
    <phoneticPr fontId="24"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</si>
  <si>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</si>
  <si>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</si>
  <si>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</si>
  <si>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</si>
  <si>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</si>
  <si>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</si>
  <si>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</si>
  <si>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</si>
  <si>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</si>
  <si>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</si>
  <si>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</si>
  <si>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</si>
  <si>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</si>
  <si>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</si>
  <si>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</si>
  <si>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</si>
  <si>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</si>
  <si>
    <t>成交单价</t>
  </si>
  <si>
    <t>单价(元/M2)</t>
  </si>
  <si>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</si>
  <si>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</si>
  <si>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</si>
  <si>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</si>
  <si>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</si>
  <si>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</si>
  <si>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</si>
  <si>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</si>
  <si>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</si>
  <si>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</si>
  <si>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</si>
  <si>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</si>
  <si>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</si>
  <si>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</si>
  <si>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</si>
  <si>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</si>
  <si>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</si>
  <si>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</si>
  <si>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</si>
  <si>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</si>
  <si>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</si>
  <si>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</si>
  <si>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</si>
  <si>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</si>
  <si>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</si>
  <si>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</si>
  <si>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</si>
  <si>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</si>
  <si>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</si>
  <si>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</si>
  <si>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</si>
  <si>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</si>
  <si>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</si>
  <si>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</si>
  <si>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</si>
  <si>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</si>
  <si>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朝阳区</t>
  </si>
  <si>
    <t>南磨房八东村东方美景家园</t>
  </si>
  <si>
    <t>4幢</t>
    <phoneticPr fontId="3" type="noConversion"/>
  </si>
  <si>
    <t>北京市崇文区城市建设开发公司</t>
  </si>
  <si>
    <t>北京市住房资金管理中心外企分中心</t>
    <phoneticPr fontId="3" type="noConversion"/>
  </si>
  <si>
    <t>竣工备案待发</t>
  </si>
  <si>
    <t>李晶</t>
  </si>
  <si>
    <t>北京市崇文区长青园16楼</t>
  </si>
  <si>
    <t>白金明</t>
  </si>
  <si>
    <t>联系电话</t>
    <phoneticPr fontId="3" type="noConversion"/>
  </si>
  <si>
    <t>2003-22-P-00002</t>
    <phoneticPr fontId="3" type="noConversion"/>
  </si>
  <si>
    <t>王振菁</t>
    <phoneticPr fontId="3" type="noConversion"/>
  </si>
  <si>
    <t>110109680312252</t>
    <phoneticPr fontId="3" type="noConversion"/>
  </si>
  <si>
    <t>13501095527</t>
    <phoneticPr fontId="3" type="noConversion"/>
  </si>
  <si>
    <t>11层</t>
    <phoneticPr fontId="3" type="noConversion"/>
  </si>
  <si>
    <t>1109号</t>
    <phoneticPr fontId="3" type="noConversion"/>
  </si>
  <si>
    <t>二室一厅一卫一厨</t>
    <phoneticPr fontId="3" type="noConversion"/>
  </si>
  <si>
    <t>北京市住房资金管理中心朝阳区分中心</t>
    <phoneticPr fontId="3" type="noConversion"/>
  </si>
  <si>
    <t>233817</t>
    <phoneticPr fontId="3" type="noConversion"/>
  </si>
  <si>
    <t>2003-22-P-00057</t>
  </si>
  <si>
    <t>吴继友</t>
  </si>
  <si>
    <t>342522730707061</t>
  </si>
  <si>
    <t>13910035430</t>
  </si>
  <si>
    <t>南磨房八东村东方美景家园</t>
    <phoneticPr fontId="3" type="noConversion"/>
  </si>
  <si>
    <t>4幢</t>
  </si>
  <si>
    <t>10层</t>
  </si>
  <si>
    <t>1008号</t>
  </si>
  <si>
    <t>北京市住房资金管理中心朝阳区分中心</t>
  </si>
  <si>
    <t>192945</t>
  </si>
  <si>
    <t>2003-22-P-00088</t>
  </si>
  <si>
    <t>杨焕芳</t>
  </si>
  <si>
    <t>110102490812048</t>
  </si>
  <si>
    <t>64622670</t>
  </si>
  <si>
    <t>6幢</t>
  </si>
  <si>
    <t>1单元</t>
  </si>
  <si>
    <t>402号</t>
  </si>
  <si>
    <t>北京市住房资金管理中心崇文区分中心</t>
  </si>
  <si>
    <t>191259</t>
  </si>
  <si>
    <t>2003-22-P-00089</t>
  </si>
  <si>
    <t>刘亚利</t>
  </si>
  <si>
    <t>110226197004150025</t>
  </si>
  <si>
    <t>13910036003</t>
  </si>
  <si>
    <t>6层</t>
  </si>
  <si>
    <t>603号</t>
  </si>
  <si>
    <t>167636</t>
  </si>
  <si>
    <t>2003-22-P-00166</t>
    <phoneticPr fontId="3" type="noConversion"/>
  </si>
  <si>
    <t>李戈</t>
    <phoneticPr fontId="3" type="noConversion"/>
  </si>
  <si>
    <t>110105197303123310</t>
    <phoneticPr fontId="3" type="noConversion"/>
  </si>
  <si>
    <t>67083603</t>
    <phoneticPr fontId="3" type="noConversion"/>
  </si>
  <si>
    <t>3座</t>
    <phoneticPr fontId="3" type="noConversion"/>
  </si>
  <si>
    <t>15层</t>
    <phoneticPr fontId="3" type="noConversion"/>
  </si>
  <si>
    <t>1506号</t>
    <phoneticPr fontId="3" type="noConversion"/>
  </si>
  <si>
    <t>一室一厅一卫一厨</t>
    <phoneticPr fontId="3" type="noConversion"/>
  </si>
  <si>
    <t>北京市住房资金管理中心朝阳区分中心</t>
    <phoneticPr fontId="3" type="noConversion"/>
  </si>
  <si>
    <t>三</t>
    <phoneticPr fontId="3" type="noConversion"/>
  </si>
  <si>
    <t>161145</t>
    <phoneticPr fontId="3" type="noConversion"/>
  </si>
  <si>
    <t>2003-22-P-00289</t>
    <phoneticPr fontId="3" type="noConversion"/>
  </si>
  <si>
    <t>张皓</t>
    <phoneticPr fontId="3" type="noConversion"/>
  </si>
  <si>
    <t>4幢</t>
    <phoneticPr fontId="3" type="noConversion"/>
  </si>
  <si>
    <t>9层</t>
    <phoneticPr fontId="3" type="noConversion"/>
  </si>
  <si>
    <t>902号</t>
    <phoneticPr fontId="3" type="noConversion"/>
  </si>
  <si>
    <t>现房</t>
    <phoneticPr fontId="3" type="noConversion"/>
  </si>
  <si>
    <t>1101031100768</t>
  </si>
  <si>
    <t>联系电话、合同特定编号</t>
    <phoneticPr fontId="3" type="noConversion"/>
  </si>
  <si>
    <t>2003-22-P-00440</t>
    <phoneticPr fontId="3" type="noConversion"/>
  </si>
  <si>
    <t>赵宁</t>
    <phoneticPr fontId="3" type="noConversion"/>
  </si>
  <si>
    <t>120104197512283842</t>
    <phoneticPr fontId="3" type="noConversion"/>
  </si>
  <si>
    <t>3幢</t>
    <phoneticPr fontId="3" type="noConversion"/>
  </si>
  <si>
    <t>7层</t>
    <phoneticPr fontId="3" type="noConversion"/>
  </si>
  <si>
    <t>703号</t>
    <phoneticPr fontId="3" type="noConversion"/>
  </si>
  <si>
    <t>现房</t>
    <phoneticPr fontId="3" type="noConversion"/>
  </si>
  <si>
    <t>五</t>
    <phoneticPr fontId="3" type="noConversion"/>
  </si>
  <si>
    <t>联系电话、合同特定编号</t>
    <phoneticPr fontId="3" type="noConversion"/>
  </si>
  <si>
    <t>2003-22-P-01169</t>
    <phoneticPr fontId="3" type="noConversion"/>
  </si>
  <si>
    <t>吕韬、张梦颖</t>
    <phoneticPr fontId="3" type="noConversion"/>
  </si>
  <si>
    <t>420984197602100110、630104761004252</t>
    <phoneticPr fontId="3" type="noConversion"/>
  </si>
  <si>
    <t>13910825906</t>
    <phoneticPr fontId="3" type="noConversion"/>
  </si>
  <si>
    <t>7层</t>
    <phoneticPr fontId="3" type="noConversion"/>
  </si>
  <si>
    <t>709号</t>
    <phoneticPr fontId="3" type="noConversion"/>
  </si>
  <si>
    <t>北京市住房资金管理中心朝阳区分中心</t>
    <phoneticPr fontId="3" type="noConversion"/>
  </si>
  <si>
    <t>N</t>
    <phoneticPr fontId="3" type="noConversion"/>
  </si>
  <si>
    <t>191239</t>
    <phoneticPr fontId="3" type="noConversion"/>
  </si>
  <si>
    <t>1101031100768</t>
    <phoneticPr fontId="3" type="noConversion"/>
  </si>
  <si>
    <t>预售</t>
    <phoneticPr fontId="3" type="noConversion"/>
  </si>
  <si>
    <t>2003-22-P-01178</t>
    <phoneticPr fontId="3" type="noConversion"/>
  </si>
  <si>
    <t>孙艳</t>
    <phoneticPr fontId="3" type="noConversion"/>
  </si>
  <si>
    <t>110222197505063127</t>
    <phoneticPr fontId="3" type="noConversion"/>
  </si>
  <si>
    <t>13701031452</t>
    <phoneticPr fontId="3" type="noConversion"/>
  </si>
  <si>
    <t>6幢</t>
    <phoneticPr fontId="3" type="noConversion"/>
  </si>
  <si>
    <t>1单元</t>
    <phoneticPr fontId="3" type="noConversion"/>
  </si>
  <si>
    <t>501号</t>
    <phoneticPr fontId="3" type="noConversion"/>
  </si>
  <si>
    <t>二室二厅一卫一厨</t>
    <phoneticPr fontId="3" type="noConversion"/>
  </si>
  <si>
    <t>五</t>
    <phoneticPr fontId="3" type="noConversion"/>
  </si>
  <si>
    <t>N</t>
    <phoneticPr fontId="3" type="noConversion"/>
  </si>
  <si>
    <t>232055</t>
    <phoneticPr fontId="3" type="noConversion"/>
  </si>
  <si>
    <t>1101031100768</t>
    <phoneticPr fontId="3" type="noConversion"/>
  </si>
  <si>
    <t>2003-22-P-02048</t>
    <phoneticPr fontId="3" type="noConversion"/>
  </si>
  <si>
    <t>张志明</t>
    <phoneticPr fontId="3" type="noConversion"/>
  </si>
  <si>
    <t>120106680612003</t>
    <phoneticPr fontId="3" type="noConversion"/>
  </si>
  <si>
    <t>13311068162</t>
    <phoneticPr fontId="3" type="noConversion"/>
  </si>
  <si>
    <t>朝阳区</t>
    <phoneticPr fontId="3" type="noConversion"/>
  </si>
  <si>
    <t>南磨房八里庄方华苑</t>
    <phoneticPr fontId="3" type="noConversion"/>
  </si>
  <si>
    <t>四幢</t>
    <phoneticPr fontId="3" type="noConversion"/>
  </si>
  <si>
    <t>10层</t>
    <phoneticPr fontId="3" type="noConversion"/>
  </si>
  <si>
    <t>1008号</t>
    <phoneticPr fontId="3" type="noConversion"/>
  </si>
  <si>
    <t>北京纺织控股有限责任公司</t>
    <phoneticPr fontId="3" type="noConversion"/>
  </si>
  <si>
    <t>三室二厅二卫一厨</t>
    <phoneticPr fontId="3" type="noConversion"/>
  </si>
  <si>
    <t>苏海</t>
    <phoneticPr fontId="3" type="noConversion"/>
  </si>
  <si>
    <t>现房</t>
    <phoneticPr fontId="3" type="noConversion"/>
  </si>
  <si>
    <t>可抵押商品住宅</t>
    <phoneticPr fontId="3" type="noConversion"/>
  </si>
  <si>
    <t>邹晓鸣</t>
    <phoneticPr fontId="3" type="noConversion"/>
  </si>
  <si>
    <t>宋宇</t>
    <phoneticPr fontId="3" type="noConversion"/>
  </si>
  <si>
    <t>新增</t>
    <phoneticPr fontId="3" type="noConversion"/>
  </si>
  <si>
    <t>合同</t>
    <phoneticPr fontId="3" type="noConversion"/>
  </si>
  <si>
    <t>174266</t>
    <phoneticPr fontId="3" type="noConversion"/>
  </si>
  <si>
    <t>北京纺织控股有限责任公司</t>
    <phoneticPr fontId="3" type="noConversion"/>
  </si>
  <si>
    <t>北京市东城区东单三条33号</t>
    <phoneticPr fontId="3" type="noConversion"/>
  </si>
  <si>
    <t>1100001003015（4-2）</t>
    <phoneticPr fontId="3" type="noConversion"/>
  </si>
  <si>
    <t>杨文华</t>
    <phoneticPr fontId="3" type="noConversion"/>
  </si>
  <si>
    <t>宋宇</t>
  </si>
  <si>
    <t>2003-22-P-02862</t>
    <phoneticPr fontId="3" type="noConversion"/>
  </si>
  <si>
    <t>王淼、汤鹏</t>
    <phoneticPr fontId="3" type="noConversion"/>
  </si>
  <si>
    <t>410811197705135046、410811790408501</t>
    <phoneticPr fontId="3" type="noConversion"/>
  </si>
  <si>
    <t>13910202672</t>
    <phoneticPr fontId="3" type="noConversion"/>
  </si>
  <si>
    <t>14层</t>
    <phoneticPr fontId="3" type="noConversion"/>
  </si>
  <si>
    <t>1406号</t>
    <phoneticPr fontId="3" type="noConversion"/>
  </si>
  <si>
    <t>一室一厅一卫一厨</t>
    <phoneticPr fontId="3" type="noConversion"/>
  </si>
  <si>
    <t>邹晓鸣</t>
    <phoneticPr fontId="3" type="noConversion"/>
  </si>
  <si>
    <t>232035</t>
    <phoneticPr fontId="3" type="noConversion"/>
  </si>
  <si>
    <t>预售</t>
    <phoneticPr fontId="3" type="noConversion"/>
  </si>
  <si>
    <t>2003-22-P-02864</t>
    <phoneticPr fontId="3" type="noConversion"/>
  </si>
  <si>
    <t>王婷鸿</t>
    <phoneticPr fontId="3" type="noConversion"/>
  </si>
  <si>
    <t>410305197710255523</t>
    <phoneticPr fontId="3" type="noConversion"/>
  </si>
  <si>
    <t>13801015234</t>
    <phoneticPr fontId="3" type="noConversion"/>
  </si>
  <si>
    <t>4幢</t>
    <phoneticPr fontId="3" type="noConversion"/>
  </si>
  <si>
    <t>10层</t>
    <phoneticPr fontId="3" type="noConversion"/>
  </si>
  <si>
    <t>1006号</t>
    <phoneticPr fontId="3" type="noConversion"/>
  </si>
  <si>
    <t>一室一厅一卫一厨</t>
    <phoneticPr fontId="3" type="noConversion"/>
  </si>
  <si>
    <t>北京市住房资金管理中心朝阳区分中心</t>
    <phoneticPr fontId="3" type="noConversion"/>
  </si>
  <si>
    <t>现房</t>
    <phoneticPr fontId="3" type="noConversion"/>
  </si>
  <si>
    <t>167747</t>
    <phoneticPr fontId="3" type="noConversion"/>
  </si>
  <si>
    <t>2003-22-P-03531</t>
  </si>
  <si>
    <t>李春萍</t>
  </si>
  <si>
    <t>110105721114216</t>
  </si>
  <si>
    <t>13611345987</t>
  </si>
  <si>
    <t>3幢</t>
  </si>
  <si>
    <t>7层</t>
  </si>
  <si>
    <t>707号</t>
  </si>
  <si>
    <t>北京市住房资金管理中心外企分中心</t>
  </si>
  <si>
    <t>167724</t>
  </si>
  <si>
    <t>2003-22-P-03591</t>
  </si>
  <si>
    <t>宗琛、蒋兴宏</t>
  </si>
  <si>
    <t>533001770917662、装字第42130620号</t>
  </si>
  <si>
    <t>13910062079</t>
  </si>
  <si>
    <t>9层</t>
  </si>
  <si>
    <t>908号</t>
  </si>
  <si>
    <t>北京市住房资金管理中心</t>
  </si>
  <si>
    <t>232067</t>
  </si>
  <si>
    <t>2003-22-P-03592</t>
  </si>
  <si>
    <t>于浩</t>
  </si>
  <si>
    <t>412728760901001</t>
  </si>
  <si>
    <t>13920300572</t>
  </si>
  <si>
    <t>708号</t>
  </si>
  <si>
    <t>232029</t>
  </si>
  <si>
    <t>2003-22-P-03593</t>
  </si>
  <si>
    <t>张丽华</t>
  </si>
  <si>
    <t>110111771111004</t>
  </si>
  <si>
    <t>89352321</t>
  </si>
  <si>
    <t>21层</t>
  </si>
  <si>
    <t>2106号</t>
  </si>
  <si>
    <t>一室一厅一卫一厨</t>
  </si>
  <si>
    <t>167618</t>
  </si>
  <si>
    <t>2003-22-P-04000</t>
  </si>
  <si>
    <t>徐文博</t>
  </si>
  <si>
    <t>110106650502185</t>
  </si>
  <si>
    <t>13651181007</t>
  </si>
  <si>
    <t>2103号</t>
  </si>
  <si>
    <t>234418</t>
  </si>
  <si>
    <t>2003-22-P-04088</t>
  </si>
  <si>
    <t>全海兰</t>
  </si>
  <si>
    <t>222401720520212</t>
  </si>
  <si>
    <t>13501006628</t>
  </si>
  <si>
    <t>609号</t>
  </si>
  <si>
    <t>167611</t>
  </si>
  <si>
    <t>2003-22-P-04092</t>
  </si>
  <si>
    <t>汤宁</t>
  </si>
  <si>
    <t>330106197203070087</t>
  </si>
  <si>
    <t>13681038829</t>
  </si>
  <si>
    <t>13层</t>
  </si>
  <si>
    <t>1302号</t>
  </si>
  <si>
    <t>191212</t>
  </si>
  <si>
    <t>2003-22-P-04119</t>
  </si>
  <si>
    <t>于雪</t>
  </si>
  <si>
    <t>110221197512300016</t>
  </si>
  <si>
    <t>63602539</t>
  </si>
  <si>
    <t>19层</t>
  </si>
  <si>
    <t>1903号</t>
  </si>
  <si>
    <t>北京住房公积金管理中心宣武第一管理部</t>
  </si>
  <si>
    <t>234428</t>
  </si>
  <si>
    <t>2003-22-P-04217</t>
  </si>
  <si>
    <t>傅群</t>
  </si>
  <si>
    <t>南磨房楼梓庄世纪东方嘉园</t>
  </si>
  <si>
    <t>5幢</t>
  </si>
  <si>
    <t>3单元</t>
  </si>
  <si>
    <t>北京世纪城房地产开发有限公司</t>
  </si>
  <si>
    <t>结构施工</t>
  </si>
  <si>
    <t>549259</t>
  </si>
  <si>
    <t>北京市朝阳区西大望路甲29号</t>
  </si>
  <si>
    <t>1100001144313(2-1)</t>
  </si>
  <si>
    <t>张德亮</t>
  </si>
  <si>
    <t>2003-22-P-04255</t>
  </si>
  <si>
    <t>刘宋昊</t>
  </si>
  <si>
    <t>610103761204161</t>
  </si>
  <si>
    <t>13910500253</t>
  </si>
  <si>
    <t>15层</t>
  </si>
  <si>
    <t>1501号</t>
  </si>
  <si>
    <t>233832</t>
  </si>
  <si>
    <t>2003-22-P-04256</t>
  </si>
  <si>
    <t>刘克敏</t>
  </si>
  <si>
    <t>110104196606291636</t>
  </si>
  <si>
    <t>13641228578</t>
  </si>
  <si>
    <t>23层</t>
  </si>
  <si>
    <t>2303号</t>
  </si>
  <si>
    <t>192925</t>
  </si>
  <si>
    <t>2003-22-P-04292</t>
  </si>
  <si>
    <t>赵颖轶</t>
  </si>
  <si>
    <t>110111790123802</t>
  </si>
  <si>
    <t>13641271892</t>
  </si>
  <si>
    <t>17层</t>
  </si>
  <si>
    <t>1704号</t>
  </si>
  <si>
    <t>233835</t>
  </si>
  <si>
    <t>2003-22-P-04377</t>
  </si>
  <si>
    <t>侯玉良</t>
  </si>
  <si>
    <t>110105650905255</t>
  </si>
  <si>
    <t>2区5幢</t>
  </si>
  <si>
    <t>702号</t>
  </si>
  <si>
    <t>2003-3-D1-02721</t>
  </si>
  <si>
    <t>544627</t>
  </si>
  <si>
    <t>2003-22-P-04399</t>
  </si>
  <si>
    <t>宋晓声</t>
  </si>
  <si>
    <t>620102691107464</t>
  </si>
  <si>
    <t>9幢</t>
  </si>
  <si>
    <t>8层</t>
  </si>
  <si>
    <t>803号</t>
  </si>
  <si>
    <t>三室二厅二卫一厨</t>
  </si>
  <si>
    <t>543509</t>
  </si>
  <si>
    <t>2003-22-P-04426</t>
  </si>
  <si>
    <t>白静</t>
  </si>
  <si>
    <t>410103660215244</t>
  </si>
  <si>
    <t>13671184321</t>
  </si>
  <si>
    <t>910号</t>
  </si>
  <si>
    <t>三室一厅一卫一厨</t>
  </si>
  <si>
    <t>北京住房公积金管理中心朝阳第三管理部</t>
  </si>
  <si>
    <t>191267</t>
  </si>
  <si>
    <t>2003-22-P-04427</t>
  </si>
  <si>
    <t>杨大力</t>
  </si>
  <si>
    <t>11010819650622639X</t>
  </si>
  <si>
    <t>13901226490</t>
  </si>
  <si>
    <t>14层</t>
  </si>
  <si>
    <t>1402号</t>
  </si>
  <si>
    <t>167781</t>
  </si>
  <si>
    <t>2003-22-P-04447</t>
    <phoneticPr fontId="3" type="noConversion"/>
  </si>
  <si>
    <t>韩益亚</t>
    <phoneticPr fontId="3" type="noConversion"/>
  </si>
  <si>
    <t>110102197301240418</t>
    <phoneticPr fontId="3" type="noConversion"/>
  </si>
  <si>
    <t>13501366602</t>
    <phoneticPr fontId="3" type="noConversion"/>
  </si>
  <si>
    <t>2区4幢</t>
    <phoneticPr fontId="3" type="noConversion"/>
  </si>
  <si>
    <t>1单元</t>
    <phoneticPr fontId="3" type="noConversion"/>
  </si>
  <si>
    <t>北京市住房资金管理中心市文教办分中心</t>
    <phoneticPr fontId="3" type="noConversion"/>
  </si>
  <si>
    <t>554282</t>
    <phoneticPr fontId="3" type="noConversion"/>
  </si>
  <si>
    <t>2003-22-P-04538</t>
    <phoneticPr fontId="3" type="noConversion"/>
  </si>
  <si>
    <t>刘天云</t>
    <phoneticPr fontId="3" type="noConversion"/>
  </si>
  <si>
    <t>110105600715119</t>
    <phoneticPr fontId="3" type="noConversion"/>
  </si>
  <si>
    <t>13601018706</t>
    <phoneticPr fontId="3" type="noConversion"/>
  </si>
  <si>
    <t>二区9幢</t>
    <phoneticPr fontId="3" type="noConversion"/>
  </si>
  <si>
    <t>6单元</t>
    <phoneticPr fontId="3" type="noConversion"/>
  </si>
  <si>
    <t>603号</t>
    <phoneticPr fontId="3" type="noConversion"/>
  </si>
  <si>
    <t>三室二厅二卫一厨</t>
    <phoneticPr fontId="3" type="noConversion"/>
  </si>
  <si>
    <t>554252</t>
    <phoneticPr fontId="3" type="noConversion"/>
  </si>
  <si>
    <t>2003-22-P-04632</t>
  </si>
  <si>
    <t>闻春雨</t>
  </si>
  <si>
    <t>110104730221001</t>
  </si>
  <si>
    <t>二区4幢</t>
  </si>
  <si>
    <t>2单元</t>
  </si>
  <si>
    <t>902号</t>
  </si>
  <si>
    <t>北京住房公积金管理中心东城第一管理部</t>
  </si>
  <si>
    <t>546083</t>
  </si>
  <si>
    <t>2003-22-P-04684</t>
  </si>
  <si>
    <t>蒋利群</t>
  </si>
  <si>
    <t>110102620903302</t>
  </si>
  <si>
    <t>13001180898</t>
    <phoneticPr fontId="3" type="noConversion"/>
  </si>
  <si>
    <t>二区9幢</t>
  </si>
  <si>
    <t>5层</t>
  </si>
  <si>
    <t>506号</t>
  </si>
  <si>
    <t>电话录错</t>
    <phoneticPr fontId="3" type="noConversion"/>
  </si>
  <si>
    <t>544629</t>
  </si>
  <si>
    <t>2003-22-P-04739</t>
    <phoneticPr fontId="3" type="noConversion"/>
  </si>
  <si>
    <t>孙茉莉</t>
    <phoneticPr fontId="3" type="noConversion"/>
  </si>
  <si>
    <t>379009740208152</t>
    <phoneticPr fontId="3" type="noConversion"/>
  </si>
  <si>
    <t>南磨房楼梓庄世纪东方嘉园</t>
    <phoneticPr fontId="3" type="noConversion"/>
  </si>
  <si>
    <t>2区9幢</t>
    <phoneticPr fontId="3" type="noConversion"/>
  </si>
  <si>
    <t>905号</t>
    <phoneticPr fontId="3" type="noConversion"/>
  </si>
  <si>
    <t>二室一厅二卫一厨</t>
    <phoneticPr fontId="3" type="noConversion"/>
  </si>
  <si>
    <t>三</t>
    <phoneticPr fontId="3" type="noConversion"/>
  </si>
  <si>
    <t xml:space="preserve"> </t>
    <phoneticPr fontId="3" type="noConversion"/>
  </si>
  <si>
    <t>543501</t>
    <phoneticPr fontId="3" type="noConversion"/>
  </si>
  <si>
    <t>2003-22-P-05192</t>
  </si>
  <si>
    <t>王宗华</t>
  </si>
  <si>
    <t>110103790702091</t>
  </si>
  <si>
    <t>二室二厅一卫一厨</t>
  </si>
  <si>
    <t>549256</t>
  </si>
  <si>
    <t>朝阳区西大望路甲29号</t>
  </si>
  <si>
    <t>2003-22-P-05658</t>
    <phoneticPr fontId="3" type="noConversion"/>
  </si>
  <si>
    <t>吴梦洁</t>
    <phoneticPr fontId="3" type="noConversion"/>
  </si>
  <si>
    <t>610104197302044444</t>
    <phoneticPr fontId="3" type="noConversion"/>
  </si>
  <si>
    <t>13301101776</t>
    <phoneticPr fontId="3" type="noConversion"/>
  </si>
  <si>
    <t>3幢</t>
    <phoneticPr fontId="3" type="noConversion"/>
  </si>
  <si>
    <t>13层</t>
    <phoneticPr fontId="3" type="noConversion"/>
  </si>
  <si>
    <t>1304号</t>
    <phoneticPr fontId="3" type="noConversion"/>
  </si>
  <si>
    <t>北京住房公积金管理中心方庄管理部</t>
    <phoneticPr fontId="3" type="noConversion"/>
  </si>
  <si>
    <t>十</t>
  </si>
  <si>
    <t>233833</t>
    <phoneticPr fontId="3" type="noConversion"/>
  </si>
  <si>
    <t>周婷婷</t>
    <phoneticPr fontId="3" type="noConversion"/>
  </si>
  <si>
    <t>2003-22-P-05748</t>
    <phoneticPr fontId="3" type="noConversion"/>
  </si>
  <si>
    <t>王静</t>
    <phoneticPr fontId="3" type="noConversion"/>
  </si>
  <si>
    <t>11010319750816122X</t>
    <phoneticPr fontId="3" type="noConversion"/>
  </si>
  <si>
    <t>二区5幢</t>
    <phoneticPr fontId="3" type="noConversion"/>
  </si>
  <si>
    <t>3单元</t>
    <phoneticPr fontId="3" type="noConversion"/>
  </si>
  <si>
    <t>401号</t>
    <phoneticPr fontId="3" type="noConversion"/>
  </si>
  <si>
    <t>北京住房公积金管理中心方庄管理部</t>
    <phoneticPr fontId="3" type="noConversion"/>
  </si>
  <si>
    <t>封顶</t>
    <phoneticPr fontId="3" type="noConversion"/>
  </si>
  <si>
    <t>十</t>
    <phoneticPr fontId="3" type="noConversion"/>
  </si>
  <si>
    <t>2003-22-P-05761</t>
    <phoneticPr fontId="3" type="noConversion"/>
  </si>
  <si>
    <t>陈宗春</t>
    <phoneticPr fontId="3" type="noConversion"/>
  </si>
  <si>
    <t>362132740123221</t>
    <phoneticPr fontId="3" type="noConversion"/>
  </si>
  <si>
    <t>2区9幢</t>
    <phoneticPr fontId="3" type="noConversion"/>
  </si>
  <si>
    <t>16层</t>
    <phoneticPr fontId="3" type="noConversion"/>
  </si>
  <si>
    <t>1605号</t>
    <phoneticPr fontId="3" type="noConversion"/>
  </si>
  <si>
    <t>二室二厅二卫一厨</t>
    <phoneticPr fontId="3" type="noConversion"/>
  </si>
  <si>
    <t>北京住房公积金管理中心朝阳第一管理部</t>
    <phoneticPr fontId="3" type="noConversion"/>
  </si>
  <si>
    <t>十</t>
    <phoneticPr fontId="3" type="noConversion"/>
  </si>
  <si>
    <t>2003-22-P-05810</t>
    <phoneticPr fontId="3" type="noConversion"/>
  </si>
  <si>
    <t>李红英</t>
    <phoneticPr fontId="3" type="noConversion"/>
  </si>
  <si>
    <t>110226731230442</t>
    <phoneticPr fontId="3" type="noConversion"/>
  </si>
  <si>
    <t>13910518842</t>
    <phoneticPr fontId="3" type="noConversion"/>
  </si>
  <si>
    <t>2区4幢</t>
    <phoneticPr fontId="3" type="noConversion"/>
  </si>
  <si>
    <t>4单元</t>
    <phoneticPr fontId="3" type="noConversion"/>
  </si>
  <si>
    <t>二室二厅一卫一厨</t>
    <phoneticPr fontId="3" type="noConversion"/>
  </si>
  <si>
    <t>北京住房公积金管理中心东城第二管理部</t>
    <phoneticPr fontId="3" type="noConversion"/>
  </si>
  <si>
    <t>553491</t>
    <phoneticPr fontId="3" type="noConversion"/>
  </si>
  <si>
    <t>2003-22-P-05964</t>
    <phoneticPr fontId="3" type="noConversion"/>
  </si>
  <si>
    <t>崔颖</t>
    <phoneticPr fontId="3" type="noConversion"/>
  </si>
  <si>
    <t>210702197608210025</t>
    <phoneticPr fontId="3" type="noConversion"/>
  </si>
  <si>
    <t>4单元</t>
    <phoneticPr fontId="3" type="noConversion"/>
  </si>
  <si>
    <t>802号</t>
    <phoneticPr fontId="3" type="noConversion"/>
  </si>
  <si>
    <t>二室一厅一卫一厨</t>
    <phoneticPr fontId="3" type="noConversion"/>
  </si>
  <si>
    <t>北京住房公积金管理中心方庄管理部</t>
    <phoneticPr fontId="3" type="noConversion"/>
  </si>
  <si>
    <t>2003-22-P-06335</t>
    <phoneticPr fontId="3" type="noConversion"/>
  </si>
  <si>
    <t>刘红</t>
    <phoneticPr fontId="3" type="noConversion"/>
  </si>
  <si>
    <t>110105660307252</t>
    <phoneticPr fontId="3" type="noConversion"/>
  </si>
  <si>
    <t>67743171、13693187990、13801075480</t>
    <phoneticPr fontId="3" type="noConversion"/>
  </si>
  <si>
    <t>二区9幢</t>
    <phoneticPr fontId="3" type="noConversion"/>
  </si>
  <si>
    <t>14层</t>
    <phoneticPr fontId="3" type="noConversion"/>
  </si>
  <si>
    <t>1404号</t>
    <phoneticPr fontId="3" type="noConversion"/>
  </si>
  <si>
    <t>三室二厅二卫一厨</t>
    <phoneticPr fontId="3" type="noConversion"/>
  </si>
  <si>
    <t>北京住房公积金管理中心东城第二管理部</t>
    <phoneticPr fontId="3" type="noConversion"/>
  </si>
  <si>
    <t>十一</t>
    <phoneticPr fontId="3" type="noConversion"/>
  </si>
  <si>
    <t>一</t>
    <phoneticPr fontId="3" type="noConversion"/>
  </si>
  <si>
    <t>周婷婷</t>
    <phoneticPr fontId="3" type="noConversion"/>
  </si>
  <si>
    <t>2003-22-P-06475</t>
  </si>
  <si>
    <t>郑江</t>
    <phoneticPr fontId="3" type="noConversion"/>
  </si>
  <si>
    <t>620102730628303</t>
    <phoneticPr fontId="3" type="noConversion"/>
  </si>
  <si>
    <t>2区10幢</t>
    <phoneticPr fontId="3" type="noConversion"/>
  </si>
  <si>
    <t>14层</t>
    <phoneticPr fontId="3" type="noConversion"/>
  </si>
  <si>
    <t>1405号</t>
    <phoneticPr fontId="3" type="noConversion"/>
  </si>
  <si>
    <t>北京住房公积金管理中心方庄管理部</t>
    <phoneticPr fontId="3" type="noConversion"/>
  </si>
  <si>
    <t>十一</t>
    <phoneticPr fontId="3" type="noConversion"/>
  </si>
  <si>
    <t>2003-22-P-06476</t>
  </si>
  <si>
    <t>侯松岭</t>
    <phoneticPr fontId="3" type="noConversion"/>
  </si>
  <si>
    <t>110103197404081225</t>
    <phoneticPr fontId="3" type="noConversion"/>
  </si>
  <si>
    <t>13681413822、82078974</t>
    <phoneticPr fontId="3" type="noConversion"/>
  </si>
  <si>
    <t>2区10幢</t>
    <phoneticPr fontId="3" type="noConversion"/>
  </si>
  <si>
    <t>8层</t>
    <phoneticPr fontId="3" type="noConversion"/>
  </si>
  <si>
    <t>801号</t>
    <phoneticPr fontId="3" type="noConversion"/>
  </si>
  <si>
    <t>北京住房公积金管理中心海淀第一管理部</t>
    <phoneticPr fontId="3" type="noConversion"/>
  </si>
  <si>
    <t>十一</t>
    <phoneticPr fontId="3" type="noConversion"/>
  </si>
  <si>
    <t>2003-22-P-06857</t>
    <phoneticPr fontId="3" type="noConversion"/>
  </si>
  <si>
    <t>李航</t>
    <phoneticPr fontId="3" type="noConversion"/>
  </si>
  <si>
    <t>110105770529151</t>
    <phoneticPr fontId="3" type="noConversion"/>
  </si>
  <si>
    <t>1303号</t>
    <phoneticPr fontId="3" type="noConversion"/>
  </si>
  <si>
    <t>二室一厅一卫一厨</t>
    <phoneticPr fontId="3" type="noConversion"/>
  </si>
  <si>
    <t>北京住房公积金管理中心朝阳第三管理部</t>
    <phoneticPr fontId="3" type="noConversion"/>
  </si>
  <si>
    <t>2003-22-P-07296</t>
  </si>
  <si>
    <t>欧阳旭、吴艳梅</t>
    <phoneticPr fontId="3" type="noConversion"/>
  </si>
  <si>
    <t>360122197604307239、360621197502093226</t>
    <phoneticPr fontId="3" type="noConversion"/>
  </si>
  <si>
    <t>806号</t>
    <phoneticPr fontId="3" type="noConversion"/>
  </si>
  <si>
    <t>三室一厅二卫一厨</t>
    <phoneticPr fontId="3" type="noConversion"/>
  </si>
  <si>
    <t>封顶</t>
    <phoneticPr fontId="3" type="noConversion"/>
  </si>
  <si>
    <t>十二</t>
    <phoneticPr fontId="3" type="noConversion"/>
  </si>
  <si>
    <t>2003-22-P-07634</t>
  </si>
  <si>
    <t>刘京平</t>
    <phoneticPr fontId="3" type="noConversion"/>
  </si>
  <si>
    <t>110102195610032322</t>
    <phoneticPr fontId="3" type="noConversion"/>
  </si>
  <si>
    <t>13801284973、67742360</t>
    <phoneticPr fontId="3" type="noConversion"/>
  </si>
  <si>
    <t>12层</t>
    <phoneticPr fontId="3" type="noConversion"/>
  </si>
  <si>
    <t>1206号</t>
    <phoneticPr fontId="3" type="noConversion"/>
  </si>
  <si>
    <t>北京住房公积金管理中心崇文第一管理部</t>
    <phoneticPr fontId="3" type="noConversion"/>
  </si>
  <si>
    <t>十二</t>
    <phoneticPr fontId="3" type="noConversion"/>
  </si>
  <si>
    <t>2003-22-P-07711</t>
    <phoneticPr fontId="3" type="noConversion"/>
  </si>
  <si>
    <t>李琪</t>
    <phoneticPr fontId="3" type="noConversion"/>
  </si>
  <si>
    <t>410106197310080010</t>
    <phoneticPr fontId="3" type="noConversion"/>
  </si>
  <si>
    <t>二区7幢</t>
    <phoneticPr fontId="3" type="noConversion"/>
  </si>
  <si>
    <t>701号</t>
    <phoneticPr fontId="3" type="noConversion"/>
  </si>
  <si>
    <t>三室一厅二卫一厨</t>
    <phoneticPr fontId="3" type="noConversion"/>
  </si>
  <si>
    <t>北京住房公积金管理中心方庄管理部</t>
    <phoneticPr fontId="3" type="noConversion"/>
  </si>
  <si>
    <t>十二</t>
    <phoneticPr fontId="3" type="noConversion"/>
  </si>
  <si>
    <t>2003-22-P-07717</t>
    <phoneticPr fontId="3" type="noConversion"/>
  </si>
  <si>
    <t>张咏、刘震</t>
    <phoneticPr fontId="3" type="noConversion"/>
  </si>
  <si>
    <t>120107197501293921、110103740301121</t>
    <phoneticPr fontId="3" type="noConversion"/>
  </si>
  <si>
    <t>2区11幢</t>
    <phoneticPr fontId="3" type="noConversion"/>
  </si>
  <si>
    <t>8层</t>
    <phoneticPr fontId="3" type="noConversion"/>
  </si>
  <si>
    <t>803号</t>
    <phoneticPr fontId="3" type="noConversion"/>
  </si>
  <si>
    <t>三室一厅二卫一厨</t>
    <phoneticPr fontId="3" type="noConversion"/>
  </si>
  <si>
    <t>十二</t>
    <phoneticPr fontId="3" type="noConversion"/>
  </si>
  <si>
    <t>2003-22-P-07723</t>
    <phoneticPr fontId="3" type="noConversion"/>
  </si>
  <si>
    <t>刘长明、张姝娅</t>
    <phoneticPr fontId="3" type="noConversion"/>
  </si>
  <si>
    <t>231023750801271、110108760920972</t>
    <phoneticPr fontId="3" type="noConversion"/>
  </si>
  <si>
    <t>2区11幢</t>
    <phoneticPr fontId="3" type="noConversion"/>
  </si>
  <si>
    <t>806号</t>
    <phoneticPr fontId="3" type="noConversion"/>
  </si>
  <si>
    <t>2003-22-P-07735</t>
    <phoneticPr fontId="3" type="noConversion"/>
  </si>
  <si>
    <t>巩文田</t>
    <phoneticPr fontId="3" type="noConversion"/>
  </si>
  <si>
    <t>110105590919084</t>
    <phoneticPr fontId="3" type="noConversion"/>
  </si>
  <si>
    <t>13501389191、67765223</t>
    <phoneticPr fontId="3" type="noConversion"/>
  </si>
  <si>
    <t>9层</t>
    <phoneticPr fontId="3" type="noConversion"/>
  </si>
  <si>
    <t>906号</t>
    <phoneticPr fontId="3" type="noConversion"/>
  </si>
  <si>
    <t>北京住房公积金管理中心崇文第一管理部</t>
    <phoneticPr fontId="3" type="noConversion"/>
  </si>
  <si>
    <t>封顶</t>
    <phoneticPr fontId="3" type="noConversion"/>
  </si>
  <si>
    <t>2003-22-P-07818</t>
    <phoneticPr fontId="3" type="noConversion"/>
  </si>
  <si>
    <t>史德海</t>
    <phoneticPr fontId="3" type="noConversion"/>
  </si>
  <si>
    <t>142322760527303</t>
    <phoneticPr fontId="3" type="noConversion"/>
  </si>
  <si>
    <t>2区4幢</t>
    <phoneticPr fontId="3" type="noConversion"/>
  </si>
  <si>
    <t>3单元</t>
    <phoneticPr fontId="3" type="noConversion"/>
  </si>
  <si>
    <t>1203号</t>
    <phoneticPr fontId="3" type="noConversion"/>
  </si>
  <si>
    <t>三室一厅二卫一厨</t>
    <phoneticPr fontId="3" type="noConversion"/>
  </si>
  <si>
    <t>北京住房公积金管理中心朝阳第一管理部</t>
    <phoneticPr fontId="3" type="noConversion"/>
  </si>
  <si>
    <t>2003-22-P-06437-U</t>
    <phoneticPr fontId="3" type="noConversion"/>
  </si>
  <si>
    <t>蔡群</t>
    <phoneticPr fontId="3" type="noConversion"/>
  </si>
  <si>
    <t>413025197405300625</t>
    <phoneticPr fontId="3" type="noConversion"/>
  </si>
  <si>
    <t>13910845885</t>
    <phoneticPr fontId="3" type="noConversion"/>
  </si>
  <si>
    <t>朝阳区</t>
    <phoneticPr fontId="3" type="noConversion"/>
  </si>
  <si>
    <t>松榆北路7号院</t>
    <phoneticPr fontId="3" type="noConversion"/>
  </si>
  <si>
    <t>1号楼</t>
    <phoneticPr fontId="3" type="noConversion"/>
  </si>
  <si>
    <t>762号</t>
    <phoneticPr fontId="3" type="noConversion"/>
  </si>
  <si>
    <t>二室二厅一卫一厨</t>
    <phoneticPr fontId="3" type="noConversion"/>
  </si>
  <si>
    <t>北京住房公积金管理中心朝阳第一管理部</t>
    <phoneticPr fontId="3" type="noConversion"/>
  </si>
  <si>
    <t>十二</t>
  </si>
  <si>
    <t>二</t>
    <phoneticPr fontId="3" type="noConversion"/>
  </si>
  <si>
    <t>邓晓澜</t>
  </si>
  <si>
    <t>新增</t>
    <phoneticPr fontId="3" type="noConversion"/>
  </si>
  <si>
    <t>付霞</t>
    <phoneticPr fontId="3" type="noConversion"/>
  </si>
  <si>
    <t>双方为同事、较便宜</t>
    <phoneticPr fontId="3" type="noConversion"/>
  </si>
  <si>
    <t>中介</t>
  </si>
  <si>
    <t>不含出让金、契税</t>
    <phoneticPr fontId="3" type="noConversion"/>
  </si>
  <si>
    <t>2003-22-P-06570-U</t>
    <phoneticPr fontId="3" type="noConversion"/>
  </si>
  <si>
    <t>王继东</t>
    <phoneticPr fontId="3" type="noConversion"/>
  </si>
  <si>
    <t>110102560109045</t>
    <phoneticPr fontId="3" type="noConversion"/>
  </si>
  <si>
    <t>13910224479</t>
    <phoneticPr fontId="3" type="noConversion"/>
  </si>
  <si>
    <t>松榆里</t>
    <phoneticPr fontId="3" type="noConversion"/>
  </si>
  <si>
    <t>27号楼</t>
    <phoneticPr fontId="3" type="noConversion"/>
  </si>
  <si>
    <t>5层</t>
    <phoneticPr fontId="3" type="noConversion"/>
  </si>
  <si>
    <t>506号</t>
    <phoneticPr fontId="3" type="noConversion"/>
  </si>
  <si>
    <t>孙淑田</t>
    <phoneticPr fontId="3" type="noConversion"/>
  </si>
  <si>
    <t>北京住房公积金管理中心朝阳第一管理部</t>
    <phoneticPr fontId="3" type="noConversion"/>
  </si>
  <si>
    <t>现房</t>
    <phoneticPr fontId="3" type="noConversion"/>
  </si>
  <si>
    <t>邹晓鸣</t>
    <phoneticPr fontId="3" type="noConversion"/>
  </si>
  <si>
    <t>十二</t>
    <phoneticPr fontId="3" type="noConversion"/>
  </si>
  <si>
    <t>彭莹</t>
    <phoneticPr fontId="3" type="noConversion"/>
  </si>
  <si>
    <t>正式报告</t>
    <phoneticPr fontId="3" type="noConversion"/>
  </si>
  <si>
    <t>初审换正式</t>
    <phoneticPr fontId="3" type="noConversion"/>
  </si>
  <si>
    <t>二手房</t>
    <phoneticPr fontId="3" type="noConversion"/>
  </si>
  <si>
    <t>现售</t>
    <phoneticPr fontId="3" type="noConversion"/>
  </si>
  <si>
    <t>2003-22-P-07161-U</t>
    <phoneticPr fontId="3" type="noConversion"/>
  </si>
  <si>
    <t>张志梅</t>
    <phoneticPr fontId="3" type="noConversion"/>
  </si>
  <si>
    <t>110111720330802</t>
    <phoneticPr fontId="3" type="noConversion"/>
  </si>
  <si>
    <t>87789485</t>
    <phoneticPr fontId="3" type="noConversion"/>
  </si>
  <si>
    <t>农光东里</t>
    <phoneticPr fontId="3" type="noConversion"/>
  </si>
  <si>
    <t>23号楼</t>
  </si>
  <si>
    <t>4门602号</t>
    <phoneticPr fontId="3" type="noConversion"/>
  </si>
  <si>
    <t>一室一厅一卫一厨</t>
    <phoneticPr fontId="3" type="noConversion"/>
  </si>
  <si>
    <t>北京住房公积金管理中心朝阳第一管理部</t>
    <phoneticPr fontId="3" type="noConversion"/>
  </si>
  <si>
    <t>现房</t>
    <phoneticPr fontId="3" type="noConversion"/>
  </si>
  <si>
    <t>协议</t>
    <phoneticPr fontId="3" type="noConversion"/>
  </si>
  <si>
    <t>柳东</t>
    <phoneticPr fontId="3" type="noConversion"/>
  </si>
  <si>
    <t>苏海</t>
    <phoneticPr fontId="3" type="noConversion"/>
  </si>
  <si>
    <t>正常</t>
    <phoneticPr fontId="3" type="noConversion"/>
  </si>
  <si>
    <t>双方</t>
    <phoneticPr fontId="3" type="noConversion"/>
  </si>
  <si>
    <t>不含税费</t>
    <phoneticPr fontId="3" type="noConversion"/>
  </si>
  <si>
    <t>6/6</t>
    <phoneticPr fontId="24" type="noConversion"/>
  </si>
  <si>
    <t>南磨房楼梓庄世纪东方嘉园</t>
    <phoneticPr fontId="134" type="noConversion"/>
  </si>
  <si>
    <t>5/21</t>
    <phoneticPr fontId="24" type="noConversion"/>
  </si>
  <si>
    <t>8/21</t>
    <phoneticPr fontId="24" type="noConversion"/>
  </si>
  <si>
    <t>砖混</t>
  </si>
  <si>
    <t>砖混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</si>
</sst>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 numFmtId="200" formatCode="[DBNum1]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36" fillId="0" borderId="0" applyFont="0" applyFill="0" applyBorder="0" applyAlignment="0" applyProtection="0"/>
  </cellStyleXfs>
  <cellXfs count="40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2" fontId="19" fillId="0" borderId="1" xfId="0" applyNumberFormat="1" applyFont="1" applyFill="1" applyBorder="1" applyAlignment="1" applyProtection="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9" fontId="19" fillId="0" borderId="1" xfId="0" applyNumberFormat="1" applyFont="1" applyFill="1" applyBorder="1" applyAlignment="1"/>
    <xf numFmtId="196" fontId="19" fillId="0" borderId="1" xfId="0" applyNumberFormat="1" applyFont="1" applyFill="1" applyBorder="1" applyAlignment="1"/>
    <xf numFmtId="2" fontId="19" fillId="0" borderId="1" xfId="0" applyNumberFormat="1" applyFont="1" applyFill="1" applyBorder="1" applyAlignment="1">
      <alignment horizontal="right"/>
    </xf>
    <xf numFmtId="31" fontId="19" fillId="0" borderId="1" xfId="0" applyNumberFormat="1" applyFont="1" applyFill="1" applyBorder="1" applyAlignment="1" applyProtection="1"/>
    <xf numFmtId="1" fontId="19" fillId="0" borderId="1" xfId="0" applyNumberFormat="1" applyFont="1" applyFill="1" applyBorder="1" applyAlignment="1">
      <alignment horizontal="center"/>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96" fontId="19" fillId="0" borderId="1" xfId="0" applyNumberFormat="1" applyFont="1" applyFill="1" applyBorder="1" applyAlignment="1">
      <alignment horizontal="right"/>
    </xf>
    <xf numFmtId="0" fontId="19" fillId="25" borderId="1" xfId="0" applyFont="1" applyFill="1" applyBorder="1" applyAlignment="1"/>
    <xf numFmtId="49" fontId="19" fillId="25" borderId="1" xfId="0" applyNumberFormat="1" applyFont="1" applyFill="1" applyBorder="1" applyAlignment="1"/>
    <xf numFmtId="196" fontId="19" fillId="25" borderId="1" xfId="0" applyNumberFormat="1" applyFont="1" applyFill="1" applyBorder="1" applyAlignment="1"/>
    <xf numFmtId="9" fontId="19" fillId="25" borderId="1" xfId="0" applyNumberFormat="1" applyFont="1" applyFill="1" applyBorder="1" applyAlignment="1"/>
    <xf numFmtId="2" fontId="19" fillId="25" borderId="1" xfId="0" applyNumberFormat="1" applyFont="1" applyFill="1" applyBorder="1" applyAlignment="1" applyProtection="1">
      <alignment horizontal="right"/>
    </xf>
    <xf numFmtId="196"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2" fontId="19" fillId="25" borderId="1" xfId="0" applyNumberFormat="1" applyFont="1" applyFill="1" applyBorder="1" applyAlignment="1">
      <alignment horizontal="right"/>
    </xf>
    <xf numFmtId="0" fontId="19" fillId="25" borderId="1" xfId="0" applyFont="1" applyFill="1" applyBorder="1" applyAlignment="1" applyProtection="1">
      <alignment horizontal="center"/>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9" fillId="22" borderId="1" xfId="4" applyNumberFormat="1" applyFont="1" applyFill="1" applyBorder="1" applyAlignment="1" applyProtection="1">
      <alignment horizontal="left"/>
      <protection locked="0"/>
    </xf>
    <xf numFmtId="0" fontId="19" fillId="22" borderId="1" xfId="4" applyFont="1" applyFill="1" applyBorder="1" applyAlignment="1" applyProtection="1">
      <alignment horizontal="center"/>
      <protection locked="0"/>
    </xf>
    <xf numFmtId="49" fontId="19" fillId="22" borderId="1" xfId="4" applyNumberFormat="1" applyFont="1" applyFill="1" applyBorder="1" applyAlignment="1" applyProtection="1">
      <alignment horizontal="center"/>
      <protection locked="0"/>
    </xf>
    <xf numFmtId="0" fontId="19" fillId="22" borderId="1" xfId="4" applyFont="1" applyFill="1" applyBorder="1" applyProtection="1">
      <protection locked="0"/>
    </xf>
    <xf numFmtId="0" fontId="19" fillId="22" borderId="1" xfId="4" applyFont="1" applyFill="1" applyBorder="1" applyAlignment="1" applyProtection="1">
      <alignment horizontal="left"/>
      <protection locked="0"/>
    </xf>
    <xf numFmtId="0" fontId="19" fillId="22" borderId="1" xfId="4" applyFont="1" applyFill="1" applyBorder="1" applyAlignment="1" applyProtection="1">
      <alignment horizontal="right"/>
      <protection locked="0"/>
    </xf>
    <xf numFmtId="196" fontId="19" fillId="22" borderId="1" xfId="4" applyNumberFormat="1" applyFont="1" applyFill="1" applyBorder="1" applyAlignment="1" applyProtection="1">
      <alignment horizontal="center"/>
      <protection locked="0"/>
    </xf>
    <xf numFmtId="196" fontId="19" fillId="22" borderId="1" xfId="4" applyNumberFormat="1" applyFont="1" applyFill="1" applyBorder="1" applyAlignment="1" applyProtection="1">
      <alignment horizontal="right"/>
      <protection locked="0"/>
    </xf>
    <xf numFmtId="31" fontId="19" fillId="22" borderId="1" xfId="4" applyNumberFormat="1" applyFont="1" applyFill="1" applyBorder="1" applyProtection="1">
      <protection locked="0"/>
    </xf>
    <xf numFmtId="0" fontId="80" fillId="22" borderId="5" xfId="4" applyFont="1" applyFill="1" applyBorder="1" applyAlignment="1" applyProtection="1">
      <alignment horizontal="center"/>
      <protection locked="0"/>
    </xf>
    <xf numFmtId="0" fontId="80" fillId="22" borderId="3" xfId="4" applyFont="1" applyFill="1" applyBorder="1" applyAlignment="1" applyProtection="1">
      <alignment horizontal="center"/>
      <protection locked="0"/>
    </xf>
    <xf numFmtId="0" fontId="80" fillId="22" borderId="1" xfId="4" applyFont="1" applyFill="1" applyBorder="1" applyAlignment="1" applyProtection="1">
      <alignment horizontal="center"/>
      <protection locked="0"/>
    </xf>
    <xf numFmtId="0" fontId="80" fillId="22" borderId="1" xfId="4" applyFont="1" applyFill="1" applyBorder="1" applyAlignment="1">
      <alignment horizontal="center"/>
    </xf>
    <xf numFmtId="0" fontId="19" fillId="23" borderId="1" xfId="4" applyFont="1" applyFill="1" applyBorder="1" applyAlignment="1" applyProtection="1">
      <protection locked="0"/>
    </xf>
    <xf numFmtId="49" fontId="19" fillId="23" borderId="1" xfId="4" applyNumberFormat="1" applyFont="1" applyFill="1" applyBorder="1" applyAlignment="1" applyProtection="1">
      <protection locked="0"/>
    </xf>
    <xf numFmtId="197" fontId="19" fillId="23" borderId="1" xfId="4" applyNumberFormat="1" applyFont="1" applyFill="1" applyBorder="1" applyAlignment="1" applyProtection="1">
      <protection locked="0"/>
    </xf>
    <xf numFmtId="179" fontId="19" fillId="23" borderId="1" xfId="4" applyNumberFormat="1" applyFont="1" applyFill="1" applyBorder="1" applyAlignment="1" applyProtection="1">
      <protection locked="0"/>
    </xf>
    <xf numFmtId="31" fontId="19" fillId="23" borderId="1" xfId="4" applyNumberFormat="1" applyFont="1" applyFill="1" applyBorder="1" applyAlignment="1" applyProtection="1">
      <protection locked="0"/>
    </xf>
    <xf numFmtId="183" fontId="80" fillId="22" borderId="1" xfId="4" applyNumberFormat="1" applyFont="1" applyFill="1" applyBorder="1" applyAlignment="1" applyProtection="1">
      <alignment horizontal="center"/>
      <protection locked="0"/>
    </xf>
    <xf numFmtId="183" fontId="176" fillId="22" borderId="1" xfId="4" applyNumberFormat="1" applyFont="1" applyFill="1" applyBorder="1" applyAlignment="1" applyProtection="1">
      <alignment horizontal="center"/>
      <protection locked="0"/>
    </xf>
    <xf numFmtId="0" fontId="80" fillId="24" borderId="1" xfId="4" applyFont="1" applyFill="1" applyBorder="1" applyAlignment="1" applyProtection="1">
      <alignment horizontal="center"/>
      <protection locked="0"/>
    </xf>
    <xf numFmtId="0" fontId="19" fillId="0" borderId="1" xfId="4" applyFont="1" applyFill="1" applyBorder="1" applyAlignment="1" applyProtection="1">
      <protection locked="0"/>
    </xf>
    <xf numFmtId="49" fontId="80" fillId="22" borderId="1" xfId="4" applyNumberFormat="1" applyFont="1" applyFill="1" applyBorder="1" applyAlignment="1" applyProtection="1">
      <alignment horizontal="center"/>
      <protection locked="0"/>
    </xf>
    <xf numFmtId="196" fontId="80" fillId="22" borderId="1" xfId="4" applyNumberFormat="1" applyFont="1" applyFill="1" applyBorder="1" applyAlignment="1" applyProtection="1">
      <alignment horizontal="center"/>
      <protection locked="0"/>
    </xf>
    <xf numFmtId="31" fontId="80" fillId="22" borderId="1" xfId="4" applyNumberFormat="1" applyFont="1" applyFill="1" applyBorder="1" applyAlignment="1" applyProtection="1">
      <alignment horizontal="center"/>
      <protection locked="0"/>
    </xf>
    <xf numFmtId="0" fontId="176" fillId="22" borderId="1" xfId="4" applyFont="1" applyFill="1" applyBorder="1" applyAlignment="1" applyProtection="1">
      <alignment horizontal="center"/>
      <protection locked="0"/>
    </xf>
    <xf numFmtId="0" fontId="80" fillId="23" borderId="1" xfId="4" applyFont="1" applyFill="1" applyBorder="1" applyAlignment="1" applyProtection="1">
      <alignment horizontal="center"/>
      <protection locked="0"/>
    </xf>
    <xf numFmtId="46" fontId="80" fillId="23" borderId="1" xfId="4" applyNumberFormat="1" applyFont="1" applyFill="1" applyBorder="1" applyAlignment="1" applyProtection="1">
      <alignment horizontal="center"/>
      <protection locked="0"/>
    </xf>
    <xf numFmtId="49" fontId="80" fillId="23" borderId="1" xfId="4" applyNumberFormat="1" applyFont="1" applyFill="1" applyBorder="1" applyAlignment="1" applyProtection="1">
      <alignment horizontal="center"/>
      <protection locked="0"/>
    </xf>
    <xf numFmtId="197" fontId="80" fillId="23" borderId="1" xfId="4" applyNumberFormat="1" applyFont="1" applyFill="1" applyBorder="1" applyAlignment="1" applyProtection="1">
      <alignment horizontal="center"/>
      <protection locked="0"/>
    </xf>
    <xf numFmtId="179" fontId="80" fillId="23" borderId="1" xfId="4" applyNumberFormat="1" applyFont="1" applyFill="1" applyBorder="1" applyAlignment="1" applyProtection="1">
      <alignment horizontal="center"/>
      <protection locked="0"/>
    </xf>
    <xf numFmtId="31" fontId="80" fillId="23" borderId="1" xfId="4" applyNumberFormat="1" applyFont="1" applyFill="1" applyBorder="1" applyAlignment="1" applyProtection="1">
      <alignment horizontal="center"/>
      <protection locked="0"/>
    </xf>
    <xf numFmtId="0" fontId="80" fillId="0" borderId="1" xfId="4" applyFont="1" applyFill="1" applyBorder="1" applyAlignment="1" applyProtection="1">
      <alignment horizontal="center"/>
      <protection locked="0"/>
    </xf>
    <xf numFmtId="0" fontId="19" fillId="0" borderId="1" xfId="4" applyFont="1" applyFill="1" applyBorder="1" applyProtection="1"/>
    <xf numFmtId="0" fontId="19" fillId="0" borderId="1" xfId="4" applyFont="1" applyFill="1" applyBorder="1"/>
    <xf numFmtId="49" fontId="19" fillId="0" borderId="1" xfId="4" applyNumberFormat="1" applyFont="1" applyFill="1" applyBorder="1" applyProtection="1"/>
    <xf numFmtId="49" fontId="19" fillId="0" borderId="1" xfId="4" applyNumberFormat="1" applyFont="1" applyFill="1" applyBorder="1"/>
    <xf numFmtId="49" fontId="19" fillId="0" borderId="1" xfId="19" applyNumberFormat="1" applyFont="1" applyFill="1" applyBorder="1" applyAlignment="1">
      <alignment horizontal="left"/>
    </xf>
    <xf numFmtId="1" fontId="19" fillId="0" borderId="1" xfId="4" applyNumberFormat="1" applyFont="1" applyFill="1" applyBorder="1" applyAlignment="1">
      <alignment horizontal="center"/>
    </xf>
    <xf numFmtId="0" fontId="19" fillId="0" borderId="1" xfId="4" applyFont="1" applyFill="1" applyBorder="1" applyAlignment="1">
      <alignment horizontal="right"/>
    </xf>
    <xf numFmtId="2" fontId="19" fillId="0" borderId="1" xfId="4" applyNumberFormat="1" applyFont="1" applyFill="1" applyBorder="1" applyAlignment="1">
      <alignment horizontal="right"/>
    </xf>
    <xf numFmtId="198" fontId="19" fillId="0" borderId="1" xfId="4" applyNumberFormat="1" applyFont="1" applyFill="1" applyBorder="1" applyAlignment="1">
      <alignment horizontal="right"/>
    </xf>
    <xf numFmtId="9" fontId="19" fillId="0" borderId="1" xfId="4" applyNumberFormat="1" applyFont="1" applyFill="1" applyBorder="1" applyAlignment="1">
      <alignment horizontal="right"/>
    </xf>
    <xf numFmtId="2" fontId="19" fillId="0" borderId="1" xfId="4" applyNumberFormat="1" applyFont="1" applyFill="1" applyBorder="1" applyAlignment="1" applyProtection="1">
      <alignment horizontal="right"/>
    </xf>
    <xf numFmtId="196" fontId="19" fillId="0" borderId="1" xfId="4" applyNumberFormat="1" applyFont="1" applyFill="1" applyBorder="1" applyAlignment="1">
      <alignment horizontal="right"/>
    </xf>
    <xf numFmtId="0" fontId="19" fillId="0" borderId="1" xfId="4" applyFont="1" applyFill="1" applyBorder="1" applyAlignment="1" applyProtection="1">
      <alignment horizontal="right"/>
      <protection locked="0"/>
    </xf>
    <xf numFmtId="0" fontId="19" fillId="0" borderId="1" xfId="4" applyFont="1" applyFill="1" applyBorder="1" applyProtection="1">
      <protection locked="0"/>
    </xf>
    <xf numFmtId="0" fontId="19" fillId="0" borderId="1" xfId="4" applyFont="1" applyFill="1" applyBorder="1" applyAlignment="1" applyProtection="1">
      <alignment horizontal="right"/>
    </xf>
    <xf numFmtId="0" fontId="19" fillId="0" borderId="1" xfId="4" applyFont="1" applyFill="1" applyBorder="1" applyAlignment="1" applyProtection="1">
      <alignment horizontal="center"/>
    </xf>
    <xf numFmtId="31" fontId="19" fillId="0" borderId="1" xfId="4" applyNumberFormat="1" applyFont="1" applyFill="1" applyBorder="1" applyProtection="1"/>
    <xf numFmtId="199" fontId="19" fillId="0" borderId="1" xfId="4" applyNumberFormat="1" applyFont="1" applyFill="1" applyBorder="1" applyAlignment="1" applyProtection="1">
      <alignment horizontal="center"/>
    </xf>
    <xf numFmtId="49" fontId="19" fillId="0" borderId="1" xfId="4" applyNumberFormat="1" applyFont="1" applyFill="1" applyBorder="1" applyProtection="1">
      <protection locked="0"/>
    </xf>
    <xf numFmtId="197" fontId="19" fillId="0" borderId="1" xfId="4" applyNumberFormat="1" applyFont="1" applyFill="1" applyBorder="1" applyProtection="1">
      <protection locked="0"/>
    </xf>
    <xf numFmtId="179" fontId="19" fillId="0" borderId="1" xfId="4" applyNumberFormat="1" applyFont="1" applyFill="1" applyBorder="1" applyProtection="1">
      <protection locked="0"/>
    </xf>
    <xf numFmtId="31" fontId="19" fillId="0" borderId="1" xfId="4" applyNumberFormat="1" applyFont="1" applyFill="1" applyBorder="1" applyProtection="1">
      <protection locked="0"/>
    </xf>
    <xf numFmtId="177" fontId="19" fillId="0" borderId="1" xfId="4" applyNumberFormat="1" applyFont="1" applyFill="1" applyBorder="1" applyAlignment="1" applyProtection="1">
      <alignment horizontal="left"/>
    </xf>
    <xf numFmtId="9" fontId="19" fillId="0" borderId="1" xfId="4" applyNumberFormat="1" applyFont="1" applyFill="1" applyBorder="1"/>
    <xf numFmtId="196" fontId="19" fillId="0" borderId="1" xfId="4" applyNumberFormat="1" applyFont="1" applyFill="1" applyBorder="1" applyAlignment="1" applyProtection="1">
      <alignment horizontal="right"/>
    </xf>
    <xf numFmtId="0" fontId="19" fillId="0" borderId="1" xfId="4" applyFont="1" applyFill="1" applyBorder="1" applyAlignment="1"/>
    <xf numFmtId="31" fontId="19" fillId="0" borderId="1" xfId="4" applyNumberFormat="1" applyFont="1" applyFill="1" applyBorder="1"/>
    <xf numFmtId="0" fontId="77" fillId="0" borderId="1" xfId="4" applyFont="1" applyFill="1" applyBorder="1" applyAlignment="1">
      <alignment horizontal="center"/>
    </xf>
    <xf numFmtId="197" fontId="19" fillId="0" borderId="1" xfId="4" applyNumberFormat="1" applyFont="1" applyFill="1" applyBorder="1"/>
    <xf numFmtId="179" fontId="19" fillId="0" borderId="1" xfId="4" applyNumberFormat="1" applyFont="1" applyFill="1" applyBorder="1"/>
    <xf numFmtId="183" fontId="19" fillId="0" borderId="1" xfId="4" applyNumberFormat="1" applyFont="1" applyFill="1" applyBorder="1" applyProtection="1">
      <protection locked="0"/>
    </xf>
    <xf numFmtId="199" fontId="19" fillId="0" borderId="1" xfId="4" applyNumberFormat="1" applyFont="1" applyFill="1" applyBorder="1" applyAlignment="1">
      <alignment horizontal="left"/>
    </xf>
    <xf numFmtId="0" fontId="19" fillId="0" borderId="1" xfId="4" applyFont="1" applyFill="1" applyBorder="1" applyAlignment="1">
      <alignment horizontal="left"/>
    </xf>
    <xf numFmtId="177" fontId="19" fillId="0" borderId="1" xfId="4" applyNumberFormat="1" applyFont="1" applyFill="1" applyBorder="1"/>
    <xf numFmtId="1" fontId="77" fillId="0" borderId="1" xfId="4" applyNumberFormat="1" applyFont="1" applyFill="1" applyBorder="1" applyAlignment="1"/>
    <xf numFmtId="196" fontId="19" fillId="0" borderId="1" xfId="4" applyNumberFormat="1" applyFont="1" applyFill="1" applyBorder="1" applyAlignment="1" applyProtection="1">
      <protection locked="0"/>
    </xf>
    <xf numFmtId="0" fontId="19" fillId="0" borderId="1" xfId="4" applyFont="1" applyFill="1" applyBorder="1" applyAlignment="1">
      <alignment horizontal="center"/>
    </xf>
    <xf numFmtId="183" fontId="19" fillId="0" borderId="1" xfId="4" applyNumberFormat="1" applyFont="1" applyFill="1" applyBorder="1" applyAlignment="1">
      <alignment horizontal="right"/>
    </xf>
    <xf numFmtId="176" fontId="19" fillId="0" borderId="1" xfId="4" applyNumberFormat="1" applyFont="1" applyFill="1" applyBorder="1"/>
    <xf numFmtId="2" fontId="77" fillId="0" borderId="1" xfId="4" applyNumberFormat="1" applyFont="1" applyFill="1" applyBorder="1" applyAlignment="1">
      <alignment horizontal="right"/>
    </xf>
    <xf numFmtId="198" fontId="77" fillId="0" borderId="1" xfId="4" applyNumberFormat="1" applyFont="1" applyFill="1" applyBorder="1"/>
    <xf numFmtId="0" fontId="77" fillId="0" borderId="1" xfId="4" applyFont="1" applyFill="1" applyBorder="1" applyAlignment="1">
      <alignment horizontal="right"/>
    </xf>
    <xf numFmtId="9" fontId="77" fillId="0" borderId="1" xfId="4" applyNumberFormat="1" applyFont="1" applyFill="1" applyBorder="1" applyAlignment="1">
      <alignment horizontal="right"/>
    </xf>
    <xf numFmtId="196" fontId="77" fillId="0" borderId="1" xfId="4" applyNumberFormat="1" applyFont="1" applyFill="1" applyBorder="1" applyAlignment="1">
      <alignment horizontal="right"/>
    </xf>
    <xf numFmtId="0" fontId="77" fillId="0" borderId="1" xfId="4" applyFont="1" applyFill="1" applyBorder="1" applyAlignment="1">
      <alignment horizontal="left"/>
    </xf>
    <xf numFmtId="0" fontId="19" fillId="0" borderId="0" xfId="4" applyFont="1" applyFill="1" applyProtection="1">
      <protection locked="0"/>
    </xf>
    <xf numFmtId="49" fontId="19" fillId="0" borderId="1" xfId="4" applyNumberFormat="1" applyFont="1" applyFill="1" applyBorder="1" applyAlignment="1"/>
    <xf numFmtId="49" fontId="19" fillId="0" borderId="1" xfId="4" applyNumberFormat="1" applyFont="1" applyFill="1" applyBorder="1" applyAlignment="1">
      <alignment horizontal="left"/>
    </xf>
    <xf numFmtId="1" fontId="19" fillId="0" borderId="1" xfId="4" applyNumberFormat="1" applyFont="1" applyFill="1" applyBorder="1" applyAlignment="1">
      <alignment horizontal="right"/>
    </xf>
    <xf numFmtId="196" fontId="19" fillId="0" borderId="1" xfId="4" applyNumberFormat="1" applyFont="1" applyFill="1" applyBorder="1"/>
    <xf numFmtId="196" fontId="19" fillId="0" borderId="1" xfId="4" applyNumberFormat="1" applyFont="1" applyFill="1" applyBorder="1" applyAlignment="1"/>
    <xf numFmtId="0" fontId="19" fillId="0" borderId="1" xfId="4" applyFont="1" applyFill="1" applyBorder="1" applyAlignment="1" applyProtection="1"/>
    <xf numFmtId="31" fontId="19" fillId="0" borderId="1" xfId="4" applyNumberFormat="1" applyFont="1" applyFill="1" applyBorder="1" applyAlignment="1">
      <alignment horizontal="right"/>
    </xf>
    <xf numFmtId="0" fontId="19" fillId="0" borderId="1" xfId="4" applyFont="1" applyFill="1" applyBorder="1" applyAlignment="1" applyProtection="1">
      <alignment horizontal="left"/>
      <protection locked="0"/>
    </xf>
    <xf numFmtId="183" fontId="19" fillId="0" borderId="1" xfId="4" applyNumberFormat="1" applyFont="1" applyFill="1" applyBorder="1" applyAlignment="1" applyProtection="1">
      <alignment horizontal="right"/>
    </xf>
    <xf numFmtId="49" fontId="19" fillId="0" borderId="1" xfId="4" applyNumberFormat="1" applyFont="1" applyFill="1" applyBorder="1" applyAlignment="1" applyProtection="1">
      <alignment horizontal="right"/>
      <protection locked="0"/>
    </xf>
    <xf numFmtId="197" fontId="19" fillId="0" borderId="1" xfId="4" applyNumberFormat="1" applyFont="1" applyFill="1" applyBorder="1" applyAlignment="1" applyProtection="1">
      <alignment horizontal="left"/>
      <protection locked="0"/>
    </xf>
    <xf numFmtId="176" fontId="19" fillId="0" borderId="1" xfId="4" applyNumberFormat="1" applyFont="1" applyFill="1" applyBorder="1" applyAlignment="1" applyProtection="1">
      <alignment horizontal="right"/>
      <protection locked="0"/>
    </xf>
    <xf numFmtId="0" fontId="19" fillId="0" borderId="1" xfId="4" applyFont="1" applyFill="1" applyBorder="1" applyAlignment="1" applyProtection="1">
      <alignment horizontal="center"/>
      <protection locked="0"/>
    </xf>
    <xf numFmtId="183" fontId="19" fillId="0" borderId="1" xfId="4" applyNumberFormat="1" applyFont="1" applyFill="1" applyBorder="1"/>
    <xf numFmtId="0" fontId="77" fillId="0" borderId="1" xfId="4" applyFont="1" applyFill="1" applyBorder="1" applyAlignment="1" applyProtection="1">
      <alignment horizontal="right"/>
      <protection locked="0"/>
    </xf>
    <xf numFmtId="44" fontId="19" fillId="0" borderId="1" xfId="19" applyFont="1" applyFill="1" applyBorder="1" applyAlignment="1">
      <alignment horizontal="left"/>
    </xf>
    <xf numFmtId="198" fontId="19" fillId="0" borderId="1" xfId="4" applyNumberFormat="1" applyFont="1" applyFill="1" applyBorder="1" applyAlignment="1" applyProtection="1">
      <alignment horizontal="right"/>
    </xf>
    <xf numFmtId="49" fontId="77" fillId="0" borderId="1" xfId="4" applyNumberFormat="1" applyFont="1" applyFill="1" applyBorder="1"/>
    <xf numFmtId="0" fontId="77" fillId="0" borderId="1" xfId="4" applyFont="1" applyFill="1" applyBorder="1" applyAlignment="1"/>
    <xf numFmtId="199" fontId="19" fillId="0" borderId="1" xfId="4" applyNumberFormat="1" applyFont="1" applyFill="1" applyBorder="1" applyAlignment="1"/>
    <xf numFmtId="198" fontId="19" fillId="0" borderId="1" xfId="4" applyNumberFormat="1" applyFont="1" applyFill="1" applyBorder="1"/>
    <xf numFmtId="200" fontId="19" fillId="0" borderId="1" xfId="4" applyNumberFormat="1" applyFont="1" applyFill="1" applyBorder="1" applyAlignment="1" applyProtection="1">
      <alignment horizontal="center"/>
    </xf>
    <xf numFmtId="0" fontId="19" fillId="0" borderId="1" xfId="4" applyFont="1" applyFill="1" applyBorder="1" applyAlignment="1" applyProtection="1">
      <alignment horizontal="left"/>
    </xf>
    <xf numFmtId="199" fontId="77" fillId="0" borderId="1" xfId="4" applyNumberFormat="1" applyFont="1" applyFill="1" applyBorder="1" applyAlignment="1"/>
    <xf numFmtId="0" fontId="19" fillId="0" borderId="0" xfId="4" applyFont="1" applyFill="1"/>
    <xf numFmtId="0" fontId="36" fillId="0" borderId="0" xfId="4"/>
    <xf numFmtId="199" fontId="19" fillId="0" borderId="1" xfId="0" applyNumberFormat="1" applyFont="1" applyFill="1" applyBorder="1" applyAlignment="1"/>
    <xf numFmtId="1" fontId="19" fillId="25" borderId="1" xfId="0" applyNumberFormat="1" applyFont="1" applyFill="1" applyBorder="1" applyAlignment="1">
      <alignment horizontal="center"/>
    </xf>
    <xf numFmtId="31" fontId="19" fillId="25" borderId="1" xfId="0" applyNumberFormat="1" applyFont="1" applyFill="1" applyBorder="1" applyAlignment="1" applyProtection="1"/>
    <xf numFmtId="200" fontId="19" fillId="25" borderId="1" xfId="0" applyNumberFormat="1" applyFont="1" applyFill="1" applyBorder="1" applyAlignment="1">
      <alignment horizontal="center"/>
    </xf>
    <xf numFmtId="31" fontId="19" fillId="25" borderId="1" xfId="0" applyNumberFormat="1" applyFont="1" applyFill="1" applyBorder="1" applyAlignment="1" applyProtection="1">
      <protection locked="0"/>
    </xf>
    <xf numFmtId="0" fontId="19" fillId="25" borderId="1" xfId="4" applyFont="1" applyFill="1" applyBorder="1" applyAlignment="1"/>
    <xf numFmtId="49" fontId="19" fillId="25" borderId="1" xfId="4" applyNumberFormat="1" applyFont="1" applyFill="1" applyBorder="1"/>
    <xf numFmtId="0" fontId="19" fillId="25" borderId="1" xfId="4" applyFont="1" applyFill="1" applyBorder="1" applyAlignment="1">
      <alignment horizontal="left"/>
    </xf>
    <xf numFmtId="0" fontId="19" fillId="25" borderId="1" xfId="4" applyFont="1" applyFill="1" applyBorder="1" applyAlignment="1">
      <alignment horizontal="right"/>
    </xf>
    <xf numFmtId="2" fontId="19" fillId="25" borderId="1" xfId="4" applyNumberFormat="1" applyFont="1" applyFill="1" applyBorder="1" applyAlignment="1">
      <alignment horizontal="right"/>
    </xf>
    <xf numFmtId="196" fontId="19" fillId="25" borderId="1" xfId="4" applyNumberFormat="1" applyFont="1" applyFill="1" applyBorder="1"/>
    <xf numFmtId="2" fontId="19" fillId="25" borderId="1" xfId="4" applyNumberFormat="1" applyFont="1" applyFill="1" applyBorder="1" applyAlignment="1" applyProtection="1">
      <alignment horizontal="right"/>
    </xf>
    <xf numFmtId="0" fontId="19" fillId="25" borderId="1" xfId="4" applyFont="1" applyFill="1" applyBorder="1" applyAlignment="1" applyProtection="1">
      <alignment horizontal="right"/>
    </xf>
    <xf numFmtId="0" fontId="19" fillId="25" borderId="1" xfId="4" applyFont="1" applyFill="1" applyBorder="1" applyAlignment="1">
      <alignment horizontal="center"/>
    </xf>
    <xf numFmtId="0" fontId="19" fillId="25" borderId="1" xfId="4" applyFont="1" applyFill="1" applyBorder="1"/>
    <xf numFmtId="199" fontId="19" fillId="25" borderId="1" xfId="4" applyNumberFormat="1" applyFont="1" applyFill="1" applyBorder="1" applyAlignment="1">
      <alignment horizontal="left"/>
    </xf>
    <xf numFmtId="0" fontId="19" fillId="25" borderId="1" xfId="4" applyFont="1" applyFill="1" applyBorder="1" applyProtection="1">
      <protection locked="0"/>
    </xf>
    <xf numFmtId="31" fontId="19" fillId="25" borderId="1" xfId="4" applyNumberFormat="1" applyFont="1" applyFill="1" applyBorder="1" applyProtection="1">
      <protection locked="0"/>
    </xf>
    <xf numFmtId="0" fontId="19" fillId="25" borderId="1" xfId="4" applyFont="1" applyFill="1" applyBorder="1" applyProtection="1"/>
    <xf numFmtId="1" fontId="19" fillId="25" borderId="1" xfId="4" applyNumberFormat="1" applyFont="1" applyFill="1" applyBorder="1" applyAlignment="1">
      <alignment horizontal="center"/>
    </xf>
    <xf numFmtId="9" fontId="19" fillId="25" borderId="1" xfId="4" applyNumberFormat="1" applyFont="1" applyFill="1" applyBorder="1"/>
    <xf numFmtId="196" fontId="19" fillId="25" borderId="1" xfId="4" applyNumberFormat="1" applyFont="1" applyFill="1" applyBorder="1" applyAlignment="1">
      <alignment horizontal="right"/>
    </xf>
    <xf numFmtId="0" fontId="19" fillId="25" borderId="1" xfId="4" applyFont="1" applyFill="1" applyBorder="1" applyAlignment="1" applyProtection="1">
      <alignment horizontal="center"/>
    </xf>
    <xf numFmtId="31" fontId="19" fillId="25" borderId="1" xfId="4" applyNumberFormat="1" applyFont="1" applyFill="1" applyBorder="1" applyProtection="1"/>
    <xf numFmtId="49" fontId="19" fillId="25" borderId="1" xfId="4" applyNumberFormat="1" applyFont="1" applyFill="1" applyBorder="1" applyProtection="1">
      <protection locked="0"/>
    </xf>
    <xf numFmtId="197" fontId="19" fillId="25" borderId="1" xfId="4" applyNumberFormat="1" applyFont="1" applyFill="1" applyBorder="1" applyProtection="1">
      <protection locked="0"/>
    </xf>
    <xf numFmtId="179" fontId="19" fillId="25" borderId="1" xfId="4" applyNumberFormat="1" applyFont="1" applyFill="1" applyBorder="1" applyProtection="1">
      <protection locked="0"/>
    </xf>
    <xf numFmtId="183" fontId="19" fillId="25" borderId="1" xfId="4" applyNumberFormat="1" applyFont="1" applyFill="1" applyBorder="1" applyProtection="1">
      <protection locked="0"/>
    </xf>
    <xf numFmtId="196" fontId="19" fillId="25" borderId="1" xfId="4" applyNumberFormat="1" applyFont="1" applyFill="1" applyBorder="1" applyAlignment="1" applyProtection="1">
      <alignment horizontal="right"/>
    </xf>
    <xf numFmtId="31" fontId="19" fillId="25" borderId="1" xfId="4" applyNumberFormat="1" applyFont="1" applyFill="1" applyBorder="1"/>
    <xf numFmtId="199" fontId="77" fillId="25" borderId="1" xfId="4" applyNumberFormat="1" applyFont="1" applyFill="1" applyBorder="1" applyAlignment="1"/>
    <xf numFmtId="0" fontId="77" fillId="25" borderId="1" xfId="4" applyFont="1" applyFill="1" applyBorder="1" applyAlignment="1">
      <alignment horizontal="center"/>
    </xf>
    <xf numFmtId="183" fontId="19" fillId="25" borderId="1" xfId="4" applyNumberFormat="1" applyFont="1" applyFill="1" applyBorder="1" applyAlignment="1">
      <alignment horizontal="right"/>
    </xf>
    <xf numFmtId="176" fontId="19" fillId="25" borderId="1" xfId="4" applyNumberFormat="1" applyFont="1" applyFill="1" applyBorder="1"/>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68580</xdr:rowOff>
    </xdr:from>
    <xdr:to>
      <xdr:col>7</xdr:col>
      <xdr:colOff>180106</xdr:colOff>
      <xdr:row>69</xdr:row>
      <xdr:rowOff>174900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87140"/>
          <a:ext cx="4371106" cy="2880000"/>
        </a:xfrm>
        <a:prstGeom prst="rect">
          <a:avLst/>
        </a:prstGeom>
      </xdr:spPr>
    </xdr:pic>
    <xdr:clientData/>
  </xdr:twoCellAnchor>
  <xdr:twoCellAnchor editAs="oneCell">
    <xdr:from>
      <xdr:col>0</xdr:col>
      <xdr:colOff>0</xdr:colOff>
      <xdr:row>70</xdr:row>
      <xdr:rowOff>60960</xdr:rowOff>
    </xdr:from>
    <xdr:to>
      <xdr:col>31</xdr:col>
      <xdr:colOff>313076</xdr:colOff>
      <xdr:row>76</xdr:row>
      <xdr:rowOff>53192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51320"/>
          <a:ext cx="9990476" cy="1180952"/>
        </a:xfrm>
        <a:prstGeom prst="rect">
          <a:avLst/>
        </a:prstGeom>
      </xdr:spPr>
    </xdr:pic>
    <xdr:clientData/>
  </xdr:twoCellAnchor>
  <xdr:twoCellAnchor editAs="oneCell">
    <xdr:from>
      <xdr:col>7</xdr:col>
      <xdr:colOff>175261</xdr:colOff>
      <xdr:row>55</xdr:row>
      <xdr:rowOff>60961</xdr:rowOff>
    </xdr:from>
    <xdr:to>
      <xdr:col>58</xdr:col>
      <xdr:colOff>481303</xdr:colOff>
      <xdr:row>62</xdr:row>
      <xdr:rowOff>60961</xdr:rowOff>
    </xdr:to>
    <xdr:pic>
      <xdr:nvPicPr>
        <xdr:cNvPr id="4" name="图片 3"/>
        <xdr:cNvPicPr>
          <a:picLocks noChangeAspect="1"/>
        </xdr:cNvPicPr>
      </xdr:nvPicPr>
      <xdr:blipFill>
        <a:blip xmlns:r="http://schemas.openxmlformats.org/officeDocument/2006/relationships" r:embed="rId3"/>
        <a:stretch>
          <a:fillRect/>
        </a:stretch>
      </xdr:blipFill>
      <xdr:spPr>
        <a:xfrm>
          <a:off x="4366261" y="3779521"/>
          <a:ext cx="6402042" cy="1386840"/>
        </a:xfrm>
        <a:prstGeom prst="rect">
          <a:avLst/>
        </a:prstGeom>
      </xdr:spPr>
    </xdr:pic>
    <xdr:clientData/>
  </xdr:twoCellAnchor>
  <xdr:twoCellAnchor editAs="oneCell">
    <xdr:from>
      <xdr:col>0</xdr:col>
      <xdr:colOff>0</xdr:colOff>
      <xdr:row>75</xdr:row>
      <xdr:rowOff>167640</xdr:rowOff>
    </xdr:from>
    <xdr:to>
      <xdr:col>58</xdr:col>
      <xdr:colOff>617762</xdr:colOff>
      <xdr:row>82</xdr:row>
      <xdr:rowOff>85562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48600"/>
          <a:ext cx="10904762" cy="1304762"/>
        </a:xfrm>
        <a:prstGeom prst="rect">
          <a:avLst/>
        </a:prstGeom>
      </xdr:spPr>
    </xdr:pic>
    <xdr:clientData/>
  </xdr:twoCellAnchor>
  <xdr:twoCellAnchor editAs="oneCell">
    <xdr:from>
      <xdr:col>0</xdr:col>
      <xdr:colOff>0</xdr:colOff>
      <xdr:row>82</xdr:row>
      <xdr:rowOff>45720</xdr:rowOff>
    </xdr:from>
    <xdr:to>
      <xdr:col>58</xdr:col>
      <xdr:colOff>913000</xdr:colOff>
      <xdr:row>89</xdr:row>
      <xdr:rowOff>154118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113520"/>
          <a:ext cx="11200000" cy="1495238"/>
        </a:xfrm>
        <a:prstGeom prst="rect">
          <a:avLst/>
        </a:prstGeom>
      </xdr:spPr>
    </xdr:pic>
    <xdr:clientData/>
  </xdr:twoCellAnchor>
  <xdr:twoCellAnchor editAs="oneCell">
    <xdr:from>
      <xdr:col>0</xdr:col>
      <xdr:colOff>0</xdr:colOff>
      <xdr:row>89</xdr:row>
      <xdr:rowOff>99060</xdr:rowOff>
    </xdr:from>
    <xdr:to>
      <xdr:col>12</xdr:col>
      <xdr:colOff>94409</xdr:colOff>
      <xdr:row>95</xdr:row>
      <xdr:rowOff>196054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553700"/>
          <a:ext cx="6723809"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8504;&#36947;&#24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221814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2004年1月31日</v>
      </c>
    </row>
    <row r="13" spans="1:2" s="1203" customFormat="1">
      <c r="A13" s="1201" t="s">
        <v>529</v>
      </c>
      <c r="B13" s="1202" t="str">
        <f>'预评函-1'!A18</f>
        <v>本次估价的“房地产价值”是指在正常市场情况下，在价值时点2004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93.83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4" t="s">
        <v>385</v>
      </c>
      <c r="C54" s="1551" t="s">
        <v>583</v>
      </c>
    </row>
    <row r="55" spans="1:4">
      <c r="A55" s="3555"/>
      <c r="B55" s="1554" t="s">
        <v>386</v>
      </c>
      <c r="C55" s="1551" t="s">
        <v>584</v>
      </c>
    </row>
    <row r="56" spans="1:4">
      <c r="A56" s="3555"/>
      <c r="B56" s="1554" t="s">
        <v>387</v>
      </c>
      <c r="C56" s="1551" t="s">
        <v>588</v>
      </c>
    </row>
    <row r="57" spans="1:4">
      <c r="A57" s="355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56" t="s">
        <v>2581</v>
      </c>
      <c r="J2" s="3556"/>
      <c r="K2" s="3556"/>
      <c r="L2" s="3556"/>
      <c r="M2" s="3556"/>
      <c r="N2" s="3556"/>
      <c r="O2" s="3556"/>
      <c r="P2" s="3556"/>
      <c r="Q2" s="3556"/>
      <c r="R2" s="3556"/>
    </row>
    <row r="3" spans="1:18">
      <c r="A3" s="3020" t="s">
        <v>2502</v>
      </c>
      <c r="B3" s="3021">
        <f>项目基本情况!D3</f>
        <v>38017</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22.89</v>
      </c>
      <c r="D5" s="3025">
        <f>IF(ISERROR(ROUND(POWER(1+E5,A5-C5)*(POWER(1+E5,C5)-1)/(POWER(1+E5,A5)-1),3)),0,ROUND(POWER(1+E5,A5-C5)*(POWER(1+E5,C5)-1)/(POWER(1+E5,A5)-1),4))</f>
        <v>0.74839999999999995</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32.9</v>
      </c>
      <c r="D6" s="3025">
        <f>IF(ISERROR(ROUND(POWER(1+E6,A6-C6)*(POWER(1+E6,C6)-1)/(POWER(1+E6,A6)-1),3)),0,ROUND(POWER(1+E6,A6-C6)*(POWER(1+E6,C6)-1)/(POWER(1+E6,A6)-1),4))</f>
        <v>0.84350000000000003</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52.92</v>
      </c>
      <c r="D7" s="3025">
        <f>IF(ISERROR(ROUND(POWER(1+E7,A7-C7)*(POWER(1+E7,C7)-1)/(POWER(1+E7,A7)-1),3)),0,ROUND(POWER(1+E7,A7-C7)*(POWER(1+E7,C7)-1)/(POWER(1+E7,A7)-1),4))</f>
        <v>0.9345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57" t="str">
        <f>IF(B10="北京市","北京市",C10)&amp;F10&amp;IF(结果表!G1="在建","出让国有建设用地使用权及在建建筑物",IF(结果表!G1="土地","出让国有建设用地使用权",))&amp;B9&amp;"预评估"</f>
        <v>北京市房地产市场价值预评估</v>
      </c>
      <c r="C1" s="3558"/>
      <c r="D1" s="3558"/>
      <c r="E1" s="3558"/>
      <c r="F1" s="3558"/>
      <c r="G1" s="3558"/>
      <c r="H1" s="3558"/>
      <c r="I1" s="355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38017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60"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61"/>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7"/>
      <c r="C16" s="3568"/>
      <c r="D16" s="3569"/>
      <c r="E16" s="2413" t="s">
        <v>2194</v>
      </c>
      <c r="F16" s="3570"/>
      <c r="G16" s="3571"/>
      <c r="H16" s="3571"/>
      <c r="I16" s="3572"/>
      <c r="J16" s="2439"/>
      <c r="K16" s="2617"/>
      <c r="L16" s="2451"/>
      <c r="M16" s="2451"/>
      <c r="N16" s="2509"/>
      <c r="O16" s="2451"/>
      <c r="P16" s="2509"/>
      <c r="Q16" s="2439"/>
      <c r="R16" s="2439"/>
    </row>
    <row r="17" spans="1:28">
      <c r="A17" s="313" t="s">
        <v>2195</v>
      </c>
      <c r="B17" s="302" t="s">
        <v>2196</v>
      </c>
      <c r="C17" s="8">
        <f>'数据-汇总表'!E3</f>
        <v>93.83</v>
      </c>
      <c r="D17" s="2322" t="s">
        <v>2197</v>
      </c>
      <c r="E17" s="3573" t="s">
        <v>2198</v>
      </c>
      <c r="F17" s="3574"/>
      <c r="G17" s="3574"/>
      <c r="H17" s="3574"/>
      <c r="I17" s="3575"/>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76" t="s">
        <v>2202</v>
      </c>
      <c r="F18" s="3577"/>
      <c r="G18" s="3577"/>
      <c r="H18" s="3577"/>
      <c r="I18" s="3578"/>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3" t="s">
        <v>2206</v>
      </c>
      <c r="C20" s="3564"/>
      <c r="D20" s="3565" t="s">
        <v>2207</v>
      </c>
      <c r="E20" s="3566"/>
      <c r="F20" s="2647" t="s">
        <v>1056</v>
      </c>
      <c r="G20" s="2664"/>
      <c r="H20" s="2664"/>
      <c r="I20" s="2664"/>
      <c r="J20" s="2439"/>
      <c r="K20" s="356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6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6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8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8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8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81"/>
      <c r="B30" s="302" t="s">
        <v>2218</v>
      </c>
      <c r="C30" s="3582"/>
      <c r="D30" s="3583"/>
      <c r="E30" s="2664"/>
      <c r="F30" s="2664"/>
      <c r="G30" s="2664"/>
      <c r="H30" s="2664"/>
      <c r="I30" s="2664"/>
      <c r="J30" s="2439"/>
      <c r="K30" s="2616"/>
      <c r="L30" s="2613"/>
      <c r="M30" s="2613"/>
      <c r="N30" s="2439"/>
      <c r="O30" s="2450"/>
      <c r="P30" s="2439"/>
      <c r="Q30" s="2439"/>
      <c r="R30" s="2439"/>
      <c r="S30" s="2439"/>
      <c r="T30" s="2439"/>
      <c r="U30" s="2439"/>
      <c r="V30" s="2439"/>
    </row>
    <row r="31" spans="1:28">
      <c r="A31" s="358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9" t="s">
        <v>2228</v>
      </c>
      <c r="T34" s="2428" t="str">
        <f>NUMBERSTRING(7-K34,1)&amp;"通"</f>
        <v>七通</v>
      </c>
      <c r="U34" s="2439"/>
      <c r="V34" s="2439"/>
    </row>
    <row r="35" spans="1:30">
      <c r="A35" s="2429"/>
      <c r="B35" s="3586" t="s">
        <v>2229</v>
      </c>
      <c r="C35" s="3586"/>
      <c r="D35" s="3586"/>
      <c r="E35" s="358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93.83</v>
      </c>
      <c r="H5" s="13">
        <f t="shared" ref="H5:AT5" si="0">SUM(H13:H656)</f>
        <v>93.83</v>
      </c>
      <c r="I5" s="13">
        <f t="shared" si="0"/>
        <v>93.83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93.83</v>
      </c>
      <c r="BA5" s="15">
        <f t="shared" si="1"/>
        <v>93.83</v>
      </c>
      <c r="BB5" s="15">
        <f t="shared" si="1"/>
        <v>93.83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93.83</v>
      </c>
      <c r="H13" s="17">
        <f>SUMIF(I$12:AB$12,"总值",I13:AB13)</f>
        <v>93.83</v>
      </c>
      <c r="I13" s="1626">
        <f>'数据-汇总表'!F19</f>
        <v>93.83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93.83</v>
      </c>
      <c r="BA13" s="13">
        <f>SUM(BB13:BK13)</f>
        <v>93.83</v>
      </c>
      <c r="BB13" s="13">
        <f>IF($D13="是",I13-J13,0)</f>
        <v>93.83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6" t="s">
        <v>1131</v>
      </c>
      <c r="B2" s="3596"/>
      <c r="C2" s="3596"/>
      <c r="D2" s="796" t="s">
        <v>1107</v>
      </c>
      <c r="E2" s="1639" t="s">
        <v>1108</v>
      </c>
      <c r="F2" s="2659"/>
      <c r="G2" s="2650"/>
      <c r="H2" s="2651"/>
      <c r="I2" s="2325" t="s">
        <v>1132</v>
      </c>
      <c r="J2" s="2659"/>
      <c r="K2" s="2659"/>
      <c r="L2" s="2659"/>
      <c r="M2" s="2659"/>
      <c r="N2" s="2661"/>
      <c r="O2" s="2659"/>
      <c r="P2" s="2659"/>
    </row>
    <row r="3" spans="1:16" ht="15" thickBot="1">
      <c r="A3" s="3597" t="s">
        <v>1105</v>
      </c>
      <c r="B3" s="3597"/>
      <c r="C3" s="3597"/>
      <c r="D3" s="43">
        <f>'数据-基础表'!AY6</f>
        <v>0</v>
      </c>
      <c r="E3" s="43">
        <f>'数据-基础表'!AZ5</f>
        <v>93.83</v>
      </c>
      <c r="F3" s="2659"/>
      <c r="G3" s="1145"/>
      <c r="H3" s="1026" t="s">
        <v>1106</v>
      </c>
      <c r="I3" s="855" t="e">
        <f>ROUND('数据-基础表'!B3/'数据-基础表'!A3,2)</f>
        <v>#DIV/0!</v>
      </c>
      <c r="J3" s="2659"/>
      <c r="K3" s="2659"/>
      <c r="L3" s="2659"/>
      <c r="M3" s="2659"/>
      <c r="N3" s="2661"/>
      <c r="O3" s="2659"/>
      <c r="P3" s="2659"/>
    </row>
    <row r="4" spans="1:16" ht="14.4">
      <c r="A4" s="3598"/>
      <c r="B4" s="3599"/>
      <c r="C4" s="360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01" t="s">
        <v>1110</v>
      </c>
      <c r="C5" s="3601"/>
      <c r="D5" s="45">
        <f>ROUND($D$3*E5/$E$3,2)</f>
        <v>0</v>
      </c>
      <c r="E5" s="46">
        <f>SUMIF('数据-基础表'!$11:$11,"住宅",'数据-基础表'!$5:$5)</f>
        <v>93.83</v>
      </c>
      <c r="F5" s="2659"/>
      <c r="G5" s="1145"/>
      <c r="H5" s="1026" t="s">
        <v>1106</v>
      </c>
      <c r="I5" s="855" t="e">
        <f>ROUND(E31/D31,2)</f>
        <v>#DIV/0!</v>
      </c>
      <c r="J5" s="2659"/>
      <c r="K5" s="2659"/>
      <c r="L5" s="2659"/>
      <c r="M5" s="2659"/>
      <c r="N5" s="2659"/>
      <c r="O5" s="2659"/>
      <c r="P5" s="2659"/>
    </row>
    <row r="6" spans="1:16" ht="15" thickBot="1">
      <c r="A6" s="1644"/>
      <c r="B6" s="3601" t="s">
        <v>1111</v>
      </c>
      <c r="C6" s="3601"/>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93"/>
      <c r="B7" s="3594"/>
      <c r="C7" s="3595"/>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93.83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93.83</v>
      </c>
      <c r="F16" s="2659"/>
      <c r="G16" s="2660"/>
      <c r="H16" s="1648" t="s">
        <v>1135</v>
      </c>
      <c r="I16" s="1649"/>
      <c r="J16" s="1139"/>
      <c r="K16" s="3590" t="s">
        <v>1135</v>
      </c>
      <c r="L16" s="3591"/>
      <c r="M16" s="3591"/>
      <c r="N16" s="3591"/>
      <c r="O16" s="3591"/>
      <c r="P16" s="3592"/>
    </row>
    <row r="17" spans="1:19" ht="14.4">
      <c r="A17" s="1650" t="s">
        <v>1136</v>
      </c>
      <c r="B17" s="1651" t="s">
        <v>1137</v>
      </c>
      <c r="C17" s="1652" t="s">
        <v>1138</v>
      </c>
      <c r="D17" s="1653" t="s">
        <v>1126</v>
      </c>
      <c r="E17" s="1654" t="s">
        <v>1127</v>
      </c>
      <c r="F17" s="1655"/>
      <c r="G17" s="1656"/>
      <c r="H17" s="1657" t="s">
        <v>1139</v>
      </c>
      <c r="I17" s="1658" t="s">
        <v>1124</v>
      </c>
      <c r="J17" s="1139"/>
      <c r="K17" s="3587" t="s">
        <v>1140</v>
      </c>
      <c r="L17" s="3588"/>
      <c r="M17" s="3589"/>
      <c r="N17" s="3587" t="s">
        <v>1141</v>
      </c>
      <c r="O17" s="3588"/>
      <c r="P17" s="358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93.83</v>
      </c>
      <c r="F19" s="2795">
        <v>93.83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93.83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93.83</v>
      </c>
      <c r="F27" s="1140">
        <f>IF(SUM(F19:F26)=E8,SUM(F19:F26),"地上面积有误")</f>
        <v>93.83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93.83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93.83</v>
      </c>
      <c r="F31" s="677">
        <f>F27+F30</f>
        <v>93.83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93.83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10" sqref="A1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38017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93.83</v>
      </c>
      <c r="L6" s="733">
        <v>1500</v>
      </c>
      <c r="M6" s="67">
        <f t="shared" ref="M6:M14" si="0">ROUND(K6*L6/10000,0)</f>
        <v>14</v>
      </c>
      <c r="N6" s="3455">
        <v>0.95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140745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93.83</v>
      </c>
      <c r="L16" s="93">
        <f>ROUND(M16*10000/SUM(K6:K14),0)</f>
        <v>1492</v>
      </c>
      <c r="M16" s="93">
        <f>SUM(M6:M14)</f>
        <v>14</v>
      </c>
      <c r="N16" s="94">
        <f>ROUND(SUMPRODUCT(M6:M14,N6:N14)/M16,3)</f>
        <v>0.95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2301</v>
      </c>
      <c r="D20" s="2676"/>
      <c r="E20" s="2673"/>
      <c r="F20" s="2673"/>
      <c r="G20" s="2673"/>
      <c r="H20" s="2673"/>
      <c r="I20" s="2673"/>
      <c r="J20" s="2673"/>
      <c r="K20" s="2672"/>
      <c r="L20" s="2672"/>
      <c r="M20" s="2671"/>
      <c r="N20" s="2671">
        <f>1-(2004-2004)/60</f>
        <v>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1.9799999999999998E-2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5.3099999999999994E-2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02" t="s">
        <v>2286</v>
      </c>
      <c r="B1" s="3603"/>
      <c r="C1" s="3603"/>
      <c r="D1" s="3603"/>
      <c r="E1" s="3603"/>
      <c r="F1" s="3603"/>
      <c r="G1" s="360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93.83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38017</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38</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93.83</v>
      </c>
      <c r="C14" s="2518"/>
      <c r="D14" s="2518">
        <f ca="1">结果表!G19</f>
        <v>38</v>
      </c>
      <c r="E14" s="2518">
        <f ca="1">ROUND(D14*10000/B14,0)</f>
        <v>4050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5" sqref="D5:D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1" t="str">
        <f>项目基本情况!S2</f>
        <v>北京市房地产</v>
      </c>
      <c r="B2" s="3672"/>
      <c r="C2" s="3672"/>
      <c r="D2" s="3672"/>
      <c r="E2" s="3672"/>
      <c r="F2" s="3672"/>
      <c r="G2" s="3672"/>
      <c r="H2" s="3672"/>
      <c r="I2" s="3673"/>
    </row>
    <row r="3" spans="1:12" ht="13.2">
      <c r="A3" s="3675" t="s">
        <v>1264</v>
      </c>
      <c r="B3" s="3676"/>
      <c r="C3" s="3676"/>
      <c r="D3" s="3676"/>
      <c r="E3" s="3676"/>
      <c r="F3" s="3676"/>
      <c r="G3" s="3676"/>
      <c r="H3" s="3676"/>
      <c r="I3" s="3676"/>
    </row>
    <row r="4" spans="1:12" ht="14.4">
      <c r="A4" s="1754" t="s">
        <v>1265</v>
      </c>
      <c r="B4" s="1755" t="s">
        <v>1266</v>
      </c>
      <c r="C4" s="1756" t="s">
        <v>3419</v>
      </c>
      <c r="D4" s="1756" t="s">
        <v>3420</v>
      </c>
      <c r="E4" s="3680" t="s">
        <v>1267</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19" t="s">
        <v>1268</v>
      </c>
      <c r="B5" s="3674">
        <v>25</v>
      </c>
      <c r="C5" s="3677">
        <v>10</v>
      </c>
      <c r="D5" s="3665">
        <f>10-C5</f>
        <v>0</v>
      </c>
      <c r="E5" s="131" t="s">
        <v>1269</v>
      </c>
      <c r="F5" s="1757"/>
      <c r="G5" s="1757"/>
      <c r="H5" s="1757"/>
      <c r="I5" s="1373"/>
    </row>
    <row r="6" spans="1:12" ht="13.2">
      <c r="A6" s="3619"/>
      <c r="B6" s="3674"/>
      <c r="C6" s="3679"/>
      <c r="D6" s="3665"/>
      <c r="E6" s="131" t="s">
        <v>1270</v>
      </c>
      <c r="F6" s="1757"/>
      <c r="G6" s="1757"/>
      <c r="H6" s="1757"/>
      <c r="I6" s="1373"/>
    </row>
    <row r="7" spans="1:12" ht="13.2">
      <c r="A7" s="3619"/>
      <c r="B7" s="3674"/>
      <c r="C7" s="3678"/>
      <c r="D7" s="3665"/>
      <c r="E7" s="131" t="s">
        <v>1271</v>
      </c>
      <c r="F7" s="1757"/>
      <c r="G7" s="1757"/>
      <c r="H7" s="1757"/>
      <c r="I7" s="1373"/>
    </row>
    <row r="8" spans="1:12" ht="13.2">
      <c r="A8" s="3619" t="s">
        <v>1272</v>
      </c>
      <c r="B8" s="3674">
        <v>15</v>
      </c>
      <c r="C8" s="3677"/>
      <c r="D8" s="3665"/>
      <c r="E8" s="131" t="s">
        <v>1273</v>
      </c>
      <c r="F8" s="1757"/>
      <c r="G8" s="1757"/>
      <c r="H8" s="1757"/>
      <c r="I8" s="1373"/>
    </row>
    <row r="9" spans="1:12" ht="13.2">
      <c r="A9" s="3619"/>
      <c r="B9" s="3674"/>
      <c r="C9" s="3678"/>
      <c r="D9" s="3665"/>
      <c r="E9" s="131" t="s">
        <v>1274</v>
      </c>
      <c r="F9" s="1757"/>
      <c r="G9" s="1757"/>
      <c r="H9" s="1757"/>
      <c r="I9" s="1373"/>
    </row>
    <row r="10" spans="1:12" ht="13.2">
      <c r="A10" s="3619" t="s">
        <v>1275</v>
      </c>
      <c r="B10" s="3674">
        <v>15</v>
      </c>
      <c r="C10" s="3677"/>
      <c r="D10" s="3665"/>
      <c r="E10" s="131" t="s">
        <v>1276</v>
      </c>
      <c r="F10" s="1757"/>
      <c r="G10" s="1757"/>
      <c r="H10" s="1757"/>
      <c r="I10" s="1373"/>
    </row>
    <row r="11" spans="1:12" ht="13.2">
      <c r="A11" s="3619"/>
      <c r="B11" s="3674"/>
      <c r="C11" s="3678"/>
      <c r="D11" s="3665"/>
      <c r="E11" s="131" t="s">
        <v>1277</v>
      </c>
      <c r="F11" s="1757"/>
      <c r="G11" s="1757"/>
      <c r="H11" s="1757"/>
      <c r="I11" s="1373"/>
    </row>
    <row r="12" spans="1:12" ht="13.2">
      <c r="A12" s="3619" t="s">
        <v>1278</v>
      </c>
      <c r="B12" s="3674">
        <v>15</v>
      </c>
      <c r="C12" s="3677"/>
      <c r="D12" s="3665"/>
      <c r="E12" s="131" t="s">
        <v>1279</v>
      </c>
      <c r="F12" s="1757"/>
      <c r="G12" s="1757"/>
      <c r="H12" s="1757"/>
      <c r="I12" s="1373"/>
    </row>
    <row r="13" spans="1:12" ht="13.2">
      <c r="A13" s="3619"/>
      <c r="B13" s="3674"/>
      <c r="C13" s="3678"/>
      <c r="D13" s="3665"/>
      <c r="E13" s="131" t="s">
        <v>1280</v>
      </c>
      <c r="F13" s="1757"/>
      <c r="G13" s="1757"/>
      <c r="H13" s="1757"/>
      <c r="I13" s="1373"/>
    </row>
    <row r="14" spans="1:12" ht="13.2">
      <c r="A14" s="3619" t="s">
        <v>1281</v>
      </c>
      <c r="B14" s="3674">
        <v>30</v>
      </c>
      <c r="C14" s="3677"/>
      <c r="D14" s="3665"/>
      <c r="E14" s="131" t="s">
        <v>1282</v>
      </c>
      <c r="F14" s="1757"/>
      <c r="G14" s="1757"/>
      <c r="H14" s="1757"/>
      <c r="I14" s="1373"/>
    </row>
    <row r="15" spans="1:12" ht="13.2">
      <c r="A15" s="3619"/>
      <c r="B15" s="3674"/>
      <c r="C15" s="3679"/>
      <c r="D15" s="3665"/>
      <c r="E15" s="131" t="s">
        <v>1283</v>
      </c>
      <c r="F15" s="1757"/>
      <c r="G15" s="1757"/>
      <c r="H15" s="1757"/>
      <c r="I15" s="1373"/>
    </row>
    <row r="16" spans="1:12" ht="13.2">
      <c r="A16" s="3619"/>
      <c r="B16" s="3674"/>
      <c r="C16" s="3678"/>
      <c r="D16" s="3665"/>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696" t="s">
        <v>2131</v>
      </c>
      <c r="F18" s="3697"/>
      <c r="G18" s="3697"/>
      <c r="H18" s="3697"/>
      <c r="I18" s="3697"/>
      <c r="K18" s="302" t="s">
        <v>1289</v>
      </c>
      <c r="L18" s="302">
        <f>IF(C1="",'数据-汇总表'!E3,SUMIF(项目类型,C1,'数据-汇总表'!E17:E26)+SUMIF(项目类型,C1,'数据-汇总表'!I17:I26))</f>
        <v>93.83</v>
      </c>
      <c r="M18" s="302">
        <f>IF(C1="",'数据-汇总表'!E3,SUMIF(项目类型,C1,'数据-汇总表'!E17:E26))</f>
        <v>93.83</v>
      </c>
    </row>
    <row r="19" spans="1:36" ht="14.4">
      <c r="A19" s="1761" t="s">
        <v>1290</v>
      </c>
      <c r="B19" s="1762" t="s">
        <v>1291</v>
      </c>
      <c r="C19" s="134">
        <f ca="1">SUMIF(INDIRECT("'"&amp;C4&amp;"'"&amp;"!A:A"),结果表!B19,INDIRECT("'"&amp;C4&amp;"'"&amp;"!B:B"))</f>
        <v>37.522599999999997</v>
      </c>
      <c r="D19" s="135">
        <f ca="1">SUMIF(INDIRECT("'"&amp;D4&amp;"'"&amp;"!A:A"),结果表!B19,INDIRECT("'"&amp;D4&amp;"'"&amp;"!B:B"))</f>
        <v>47.389600000000002</v>
      </c>
      <c r="E19" s="1761" t="s">
        <v>1292</v>
      </c>
      <c r="F19" s="1762" t="s">
        <v>1291</v>
      </c>
      <c r="G19" s="136">
        <f ca="1">ROUND(C19*$C$18+D19*$D$18,0)</f>
        <v>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3999</v>
      </c>
      <c r="D20" s="138">
        <f ca="1">SUMIF(INDIRECT("'"&amp;D4&amp;"'"&amp;"!A:A"),结果表!B20,INDIRECT("'"&amp;D4&amp;"'"&amp;"!B:B"))</f>
        <v>5051</v>
      </c>
      <c r="E20" s="1764"/>
      <c r="F20" s="1026" t="s">
        <v>1295</v>
      </c>
      <c r="G20" s="139">
        <f ca="1">ROUND(C20*$C$18+D20*$D$18,0)</f>
        <v>3999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0.2629615218561614</v>
      </c>
      <c r="E22" s="129"/>
      <c r="F22" s="129"/>
      <c r="G22" s="129"/>
      <c r="H22" s="129"/>
      <c r="I22" s="129"/>
    </row>
    <row r="23" spans="1:36" ht="13.8" thickBot="1">
      <c r="A23" s="1747"/>
      <c r="B23" s="1747"/>
      <c r="C23" s="1747"/>
      <c r="D23" s="1747"/>
      <c r="E23" s="129"/>
      <c r="F23" s="129"/>
      <c r="G23" s="129"/>
      <c r="H23" s="129"/>
      <c r="I23" s="129"/>
    </row>
    <row r="24" spans="1:36" ht="14.4">
      <c r="A24" s="3689" t="s">
        <v>1299</v>
      </c>
      <c r="B24" s="1762" t="s">
        <v>1291</v>
      </c>
      <c r="C24" s="136">
        <f>IF(B30=0,0,D30)</f>
        <v>0</v>
      </c>
      <c r="D24" s="1769"/>
      <c r="E24" s="129"/>
      <c r="F24" s="129"/>
      <c r="G24" s="129"/>
      <c r="H24" s="129"/>
      <c r="I24" s="129"/>
    </row>
    <row r="25" spans="1:36" ht="14.4">
      <c r="A25" s="36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3999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66" t="s">
        <v>1312</v>
      </c>
      <c r="B36" s="1787" t="s">
        <v>1313</v>
      </c>
      <c r="C36" s="145"/>
      <c r="D36" s="1788"/>
      <c r="E36" s="1789"/>
      <c r="F36" s="1790"/>
      <c r="G36" s="129"/>
      <c r="H36" s="129"/>
      <c r="I36" s="129"/>
    </row>
    <row r="37" spans="1:15" ht="15" thickBot="1">
      <c r="A37" s="3667"/>
      <c r="B37" s="1674" t="s">
        <v>1314</v>
      </c>
      <c r="C37" s="147"/>
      <c r="D37" s="1139"/>
      <c r="E37" s="1139"/>
      <c r="F37" s="1790"/>
      <c r="G37" s="129"/>
      <c r="H37" s="129"/>
      <c r="I37" s="129"/>
    </row>
    <row r="38" spans="1:15" ht="15" thickBot="1">
      <c r="A38" s="366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6" t="s">
        <v>1326</v>
      </c>
      <c r="B45" s="3687"/>
      <c r="C45" s="3688"/>
      <c r="D45" s="155" t="e">
        <f ca="1">ROUND(H101*F45,0)</f>
        <v>#REF!</v>
      </c>
      <c r="E45" s="156" t="s">
        <v>1327</v>
      </c>
      <c r="F45" s="157">
        <v>1</v>
      </c>
      <c r="G45" s="158" t="s">
        <v>1328</v>
      </c>
      <c r="H45" s="129"/>
      <c r="I45" s="129"/>
      <c r="J45" s="3606" t="s">
        <v>1329</v>
      </c>
      <c r="K45" s="3606"/>
      <c r="L45" s="3606"/>
      <c r="M45" s="3606"/>
      <c r="N45" s="3606"/>
      <c r="O45" s="3606"/>
    </row>
    <row r="46" spans="1:15" ht="14.25" customHeight="1">
      <c r="A46" s="3683" t="s">
        <v>1330</v>
      </c>
      <c r="B46" s="3684"/>
      <c r="C46" s="3684"/>
      <c r="D46" s="3684"/>
      <c r="E46" s="3684"/>
      <c r="F46" s="3684"/>
      <c r="G46" s="3685"/>
      <c r="H46" s="1806"/>
      <c r="I46" s="159"/>
      <c r="J46" s="2523">
        <v>1</v>
      </c>
      <c r="K46" s="3607" t="s">
        <v>1331</v>
      </c>
      <c r="L46" s="3607"/>
      <c r="M46" s="3608"/>
      <c r="N46" s="3608"/>
      <c r="O46" s="3608"/>
    </row>
    <row r="47" spans="1:15" ht="12" customHeight="1">
      <c r="A47" s="160" t="s">
        <v>1332</v>
      </c>
      <c r="B47" s="161"/>
      <c r="C47" s="162"/>
      <c r="D47" s="1087" t="s">
        <v>1333</v>
      </c>
      <c r="E47" s="302" t="s">
        <v>1334</v>
      </c>
      <c r="F47" s="163" t="s">
        <v>1335</v>
      </c>
      <c r="G47" s="2546" t="s">
        <v>1336</v>
      </c>
      <c r="H47" s="2547"/>
      <c r="I47" s="159"/>
      <c r="J47" s="2523">
        <v>2</v>
      </c>
      <c r="K47" s="3607" t="s">
        <v>1337</v>
      </c>
      <c r="L47" s="3607"/>
      <c r="M47" s="3609">
        <f>'数据-取费表'!B2</f>
        <v>38017</v>
      </c>
      <c r="N47" s="3609"/>
      <c r="O47" s="3609"/>
    </row>
    <row r="48" spans="1:15" ht="26.4">
      <c r="A48" s="3669" t="s">
        <v>1338</v>
      </c>
      <c r="B48" s="3670"/>
      <c r="C48" s="367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7" t="s">
        <v>1340</v>
      </c>
      <c r="L48" s="3607"/>
      <c r="M48" s="3610" t="e">
        <f ca="1">H101</f>
        <v>#REF!</v>
      </c>
      <c r="N48" s="3610"/>
      <c r="O48" s="3610"/>
    </row>
    <row r="49" spans="1:35" ht="25.5" customHeight="1">
      <c r="A49" s="2333" t="s">
        <v>1341</v>
      </c>
      <c r="B49" s="3655" t="s">
        <v>1342</v>
      </c>
      <c r="C49" s="3655"/>
      <c r="D49" s="1590">
        <v>0</v>
      </c>
      <c r="E49" s="324" t="s">
        <v>1343</v>
      </c>
      <c r="F49" s="2424" t="s">
        <v>28</v>
      </c>
      <c r="G49" s="3638"/>
      <c r="H49" s="2310" t="s">
        <v>2134</v>
      </c>
      <c r="I49" s="2311"/>
      <c r="J49" s="2523">
        <v>4</v>
      </c>
      <c r="K49" s="3607" t="str">
        <f>IF(项目基本情况!E8="房地产抵押价值","房地产抵押价值","抵押担保权已注销时的房地产抵押价值")</f>
        <v>抵押担保权已注销时的房地产抵押价值</v>
      </c>
      <c r="L49" s="3607"/>
      <c r="M49" s="3610" t="str">
        <f>IF(项目基本情况!E8="房地产抵押价值",H107,H109)</f>
        <v>——</v>
      </c>
      <c r="N49" s="3610"/>
      <c r="O49" s="3610"/>
    </row>
    <row r="50" spans="1:35" ht="25.5" customHeight="1">
      <c r="A50" s="2551"/>
      <c r="B50" s="3655" t="s">
        <v>1344</v>
      </c>
      <c r="C50" s="3655"/>
      <c r="D50" s="2552"/>
      <c r="E50" s="332"/>
      <c r="F50" s="2424"/>
      <c r="G50" s="3639"/>
      <c r="H50" s="2312" t="s">
        <v>2135</v>
      </c>
      <c r="I50" s="2311"/>
      <c r="J50" s="3606" t="s">
        <v>1345</v>
      </c>
      <c r="K50" s="3606"/>
      <c r="L50" s="3606"/>
      <c r="M50" s="3606"/>
      <c r="N50" s="3606"/>
      <c r="O50" s="3606"/>
    </row>
    <row r="51" spans="1:35" ht="20.399999999999999" customHeight="1">
      <c r="A51" s="2553"/>
      <c r="B51" s="3655" t="s">
        <v>1346</v>
      </c>
      <c r="C51" s="3655"/>
      <c r="D51" s="1087"/>
      <c r="E51" s="327"/>
      <c r="F51" s="2424"/>
      <c r="G51" s="3640"/>
      <c r="H51" s="2312" t="s">
        <v>2136</v>
      </c>
      <c r="I51" s="2311"/>
      <c r="J51" s="2524" t="s">
        <v>1347</v>
      </c>
      <c r="K51" s="3607" t="s">
        <v>1348</v>
      </c>
      <c r="L51" s="3607"/>
      <c r="M51" s="2524" t="s">
        <v>1349</v>
      </c>
      <c r="N51" s="2524" t="s">
        <v>1350</v>
      </c>
      <c r="O51" s="2524" t="s">
        <v>1351</v>
      </c>
    </row>
    <row r="52" spans="1:35" ht="24" customHeight="1">
      <c r="A52" s="2335" t="s">
        <v>1352</v>
      </c>
      <c r="B52" s="3655" t="s">
        <v>1353</v>
      </c>
      <c r="C52" s="3655"/>
      <c r="D52" s="1087" t="e">
        <f ca="1">ROUND(D45*'数据-取费表'!B41/(1+'数据-取费表'!C42),0)</f>
        <v>#REF!</v>
      </c>
      <c r="E52" s="2334" t="s">
        <v>1354</v>
      </c>
      <c r="F52" s="2554">
        <f>'数据-取费表'!B41</f>
        <v>5.6000000000000001E-2</v>
      </c>
      <c r="G52" s="2555"/>
      <c r="H52" s="2544"/>
      <c r="I52" s="1807"/>
      <c r="J52" s="2523">
        <v>1</v>
      </c>
      <c r="K52" s="3632" t="s">
        <v>1355</v>
      </c>
      <c r="L52" s="3632"/>
      <c r="M52" s="2525" t="b">
        <f>D48</f>
        <v>0</v>
      </c>
      <c r="N52" s="2523" t="str">
        <f>E48</f>
        <v>销售额×税（费）率</v>
      </c>
      <c r="O52" s="2526">
        <f>F48</f>
        <v>5.6000000000000001E-2</v>
      </c>
    </row>
    <row r="53" spans="1:35" ht="12" customHeight="1">
      <c r="A53" s="2335" t="s">
        <v>1356</v>
      </c>
      <c r="B53" s="3656" t="s">
        <v>2291</v>
      </c>
      <c r="C53" s="3657"/>
      <c r="D53" s="1087" t="e">
        <f ca="1">ROUND(D45*'数据-取费表'!B41/(1+'数据-取费表'!C42),0)</f>
        <v>#REF!</v>
      </c>
      <c r="E53" s="2334" t="s">
        <v>1354</v>
      </c>
      <c r="F53" s="2554">
        <f>'数据-取费表'!B41</f>
        <v>5.6000000000000001E-2</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656" t="s">
        <v>2292</v>
      </c>
      <c r="C54" s="3657"/>
      <c r="D54" s="1087" t="e">
        <f ca="1">C68</f>
        <v>#REF!</v>
      </c>
      <c r="E54" s="327" t="s">
        <v>1359</v>
      </c>
      <c r="F54" s="2554">
        <f>'数据-取费表'!B41</f>
        <v>5.6000000000000001E-2</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692" t="s">
        <v>1361</v>
      </c>
      <c r="B55" s="3670"/>
      <c r="C55" s="3670"/>
      <c r="D55" s="2324" t="e">
        <f ca="1">IF(H55="个人住宅",0,ROUND(D45*I55,0))</f>
        <v>#REF!</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t="e">
        <f ca="1">D59</f>
        <v>#REF!</v>
      </c>
      <c r="N55" s="2040" t="str">
        <f>E59</f>
        <v>差额计税</v>
      </c>
      <c r="O55" s="2529">
        <f>F59</f>
        <v>0.01</v>
      </c>
    </row>
    <row r="56" spans="1:35" ht="25.2">
      <c r="A56" s="3692" t="s">
        <v>1363</v>
      </c>
      <c r="B56" s="3670"/>
      <c r="C56" s="3670"/>
      <c r="D56" s="2324" t="e">
        <f ca="1">IF(H56="个人住宅",D57,D58)</f>
        <v>#REF!</v>
      </c>
      <c r="E56" s="2334" t="s">
        <v>1364</v>
      </c>
      <c r="F56" s="2554" t="str">
        <f>IF(H56="正常",F58,"免征")</f>
        <v>免征</v>
      </c>
      <c r="G56" s="2557" t="s">
        <v>1365</v>
      </c>
      <c r="H56" s="2558"/>
      <c r="I56" s="1808"/>
      <c r="J56" s="2523" t="str">
        <f>IF(项目基本情况!K6="上海银行",IF(J55="",4,J55+1),"")</f>
        <v/>
      </c>
      <c r="K56" s="3613" t="str">
        <f>IF(项目基本情况!K6="上海银行","其他处置费用","")</f>
        <v/>
      </c>
      <c r="L56" s="3614"/>
      <c r="M56" s="2525" t="str">
        <f>IF(项目基本情况!K6="上海银行",M69,"")</f>
        <v/>
      </c>
      <c r="N56" s="3613" t="str">
        <f>IF(项目基本情况!K6="上海银行","包含处置中涉及的律师、诉讼、拍卖、评估等费用","")</f>
        <v/>
      </c>
      <c r="O56" s="3616"/>
    </row>
    <row r="57" spans="1:35" ht="13.2">
      <c r="A57" s="2335" t="s">
        <v>1341</v>
      </c>
      <c r="B57" s="3656" t="s">
        <v>1366</v>
      </c>
      <c r="C57" s="3657"/>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5.2">
      <c r="A58" s="2335" t="s">
        <v>1352</v>
      </c>
      <c r="B58" s="3656" t="s">
        <v>1369</v>
      </c>
      <c r="C58" s="3655"/>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6" thickBot="1">
      <c r="A59" s="3636" t="s">
        <v>1371</v>
      </c>
      <c r="B59" s="3637"/>
      <c r="C59" s="363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4">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5"/>
      <c r="K60" s="3632"/>
      <c r="L60" s="2530" t="s">
        <v>1370</v>
      </c>
      <c r="M60" s="2534"/>
      <c r="N60" s="2535" t="e">
        <f ca="1">NUMBERSTRING(INT(N59*10000),2)&amp;"元整"</f>
        <v>#VALUE!</v>
      </c>
      <c r="O60" s="2536"/>
    </row>
    <row r="61" spans="1:35" ht="13.8" thickBot="1">
      <c r="A61" s="3691" t="s">
        <v>1373</v>
      </c>
      <c r="B61" s="3691"/>
      <c r="C61" s="3691"/>
      <c r="D61" s="3691"/>
      <c r="E61" s="3691"/>
      <c r="F61" s="1808"/>
      <c r="G61" s="1808"/>
      <c r="H61" s="1810"/>
      <c r="I61" s="129"/>
      <c r="J61" s="2523">
        <f>J59+1</f>
        <v>7</v>
      </c>
      <c r="K61" s="3632" t="s">
        <v>1374</v>
      </c>
      <c r="L61" s="3632"/>
      <c r="M61" s="2540"/>
      <c r="N61" s="2541" t="e">
        <f ca="1">ROUND(N59*10000/'数据-汇总表'!E3,0)</f>
        <v>#VALUE!</v>
      </c>
      <c r="O61" s="2542"/>
    </row>
    <row r="62" spans="1:35" ht="13.2">
      <c r="A62" s="3651" t="s">
        <v>1375</v>
      </c>
      <c r="B62" s="365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1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1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1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1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1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1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1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9" t="s">
        <v>1394</v>
      </c>
      <c r="B70" s="3660"/>
      <c r="C70" s="3660"/>
      <c r="D70" s="3660"/>
      <c r="E70" s="3660"/>
      <c r="F70" s="3660"/>
      <c r="G70" s="3660"/>
      <c r="H70" s="366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51" t="s">
        <v>1375</v>
      </c>
      <c r="B71" s="365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6" t="s">
        <v>1402</v>
      </c>
      <c r="F76" s="3655"/>
      <c r="G76" s="3655"/>
      <c r="H76" s="365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48" t="s">
        <v>1406</v>
      </c>
      <c r="F78" s="3649"/>
      <c r="G78" s="3649"/>
      <c r="H78" s="365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9" t="s">
        <v>1410</v>
      </c>
      <c r="B83" s="3660"/>
      <c r="C83" s="3660"/>
      <c r="D83" s="3660"/>
      <c r="E83" s="3660"/>
      <c r="F83" s="3660"/>
      <c r="G83" s="3660"/>
      <c r="H83" s="366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51" t="s">
        <v>1375</v>
      </c>
      <c r="B84" s="365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17" t="s">
        <v>2129</v>
      </c>
      <c r="H90" s="361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48" t="s">
        <v>1419</v>
      </c>
      <c r="F91" s="3649"/>
      <c r="G91" s="36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48" t="s">
        <v>1422</v>
      </c>
      <c r="F92" s="3649"/>
      <c r="G92" s="3649"/>
      <c r="H92" s="365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48" t="s">
        <v>1406</v>
      </c>
      <c r="F93" s="3649"/>
      <c r="G93" s="3649"/>
      <c r="H93" s="365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93" t="s">
        <v>1426</v>
      </c>
      <c r="F94" s="3694"/>
      <c r="G94" s="3694"/>
      <c r="H94" s="36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8" t="s">
        <v>1428</v>
      </c>
      <c r="B100" s="3599"/>
      <c r="C100" s="3599"/>
      <c r="D100" s="3633"/>
      <c r="E100" s="3599" t="s">
        <v>1429</v>
      </c>
      <c r="F100" s="3599"/>
      <c r="G100" s="3599"/>
      <c r="H100" s="3633"/>
      <c r="I100" s="129"/>
    </row>
    <row r="101" spans="1:35" ht="18.75" customHeight="1">
      <c r="A101" s="3641" t="s">
        <v>1430</v>
      </c>
      <c r="B101" s="3642"/>
      <c r="C101" s="2585" t="str">
        <f>C4</f>
        <v>比较法-住宅</v>
      </c>
      <c r="D101" s="2586" t="str">
        <f>D4</f>
        <v>成本法 (元)</v>
      </c>
      <c r="E101" s="3611" t="s">
        <v>1431</v>
      </c>
      <c r="F101" s="3612"/>
      <c r="G101" s="1827" t="s">
        <v>1432</v>
      </c>
      <c r="H101" s="2595" t="e">
        <f ca="1">H118</f>
        <v>#REF!</v>
      </c>
      <c r="I101" s="129"/>
    </row>
    <row r="102" spans="1:35" ht="18.75" customHeight="1">
      <c r="A102" s="3643" t="s">
        <v>1433</v>
      </c>
      <c r="B102" s="2584" t="s">
        <v>1432</v>
      </c>
      <c r="C102" s="2585">
        <f ca="1">IF(D32="楼面单价",ROUND(C19,0),C19)</f>
        <v>37.522599999999997</v>
      </c>
      <c r="D102" s="2586">
        <f ca="1">IF(D32="楼面单价",ROUND(D19,0),D19)</f>
        <v>47.389600000000002</v>
      </c>
      <c r="E102" s="3611"/>
      <c r="F102" s="3612"/>
      <c r="G102" s="1827" t="s">
        <v>1434</v>
      </c>
      <c r="H102" s="2555" t="e">
        <f ca="1">I118</f>
        <v>#REF!</v>
      </c>
      <c r="I102" s="129"/>
    </row>
    <row r="103" spans="1:35" ht="42.75" customHeight="1">
      <c r="A103" s="3643"/>
      <c r="B103" s="2584" t="s">
        <v>1434</v>
      </c>
      <c r="C103" s="2587">
        <f ca="1">C20</f>
        <v>3999</v>
      </c>
      <c r="D103" s="2588">
        <f ca="1">D20</f>
        <v>5051</v>
      </c>
      <c r="E103" s="3604" t="s">
        <v>1435</v>
      </c>
      <c r="F103" s="3605"/>
      <c r="G103" s="1828" t="s">
        <v>1436</v>
      </c>
      <c r="H103" s="2595">
        <f>IF(D36="正常操作",H104+H105+H106,H105+H106)</f>
        <v>0</v>
      </c>
      <c r="I103" s="129"/>
    </row>
    <row r="104" spans="1:35" ht="18.75" customHeight="1">
      <c r="A104" s="364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5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4" t="str">
        <f>IF(项目基本情况!E8="已注销","——","3.房地产抵押价值")</f>
        <v>3.房地产抵押价值</v>
      </c>
      <c r="F107" s="3612"/>
      <c r="G107" s="1827" t="s">
        <v>1432</v>
      </c>
      <c r="H107" s="2595" t="e">
        <f ca="1">IF(E107="——","——",H101-H103)</f>
        <v>#REF!</v>
      </c>
      <c r="I107" s="129"/>
    </row>
    <row r="108" spans="1:35" ht="18.75" customHeight="1">
      <c r="A108" s="129"/>
      <c r="B108" s="129"/>
      <c r="C108" s="129"/>
      <c r="D108" s="129"/>
      <c r="E108" s="3644"/>
      <c r="F108" s="3612"/>
      <c r="G108" s="1827" t="s">
        <v>1434</v>
      </c>
      <c r="H108" s="2555">
        <f ca="1">IF(H107=H101,H102,ROUND(H107*10000/'数据-汇总表'!E3,0))</f>
        <v>0</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12"/>
      <c r="G109" s="1827" t="s">
        <v>1432</v>
      </c>
      <c r="H109" s="2598" t="str">
        <f>IF(E109="——","——",H101-H105-H106)</f>
        <v>——</v>
      </c>
      <c r="I109" s="129"/>
    </row>
    <row r="110" spans="1:35" ht="18.75" customHeight="1">
      <c r="A110" s="129"/>
      <c r="B110" s="129"/>
      <c r="C110" s="129"/>
      <c r="D110" s="129"/>
      <c r="E110" s="3644"/>
      <c r="F110" s="3612"/>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31"/>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54" t="s">
        <v>1440</v>
      </c>
      <c r="F113" s="3654"/>
      <c r="G113" s="3654"/>
      <c r="H113" s="3654"/>
      <c r="I113" s="129"/>
    </row>
    <row r="114" spans="1:27" ht="3.75" customHeight="1">
      <c r="A114" s="1747"/>
      <c r="B114" s="1747"/>
      <c r="C114" s="1747"/>
      <c r="D114" s="1747"/>
      <c r="E114" s="1809"/>
      <c r="F114" s="1809"/>
      <c r="G114" s="1809"/>
      <c r="H114" s="1809"/>
      <c r="I114" s="1747"/>
    </row>
    <row r="115" spans="1:27" ht="18.75" customHeight="1">
      <c r="A115" s="3662" t="s">
        <v>1442</v>
      </c>
      <c r="B115" s="3663"/>
      <c r="C115" s="3663"/>
      <c r="D115" s="3663"/>
      <c r="E115" s="3663"/>
      <c r="F115" s="3663"/>
      <c r="G115" s="3663"/>
      <c r="H115" s="3663"/>
      <c r="I115" s="3664"/>
    </row>
    <row r="116" spans="1:27" ht="27" customHeight="1">
      <c r="A116" s="3619" t="s">
        <v>1443</v>
      </c>
      <c r="B116" s="3623" t="s">
        <v>1444</v>
      </c>
      <c r="C116" s="3623" t="s">
        <v>1445</v>
      </c>
      <c r="D116" s="3629" t="s">
        <v>1446</v>
      </c>
      <c r="E116" s="3630"/>
      <c r="F116" s="3661" t="s">
        <v>1447</v>
      </c>
      <c r="G116" s="3661"/>
      <c r="H116" s="3619" t="s">
        <v>1448</v>
      </c>
      <c r="I116" s="3619"/>
    </row>
    <row r="117" spans="1:27" ht="18.75" customHeight="1">
      <c r="A117" s="3619"/>
      <c r="B117" s="3624"/>
      <c r="C117" s="362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93.83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19" t="s">
        <v>1452</v>
      </c>
      <c r="B119" s="3619"/>
      <c r="C119" s="3619"/>
      <c r="D119" s="3625" t="e">
        <f ca="1">NUMBERSTRING(INT(D118*10000),2)&amp;"元整"</f>
        <v>#REF!</v>
      </c>
      <c r="E119" s="3626"/>
      <c r="F119" s="3625" t="e">
        <f ca="1">NUMBERSTRING(INT(F118*10000),2)&amp;"元整"</f>
        <v>#REF!</v>
      </c>
      <c r="G119" s="3626"/>
      <c r="H119" s="3625" t="e">
        <f ca="1">NUMBERSTRING(INT(H118*10000),2)&amp;"元整"</f>
        <v>#REF!</v>
      </c>
      <c r="I119" s="3626"/>
    </row>
    <row r="120" spans="1:27" ht="18.75" customHeight="1">
      <c r="A120" s="3620" t="str">
        <f>IF(项目基本情况!B9="房地产市场价值","",MID(E103,3,LEN(E103)-2))</f>
        <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5" t="s">
        <v>1452</v>
      </c>
      <c r="B121" s="3627"/>
      <c r="C121" s="3626"/>
      <c r="D121" s="3625" t="str">
        <f>IF(D120=0,"零元整",NUMBERSTRING(INT(D120*10000),2)&amp;"元整")</f>
        <v>零元整</v>
      </c>
      <c r="E121" s="3627"/>
      <c r="F121" s="3627"/>
      <c r="G121" s="3627"/>
      <c r="H121" s="3627"/>
      <c r="I121" s="3626"/>
      <c r="AA121" s="725"/>
    </row>
    <row r="122" spans="1:27" ht="18.75" customHeight="1">
      <c r="A122" s="3631" t="str">
        <f>IF(项目基本情况!B9="房地产市场价值","",MID(E107,3,LEN(E107)-2))</f>
        <v/>
      </c>
      <c r="B122" s="3631"/>
      <c r="C122" s="3631"/>
      <c r="D122" s="3620" t="e">
        <f ca="1">H107</f>
        <v>#REF!</v>
      </c>
      <c r="E122" s="3621"/>
      <c r="F122" s="3621"/>
      <c r="G122" s="3621"/>
      <c r="H122" s="3621"/>
      <c r="I122" s="3622"/>
      <c r="AA122" s="725"/>
    </row>
    <row r="123" spans="1:27" ht="18.75" customHeight="1">
      <c r="A123" s="3619" t="s">
        <v>1452</v>
      </c>
      <c r="B123" s="3619"/>
      <c r="C123" s="3619"/>
      <c r="D123" s="3625" t="e">
        <f ca="1">NUMBERSTRING(INT(D122*10000),2)&amp;"元整"</f>
        <v>#REF!</v>
      </c>
      <c r="E123" s="3627"/>
      <c r="F123" s="3627"/>
      <c r="G123" s="3627"/>
      <c r="H123" s="3627"/>
      <c r="I123" s="3626"/>
      <c r="AA123" s="725"/>
    </row>
    <row r="124" spans="1:27" ht="18.75" customHeight="1">
      <c r="A124" s="3631" t="str">
        <f>IF(项目基本情况!B9="房地产市场价值","",MID(E109,3,LEN(E109)-2))</f>
        <v/>
      </c>
      <c r="B124" s="3631"/>
      <c r="C124" s="3631"/>
      <c r="D124" s="3620" t="str">
        <f>H109</f>
        <v>——</v>
      </c>
      <c r="E124" s="3621"/>
      <c r="F124" s="3621"/>
      <c r="G124" s="3621"/>
      <c r="H124" s="3621"/>
      <c r="I124" s="3622"/>
      <c r="AA124" s="725"/>
    </row>
    <row r="125" spans="1:27" ht="18.75" customHeight="1">
      <c r="A125" s="3619" t="s">
        <v>1452</v>
      </c>
      <c r="B125" s="3619"/>
      <c r="C125" s="3619"/>
      <c r="D125" s="3625" t="e">
        <f>NUMBERSTRING(INT(D124*10000),2)&amp;"元整"</f>
        <v>#VALUE!</v>
      </c>
      <c r="E125" s="3627"/>
      <c r="F125" s="3627"/>
      <c r="G125" s="3627"/>
      <c r="H125" s="3627"/>
      <c r="I125" s="3626"/>
      <c r="AA125" s="725"/>
    </row>
    <row r="126" spans="1:27" ht="18.75" customHeight="1">
      <c r="A126" s="3631" t="str">
        <f>IF(项目基本情况!B9="房地产市场价值","",MID(E111,3,LEN(E111)-2))</f>
        <v/>
      </c>
      <c r="B126" s="3631"/>
      <c r="C126" s="3631"/>
      <c r="D126" s="3620" t="str">
        <f>H111</f>
        <v>——</v>
      </c>
      <c r="E126" s="3621"/>
      <c r="F126" s="3621"/>
      <c r="G126" s="3621"/>
      <c r="H126" s="3621"/>
      <c r="I126" s="3622"/>
      <c r="AA126" s="725"/>
    </row>
    <row r="127" spans="1:27" ht="18.75" customHeight="1">
      <c r="A127" s="3619" t="s">
        <v>1452</v>
      </c>
      <c r="B127" s="3619"/>
      <c r="C127" s="3619"/>
      <c r="D127" s="3625" t="e">
        <f>NUMBERSTRING(INT(D126*10000),2)&amp;"元整"</f>
        <v>#VALUE!</v>
      </c>
      <c r="E127" s="3627"/>
      <c r="F127" s="3627"/>
      <c r="G127" s="3627"/>
      <c r="H127" s="3627"/>
      <c r="I127" s="3626"/>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2025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93.83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93.83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5.3099999999999994E-2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80" t="s">
        <v>353</v>
      </c>
      <c r="B37" s="215" t="s">
        <v>1531</v>
      </c>
      <c r="C37" s="249">
        <f ca="1">ROUND(E37*D37*F34/10000,0)</f>
        <v>2</v>
      </c>
      <c r="D37" s="217">
        <f ca="1">D19</f>
        <v>93.83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98" t="s">
        <v>1544</v>
      </c>
    </row>
    <row r="43" spans="1:7" ht="13.5" customHeight="1">
      <c r="A43" s="780" t="s">
        <v>347</v>
      </c>
      <c r="B43" s="215" t="s">
        <v>1545</v>
      </c>
      <c r="C43" s="238">
        <f ca="1">ROUND(IF('数据-取费表'!B22&lt;=1,C39*F22*'数据-取费表'!B21/2,C39*(POWER((1+F22),'数据-取费表'!B21/2)-1)),0)</f>
        <v>0</v>
      </c>
      <c r="D43" s="238"/>
      <c r="E43" s="238"/>
      <c r="F43" s="239"/>
      <c r="G43" s="3699"/>
    </row>
    <row r="44" spans="1:7" ht="13.5" customHeight="1">
      <c r="A44" s="780" t="s">
        <v>348</v>
      </c>
      <c r="B44" s="215" t="s">
        <v>1546</v>
      </c>
      <c r="C44" s="238">
        <f ca="1">ROUND(IF('数据-取费表'!B22&lt;=1,C40*F22*'数据-取费表'!B21/2,C40*(POWER((1+F22),'数据-取费表'!B21/2)-1)),4)</f>
        <v>2.9999999999999997E-4</v>
      </c>
      <c r="D44" s="238"/>
      <c r="E44" s="238"/>
      <c r="F44" s="239"/>
      <c r="G44" s="3700"/>
    </row>
    <row r="45" spans="1:7" s="214" customFormat="1" ht="13.5" customHeight="1">
      <c r="A45" s="255" t="s">
        <v>1547</v>
      </c>
      <c r="B45" s="244" t="s">
        <v>1513</v>
      </c>
      <c r="C45" s="245">
        <f ca="1">C46</f>
        <v>1</v>
      </c>
      <c r="D45" s="235">
        <f ca="1">C47</f>
        <v>8.0000000000000004E-4</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17</v>
      </c>
      <c r="D51" s="232"/>
      <c r="E51" s="232"/>
      <c r="F51" s="264"/>
      <c r="G51" s="234" t="s">
        <v>1560</v>
      </c>
    </row>
    <row r="52" spans="1:7" s="208" customFormat="1" ht="16.8" thickBot="1">
      <c r="A52" s="265" t="s">
        <v>1561</v>
      </c>
      <c r="B52" s="266"/>
      <c r="C52" s="267">
        <f ca="1">C31+C51</f>
        <v>19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5" t="str">
        <f>项目基本情况!B1</f>
        <v>北京市房地产市场价值预评估</v>
      </c>
      <c r="C37" s="3515"/>
      <c r="D37" s="3515"/>
      <c r="E37" s="3515"/>
      <c r="F37" s="3515"/>
      <c r="G37" s="3515"/>
      <c r="H37" s="3515"/>
      <c r="I37" s="351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47.389600000000002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228579</v>
      </c>
      <c r="D5" s="211" t="s">
        <v>1469</v>
      </c>
      <c r="E5" s="212" t="s">
        <v>1470</v>
      </c>
      <c r="F5" s="212" t="s">
        <v>1471</v>
      </c>
      <c r="G5" s="213"/>
    </row>
    <row r="6" spans="1:8" s="214" customFormat="1" ht="13.5" customHeight="1">
      <c r="A6" s="778" t="s">
        <v>1472</v>
      </c>
      <c r="B6" s="215" t="s">
        <v>1473</v>
      </c>
      <c r="C6" s="216">
        <f>'[2]2002基准地价'!$E$18</f>
        <v>221814</v>
      </c>
      <c r="D6" s="217"/>
      <c r="E6" s="218"/>
      <c r="F6" s="218"/>
      <c r="G6" s="219"/>
    </row>
    <row r="7" spans="1:8" s="214" customFormat="1" ht="13.5" customHeight="1">
      <c r="A7" s="778" t="s">
        <v>1474</v>
      </c>
      <c r="B7" s="215" t="s">
        <v>1475</v>
      </c>
      <c r="C7" s="220">
        <f>ROUND(C6*F7,0)</f>
        <v>6765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15013</v>
      </c>
      <c r="D9" s="845">
        <f ca="1">IF(B1="",'数据-汇总表'!E5,IF(INDIRECT("'数据-取费表'!c"&amp;$G$1)="住宅",INDIRECT("'数据-取费表'!k"&amp;$G$1),0))</f>
        <v>93.83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93.83</v>
      </c>
      <c r="E19" s="211">
        <f>'数据-取费表'!B31</f>
        <v>200</v>
      </c>
      <c r="F19" s="231"/>
      <c r="G19" s="1856" t="s">
        <v>3421</v>
      </c>
    </row>
    <row r="20" spans="1:7" s="214" customFormat="1" ht="13.5" customHeight="1">
      <c r="A20" s="255" t="s">
        <v>1574</v>
      </c>
      <c r="B20" s="210" t="s">
        <v>1575</v>
      </c>
      <c r="C20" s="232">
        <f>ROUND((C5+C19)*F20,0)</f>
        <v>2286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12199</v>
      </c>
      <c r="D22" s="235">
        <f ca="1">C26</f>
        <v>2.9999999999999997E-4</v>
      </c>
      <c r="E22" s="236" t="s">
        <v>1579</v>
      </c>
      <c r="F22" s="237">
        <f ca="1">'数据-取费表'!B40</f>
        <v>5.3099999999999994E-2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12138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18469</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18469</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280344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170066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140745</v>
      </c>
      <c r="D34" s="217"/>
      <c r="E34" s="220"/>
      <c r="F34" s="257"/>
      <c r="G34" s="219"/>
    </row>
    <row r="35" spans="1:7" ht="13.5" customHeight="1">
      <c r="A35" s="780" t="s">
        <v>351</v>
      </c>
      <c r="B35" s="215" t="s">
        <v>1527</v>
      </c>
      <c r="C35" s="220">
        <f ca="1">ROUND(C34*F35,0)</f>
        <v>4222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4222</v>
      </c>
      <c r="D36" s="220"/>
      <c r="E36" s="220"/>
      <c r="F36" s="259">
        <f>'数据-取费表'!B34</f>
        <v>0.03</v>
      </c>
      <c r="G36" s="260" t="s">
        <v>1530</v>
      </c>
    </row>
    <row r="37" spans="1:7" s="258" customFormat="1" ht="13.5" customHeight="1">
      <c r="A37" s="780" t="s">
        <v>353</v>
      </c>
      <c r="B37" s="215" t="s">
        <v>1531</v>
      </c>
      <c r="C37" s="249">
        <f ca="1">ROUND(E37*D37,0)</f>
        <v>18766</v>
      </c>
      <c r="D37" s="217">
        <f ca="1">D19</f>
        <v>93.83</v>
      </c>
      <c r="E37" s="249">
        <f>'数据-取费表'!B35</f>
        <v>200</v>
      </c>
      <c r="F37" s="259"/>
      <c r="G37" s="261"/>
    </row>
    <row r="38" spans="1:7" ht="13.5" customHeight="1">
      <c r="A38" s="780" t="s">
        <v>354</v>
      </c>
      <c r="B38" s="215" t="s">
        <v>1533</v>
      </c>
      <c r="C38" s="220">
        <f ca="1">ROUND(C34*F38,0)</f>
        <v>2111</v>
      </c>
      <c r="D38" s="220"/>
      <c r="E38" s="220"/>
      <c r="F38" s="259">
        <f>'数据-取费表'!B36</f>
        <v>1.4999999999999999E-2</v>
      </c>
      <c r="G38" s="219" t="s">
        <v>1528</v>
      </c>
    </row>
    <row r="39" spans="1:7" s="214" customFormat="1" ht="13.5" customHeight="1">
      <c r="A39" s="255" t="s">
        <v>1534</v>
      </c>
      <c r="B39" s="210" t="s">
        <v>1535</v>
      </c>
      <c r="C39" s="232">
        <f ca="1">ROUND(C33*F20,0)</f>
        <v>1701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4560</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4515</v>
      </c>
      <c r="D42" s="238"/>
      <c r="E42" s="238"/>
      <c r="F42" s="239"/>
      <c r="G42" s="3698" t="s">
        <v>1591</v>
      </c>
    </row>
    <row r="43" spans="1:7" ht="13.5" customHeight="1">
      <c r="A43" s="780" t="s">
        <v>347</v>
      </c>
      <c r="B43" s="215" t="s">
        <v>1545</v>
      </c>
      <c r="C43" s="238">
        <f ca="1">ROUND(IF('数据-取费表'!B22&lt;=1,C39*F22*'数据-取费表'!B20/2,C39*(POWER((1+F22),'数据-取费表'!B20/2)-1)),0)</f>
        <v>45</v>
      </c>
      <c r="D43" s="238"/>
      <c r="E43" s="238"/>
      <c r="F43" s="239"/>
      <c r="G43" s="3699"/>
    </row>
    <row r="44" spans="1:7" ht="13.5" customHeight="1">
      <c r="A44" s="780" t="s">
        <v>348</v>
      </c>
      <c r="B44" s="215" t="s">
        <v>1546</v>
      </c>
      <c r="C44" s="238">
        <f ca="1">ROUND(IF('数据-取费表'!B22&lt;=1,C40*F22*'数据-取费表'!B20/2,C40*(POWER((1+F22),'数据-取费表'!B20/2)-1)),4)</f>
        <v>2.9999999999999997E-4</v>
      </c>
      <c r="D44" s="238"/>
      <c r="E44" s="238"/>
      <c r="F44" s="239"/>
      <c r="G44" s="3700"/>
    </row>
    <row r="45" spans="1:7" s="214" customFormat="1" ht="13.5" customHeight="1">
      <c r="A45" s="255" t="s">
        <v>1547</v>
      </c>
      <c r="B45" s="244" t="s">
        <v>1513</v>
      </c>
      <c r="C45" s="245">
        <f ca="1">C46</f>
        <v>13741</v>
      </c>
      <c r="D45" s="235">
        <f ca="1">C47</f>
        <v>8.0000000000000004E-4</v>
      </c>
      <c r="E45" s="236" t="s">
        <v>1539</v>
      </c>
      <c r="F45" s="246">
        <f ca="1">F27</f>
        <v>0.08</v>
      </c>
      <c r="G45" s="247" t="s">
        <v>1548</v>
      </c>
    </row>
    <row r="46" spans="1:7" s="214" customFormat="1" ht="13.5" customHeight="1">
      <c r="A46" s="780" t="s">
        <v>346</v>
      </c>
      <c r="B46" s="248" t="s">
        <v>1549</v>
      </c>
      <c r="C46" s="249">
        <f ca="1">ROUND((C33+C39)*F27,0)</f>
        <v>13741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203739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193552</v>
      </c>
      <c r="D51" s="232"/>
      <c r="E51" s="232"/>
      <c r="F51" s="264"/>
      <c r="G51" s="234" t="s">
        <v>1560</v>
      </c>
    </row>
    <row r="52" spans="1:7" s="208" customFormat="1" ht="16.8" thickBot="1">
      <c r="A52" s="265" t="s">
        <v>1561</v>
      </c>
      <c r="B52" s="266"/>
      <c r="C52" s="267">
        <f ca="1">C31+C51</f>
        <v>473896</v>
      </c>
      <c r="D52" s="266"/>
      <c r="E52" s="266"/>
      <c r="F52" s="266"/>
      <c r="G52" s="268"/>
    </row>
    <row r="55" spans="1:7" ht="15">
      <c r="B55" s="270" t="s">
        <v>1562</v>
      </c>
      <c r="C55" s="271"/>
    </row>
    <row r="56" spans="1:7">
      <c r="B56" s="273" t="s">
        <v>802</v>
      </c>
      <c r="C56" s="275">
        <f ca="1">1-C57</f>
        <v>0.59200000000000008</v>
      </c>
    </row>
    <row r="57" spans="1:7">
      <c r="B57" s="273" t="s">
        <v>803</v>
      </c>
      <c r="C57" s="274">
        <f ca="1">ROUND(C51/C52,3)</f>
        <v>0.40799999999999997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93.83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93.83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5.3099999999999994E-2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3" t="s">
        <v>694</v>
      </c>
      <c r="C6" s="1074">
        <f ca="1">ROUND(F6*F8*F7*(1-F9)/10000,0)</f>
        <v>0</v>
      </c>
      <c r="D6" s="155" t="s">
        <v>2109</v>
      </c>
      <c r="E6" s="302" t="s">
        <v>696</v>
      </c>
      <c r="F6" s="303">
        <f ca="1">INDIRECT("'数据-取费表'!u"&amp;$G$1)</f>
        <v>0</v>
      </c>
      <c r="G6" s="1384"/>
      <c r="H6" s="1069" t="s">
        <v>398</v>
      </c>
      <c r="I6" s="3703" t="s">
        <v>694</v>
      </c>
      <c r="J6" s="301">
        <f ca="1">ROUND(M6*M8*M7*(1-M9)/10000,0)</f>
        <v>0</v>
      </c>
      <c r="K6" s="155" t="s">
        <v>2108</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0</v>
      </c>
      <c r="G7" s="1384"/>
      <c r="H7" s="304"/>
      <c r="I7" s="3704"/>
      <c r="J7" s="306"/>
      <c r="K7" s="307"/>
      <c r="L7" s="302" t="s">
        <v>697</v>
      </c>
      <c r="M7" s="303">
        <f ca="1">F7</f>
        <v>0</v>
      </c>
    </row>
    <row r="8" spans="1:37" ht="18" customHeight="1">
      <c r="A8" s="304"/>
      <c r="B8" s="3704"/>
      <c r="C8" s="306"/>
      <c r="D8" s="307"/>
      <c r="E8" s="302" t="s">
        <v>698</v>
      </c>
      <c r="F8" s="303">
        <f ca="1">INDIRECT("'数据-取费表'!ai"&amp;$G$1)</f>
        <v>0</v>
      </c>
      <c r="G8" s="1384"/>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4"/>
      <c r="H9" s="304"/>
      <c r="I9" s="370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1.9799999999999998E-2</v>
      </c>
      <c r="G11" s="1384"/>
      <c r="H11" s="1077"/>
      <c r="I11" s="1367" t="s">
        <v>679</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1" t="s">
        <v>837</v>
      </c>
      <c r="L53" s="370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3" t="s">
        <v>694</v>
      </c>
      <c r="C6" s="1074">
        <f ca="1">ROUND(F6*F8*F7*(1-F9),0)</f>
        <v>0</v>
      </c>
      <c r="D6" s="155" t="s">
        <v>2106</v>
      </c>
      <c r="E6" s="302" t="s">
        <v>696</v>
      </c>
      <c r="F6" s="303">
        <f ca="1">INDIRECT("'数据-取费表'!u"&amp;$G$1)</f>
        <v>0</v>
      </c>
      <c r="G6" s="1384"/>
      <c r="H6" s="1069" t="s">
        <v>398</v>
      </c>
      <c r="I6" s="3703" t="s">
        <v>694</v>
      </c>
      <c r="J6" s="301">
        <f ca="1">ROUND(M6*M8*M7*(1-M9),0)</f>
        <v>0</v>
      </c>
      <c r="K6" s="1376" t="s">
        <v>2107</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0</v>
      </c>
      <c r="G7" s="1384"/>
      <c r="H7" s="304"/>
      <c r="I7" s="3704"/>
      <c r="J7" s="306"/>
      <c r="K7" s="307"/>
      <c r="L7" s="302" t="s">
        <v>697</v>
      </c>
      <c r="M7" s="303">
        <f ca="1">F7</f>
        <v>0</v>
      </c>
    </row>
    <row r="8" spans="1:37" ht="18" customHeight="1">
      <c r="A8" s="304"/>
      <c r="B8" s="3704"/>
      <c r="C8" s="306"/>
      <c r="D8" s="307"/>
      <c r="E8" s="302" t="s">
        <v>698</v>
      </c>
      <c r="F8" s="303">
        <f ca="1">INDIRECT("'数据-取费表'!ai"&amp;$G$1)</f>
        <v>0</v>
      </c>
      <c r="G8" s="1384"/>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4"/>
      <c r="H9" s="304"/>
      <c r="I9" s="370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1.9799999999999998E-2</v>
      </c>
      <c r="G11" s="1384"/>
      <c r="H11" s="1077"/>
      <c r="I11" s="1367" t="s">
        <v>891</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1" t="s">
        <v>837</v>
      </c>
      <c r="L53" s="370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706" t="s">
        <v>2318</v>
      </c>
      <c r="K2" s="3707"/>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708" t="s">
        <v>2328</v>
      </c>
      <c r="K3" s="3709"/>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708" t="s">
        <v>2330</v>
      </c>
      <c r="K4" s="3709"/>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710" t="s">
        <v>2334</v>
      </c>
      <c r="B6" s="3711"/>
      <c r="C6" s="3712"/>
      <c r="D6" s="2870"/>
      <c r="E6" s="2871"/>
      <c r="F6" s="2872"/>
      <c r="G6" s="2873"/>
      <c r="H6" s="2848"/>
      <c r="I6" s="2849"/>
      <c r="J6" s="3713">
        <v>1</v>
      </c>
      <c r="K6" s="3714"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713"/>
      <c r="K7" s="3715"/>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717" t="s">
        <v>2348</v>
      </c>
      <c r="C8" s="3718"/>
      <c r="D8" s="2889" t="s">
        <v>2349</v>
      </c>
      <c r="E8" s="2890" t="s">
        <v>2350</v>
      </c>
      <c r="F8" s="2891" t="s">
        <v>2351</v>
      </c>
      <c r="G8" s="2892"/>
      <c r="H8" s="2848"/>
      <c r="I8" s="2849"/>
      <c r="J8" s="3713"/>
      <c r="K8" s="3715"/>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717" t="s">
        <v>2354</v>
      </c>
      <c r="C9" s="3718"/>
      <c r="D9" s="2889">
        <f>ROUND(D6*E9,0)</f>
        <v>0</v>
      </c>
      <c r="E9" s="2893"/>
      <c r="F9" s="2894" t="s">
        <v>2355</v>
      </c>
      <c r="G9" s="2873"/>
      <c r="H9" s="2848"/>
      <c r="I9" s="2849"/>
      <c r="J9" s="3713"/>
      <c r="K9" s="3715"/>
      <c r="L9" s="2883" t="s">
        <v>2356</v>
      </c>
      <c r="M9" s="2884"/>
      <c r="N9" s="2860"/>
      <c r="O9" s="2885"/>
      <c r="P9" s="2885"/>
      <c r="Q9" s="2886">
        <v>365</v>
      </c>
      <c r="R9" s="2887">
        <f t="shared" si="0"/>
        <v>0</v>
      </c>
      <c r="S9" s="2841"/>
      <c r="T9" s="2841"/>
      <c r="U9" s="2841"/>
      <c r="V9" s="2849"/>
    </row>
    <row r="10" spans="1:22" s="2853" customFormat="1" ht="13.2" customHeight="1">
      <c r="A10" s="2888">
        <v>2</v>
      </c>
      <c r="B10" s="3717" t="s">
        <v>2357</v>
      </c>
      <c r="C10" s="3718"/>
      <c r="D10" s="2889">
        <f>ROUND(D6*E10,0)</f>
        <v>0</v>
      </c>
      <c r="E10" s="2893"/>
      <c r="F10" s="2894" t="s">
        <v>2358</v>
      </c>
      <c r="G10" s="2873"/>
      <c r="H10" s="2848"/>
      <c r="I10" s="2849"/>
      <c r="J10" s="3713"/>
      <c r="K10" s="3715"/>
      <c r="L10" s="2883" t="s">
        <v>2359</v>
      </c>
      <c r="M10" s="2884"/>
      <c r="N10" s="2860"/>
      <c r="O10" s="2885"/>
      <c r="P10" s="2885"/>
      <c r="Q10" s="2886">
        <v>365</v>
      </c>
      <c r="R10" s="2887">
        <f t="shared" si="0"/>
        <v>0</v>
      </c>
      <c r="S10" s="2841"/>
      <c r="T10" s="2841"/>
      <c r="U10" s="2841"/>
      <c r="V10" s="2849"/>
    </row>
    <row r="11" spans="1:22" s="2853" customFormat="1" ht="13.2" customHeight="1">
      <c r="A11" s="2888">
        <v>3</v>
      </c>
      <c r="B11" s="3717" t="s">
        <v>2360</v>
      </c>
      <c r="C11" s="3718"/>
      <c r="D11" s="2889">
        <f>D12+D14+D15+D16</f>
        <v>0</v>
      </c>
      <c r="E11" s="2895" t="e">
        <f>D11/D6</f>
        <v>#DIV/0!</v>
      </c>
      <c r="F11" s="2891"/>
      <c r="G11" s="2892"/>
      <c r="H11" s="2848"/>
      <c r="I11" s="2849"/>
      <c r="J11" s="3713"/>
      <c r="K11" s="3715"/>
      <c r="L11" s="2883" t="s">
        <v>2361</v>
      </c>
      <c r="M11" s="2884"/>
      <c r="N11" s="2860"/>
      <c r="O11" s="2885"/>
      <c r="P11" s="2885"/>
      <c r="Q11" s="2886">
        <v>365</v>
      </c>
      <c r="R11" s="2887">
        <f t="shared" si="0"/>
        <v>0</v>
      </c>
      <c r="S11" s="2841"/>
      <c r="T11" s="2841"/>
      <c r="U11" s="2841"/>
      <c r="V11" s="2849"/>
    </row>
    <row r="12" spans="1:22" s="2853" customFormat="1" ht="13.2" customHeight="1">
      <c r="A12" s="2896" t="s">
        <v>2362</v>
      </c>
      <c r="B12" s="3719" t="s">
        <v>2363</v>
      </c>
      <c r="C12" s="3720"/>
      <c r="D12" s="2897">
        <f>ROUND(D13*1.2%*(1-30%),0)</f>
        <v>0</v>
      </c>
      <c r="E12" s="2898">
        <v>1.2E-2</v>
      </c>
      <c r="F12" s="2891" t="s">
        <v>2364</v>
      </c>
      <c r="G12" s="2892"/>
      <c r="H12" s="2848"/>
      <c r="I12" s="2849"/>
      <c r="J12" s="3713"/>
      <c r="K12" s="3715"/>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713"/>
      <c r="K13" s="3715"/>
      <c r="L13" s="2883" t="s">
        <v>2367</v>
      </c>
      <c r="M13" s="2884"/>
      <c r="N13" s="2860"/>
      <c r="O13" s="2885"/>
      <c r="P13" s="2885"/>
      <c r="Q13" s="2886">
        <v>365</v>
      </c>
      <c r="R13" s="2887">
        <f t="shared" si="0"/>
        <v>0</v>
      </c>
      <c r="S13" s="2841"/>
      <c r="T13" s="2841"/>
      <c r="U13" s="2841"/>
      <c r="V13" s="2849"/>
    </row>
    <row r="14" spans="1:22" s="2853" customFormat="1" ht="13.2" customHeight="1">
      <c r="A14" s="2896" t="s">
        <v>2368</v>
      </c>
      <c r="B14" s="3719" t="s">
        <v>2369</v>
      </c>
      <c r="C14" s="3720"/>
      <c r="D14" s="2897">
        <f>ROUND(E14*B5/10000,0)</f>
        <v>0</v>
      </c>
      <c r="E14" s="2886"/>
      <c r="F14" s="2891" t="s">
        <v>2370</v>
      </c>
      <c r="G14" s="2892"/>
      <c r="H14" s="2848"/>
      <c r="I14" s="2849"/>
      <c r="J14" s="3713"/>
      <c r="K14" s="3716"/>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719" t="s">
        <v>2373</v>
      </c>
      <c r="C15" s="3720"/>
      <c r="D15" s="2897">
        <f>ROUND(D6*E15,0)</f>
        <v>0</v>
      </c>
      <c r="E15" s="2898">
        <v>5.5E-2</v>
      </c>
      <c r="F15" s="2891" t="s">
        <v>2374</v>
      </c>
      <c r="G15" s="2873"/>
      <c r="H15" s="2848"/>
      <c r="I15" s="2849"/>
      <c r="J15" s="3713">
        <v>2</v>
      </c>
      <c r="K15" s="3714"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719" t="s">
        <v>2382</v>
      </c>
      <c r="C16" s="3720"/>
      <c r="D16" s="2908">
        <f>D6*E16</f>
        <v>0</v>
      </c>
      <c r="E16" s="2909"/>
      <c r="F16" s="2894" t="s">
        <v>2383</v>
      </c>
      <c r="G16" s="2873"/>
      <c r="H16" s="2848"/>
      <c r="I16" s="2849"/>
      <c r="J16" s="3713"/>
      <c r="K16" s="3715"/>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721" t="s">
        <v>2385</v>
      </c>
      <c r="C17" s="3722"/>
      <c r="D17" s="2911">
        <f>ROUND(D6*E17,0)</f>
        <v>0</v>
      </c>
      <c r="E17" s="2912"/>
      <c r="F17" s="2913" t="s">
        <v>2386</v>
      </c>
      <c r="G17" s="2873"/>
      <c r="H17" s="2848"/>
      <c r="I17" s="2849"/>
      <c r="J17" s="3713"/>
      <c r="K17" s="3715"/>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713"/>
      <c r="K18" s="3715"/>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713"/>
      <c r="K19" s="3716"/>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13">
        <v>3</v>
      </c>
      <c r="K20" s="3714"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713"/>
      <c r="K21" s="3715"/>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713"/>
      <c r="K22" s="3715"/>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713"/>
      <c r="K23" s="3715"/>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713"/>
      <c r="K24" s="3716"/>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723">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72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706" t="s">
        <v>2318</v>
      </c>
      <c r="K32" s="3707"/>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708" t="s">
        <v>2328</v>
      </c>
      <c r="K33" s="3709"/>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708" t="s">
        <v>2330</v>
      </c>
      <c r="K34" s="370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713">
        <v>1</v>
      </c>
      <c r="K36" s="3714"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713"/>
      <c r="K37" s="3715"/>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13"/>
      <c r="K38" s="3715"/>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713"/>
      <c r="K39" s="3715"/>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713"/>
      <c r="K40" s="3716"/>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723">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72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5" t="s">
        <v>1654</v>
      </c>
      <c r="C5" s="3726"/>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90" zoomScaleNormal="60" zoomScaleSheetLayoutView="90" workbookViewId="0">
      <selection activeCell="L38" sqref="L38"/>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37.522599999999997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3999</v>
      </c>
      <c r="C3" s="354" t="s">
        <v>1665</v>
      </c>
      <c r="D3" s="353">
        <f>IF(D1="",'数据-汇总表'!E3,SUMIF('数据-汇总表'!$C19:$C33,D1,'数据-汇总表'!$E19:$E33))</f>
        <v>93.83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7" t="s">
        <v>1667</v>
      </c>
      <c r="D4" s="3748"/>
      <c r="E4" s="3749" t="s">
        <v>1668</v>
      </c>
      <c r="F4" s="3750"/>
      <c r="G4" s="3747" t="s">
        <v>1669</v>
      </c>
      <c r="H4" s="3748"/>
      <c r="I4" s="3747" t="s">
        <v>1670</v>
      </c>
      <c r="J4" s="3748"/>
      <c r="K4" s="1889" t="s">
        <v>1671</v>
      </c>
      <c r="L4" s="2715"/>
      <c r="M4" s="2716"/>
      <c r="N4" s="2716"/>
      <c r="O4" s="2716"/>
      <c r="P4" s="3751" t="s">
        <v>1672</v>
      </c>
      <c r="Q4" s="3752"/>
      <c r="R4" s="3732" t="s">
        <v>1668</v>
      </c>
      <c r="S4" s="3733"/>
      <c r="T4" s="3732" t="s">
        <v>1669</v>
      </c>
      <c r="U4" s="3733"/>
      <c r="V4" s="3759" t="s">
        <v>1670</v>
      </c>
      <c r="W4" s="3759"/>
      <c r="X4" s="1355"/>
      <c r="Y4" s="3732" t="s">
        <v>1672</v>
      </c>
      <c r="Z4" s="3733"/>
      <c r="AA4" s="3727" t="s">
        <v>1668</v>
      </c>
      <c r="AB4" s="3727" t="s">
        <v>1669</v>
      </c>
      <c r="AC4" s="3727" t="s">
        <v>1670</v>
      </c>
    </row>
    <row r="5" spans="1:29" ht="39.75" customHeight="1">
      <c r="A5" s="358"/>
      <c r="B5" s="359"/>
      <c r="C5" s="3738" t="s">
        <v>3472</v>
      </c>
      <c r="D5" s="3739"/>
      <c r="E5" s="3736" t="str">
        <f>Sheet1!F4</f>
        <v>松榆北路7号院</v>
      </c>
      <c r="F5" s="3737"/>
      <c r="G5" s="3742" t="str">
        <f>Sheet1!F37</f>
        <v>南磨房楼梓庄世纪东方嘉园</v>
      </c>
      <c r="H5" s="3743"/>
      <c r="I5" s="3742" t="str">
        <f>Sheet1!F49</f>
        <v>南磨房楼梓庄世纪东方嘉园</v>
      </c>
      <c r="J5" s="3743"/>
      <c r="K5" s="1890"/>
      <c r="L5" s="2715"/>
      <c r="M5" s="2716"/>
      <c r="N5" s="2716"/>
      <c r="O5" s="2716"/>
      <c r="P5" s="3753"/>
      <c r="Q5" s="3754"/>
      <c r="R5" s="3734"/>
      <c r="S5" s="3735"/>
      <c r="T5" s="3734"/>
      <c r="U5" s="3735"/>
      <c r="V5" s="3759"/>
      <c r="W5" s="3759"/>
      <c r="X5" s="1355"/>
      <c r="Y5" s="3734"/>
      <c r="Z5" s="3735"/>
      <c r="AA5" s="3728"/>
      <c r="AB5" s="3728"/>
      <c r="AC5" s="3728"/>
    </row>
    <row r="6" spans="1:29" ht="15" thickBot="1">
      <c r="A6" s="360"/>
      <c r="B6" s="361"/>
      <c r="C6" s="3740"/>
      <c r="D6" s="3741"/>
      <c r="E6" s="3744"/>
      <c r="F6" s="3745"/>
      <c r="G6" s="3740"/>
      <c r="H6" s="3741"/>
      <c r="I6" s="3740"/>
      <c r="J6" s="3741"/>
      <c r="K6" s="1890" t="s">
        <v>1678</v>
      </c>
      <c r="L6" s="2715"/>
      <c r="M6" s="2716"/>
      <c r="N6" s="2716"/>
      <c r="O6" s="2716"/>
      <c r="P6" s="3755"/>
      <c r="Q6" s="3756"/>
      <c r="R6" s="3734"/>
      <c r="S6" s="3735"/>
      <c r="T6" s="3757"/>
      <c r="U6" s="3758"/>
      <c r="V6" s="3759"/>
      <c r="W6" s="3759"/>
      <c r="X6" s="1355"/>
      <c r="Y6" s="3757"/>
      <c r="Z6" s="3758"/>
      <c r="AA6" s="3729"/>
      <c r="AB6" s="3729"/>
      <c r="AC6" s="3729"/>
    </row>
    <row r="7" spans="1:29" s="108" customFormat="1" ht="15" thickBot="1">
      <c r="A7" s="362" t="s">
        <v>1679</v>
      </c>
      <c r="B7" s="363"/>
      <c r="C7" s="364">
        <f>'数据-取费表'!B2</f>
        <v>38017</v>
      </c>
      <c r="D7" s="365">
        <v>100</v>
      </c>
      <c r="E7" s="366">
        <f>Sheet1!BG4</f>
        <v>37890</v>
      </c>
      <c r="F7" s="367">
        <f>SUMIF(58:58,YEAR(E7)&amp;"-"&amp;MONTH(E7),59:59)</f>
        <v>99.6</v>
      </c>
      <c r="G7" s="366">
        <f>Sheet1!BG37</f>
        <v>37845</v>
      </c>
      <c r="H7" s="365">
        <f>SUMIF(58:58,YEAR(G7)&amp;"-"&amp;MONTH(G7),59:59)</f>
        <v>99.6</v>
      </c>
      <c r="I7" s="366">
        <f>Sheet1!BG49</f>
        <v>37864</v>
      </c>
      <c r="J7" s="365">
        <f>SUMIF(58:58,YEAR(I7)&amp;"-"&amp;MONTH(I7),59:59)</f>
        <v>99.6</v>
      </c>
      <c r="K7" s="1891"/>
      <c r="L7" s="2717"/>
      <c r="M7" s="2718"/>
      <c r="N7" s="2718"/>
      <c r="O7" s="2718"/>
      <c r="P7" s="3730" t="s">
        <v>1680</v>
      </c>
      <c r="Q7" s="3760"/>
      <c r="R7" s="701" t="s">
        <v>20</v>
      </c>
      <c r="S7" s="702">
        <f t="shared" ref="S7:S15" si="0">F7</f>
        <v>99.6</v>
      </c>
      <c r="T7" s="701" t="s">
        <v>20</v>
      </c>
      <c r="U7" s="702">
        <f t="shared" ref="U7:U15" si="1">H7</f>
        <v>99.6</v>
      </c>
      <c r="V7" s="701" t="s">
        <v>20</v>
      </c>
      <c r="W7" s="702">
        <f t="shared" ref="W7:W15" si="2">J7</f>
        <v>99.6</v>
      </c>
      <c r="X7" s="703"/>
      <c r="Y7" s="3730" t="s">
        <v>1680</v>
      </c>
      <c r="Z7" s="3731"/>
      <c r="AA7" s="704">
        <f>D7/F7</f>
        <v>1.0040160642570282</v>
      </c>
      <c r="AB7" s="704">
        <f>D7/H7</f>
        <v>1.0040160642570282</v>
      </c>
      <c r="AC7" s="704">
        <f>D7/J7</f>
        <v>1.0040160642570282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30" t="s">
        <v>1683</v>
      </c>
      <c r="Q8" s="3731"/>
      <c r="R8" s="701" t="s">
        <v>20</v>
      </c>
      <c r="S8" s="702">
        <f t="shared" si="0"/>
        <v>100</v>
      </c>
      <c r="T8" s="701" t="s">
        <v>20</v>
      </c>
      <c r="U8" s="702">
        <f t="shared" si="1"/>
        <v>100</v>
      </c>
      <c r="V8" s="701" t="s">
        <v>20</v>
      </c>
      <c r="W8" s="702">
        <f t="shared" si="2"/>
        <v>100</v>
      </c>
      <c r="X8" s="703"/>
      <c r="Y8" s="3730" t="s">
        <v>1683</v>
      </c>
      <c r="Z8" s="3731"/>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46" t="s">
        <v>1686</v>
      </c>
      <c r="Q9" s="1343"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6"/>
      <c r="Q10" s="1343"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46"/>
      <c r="Q11" s="1343" t="str">
        <f t="shared" si="6"/>
        <v>容积率</v>
      </c>
      <c r="R11" s="701" t="s">
        <v>18</v>
      </c>
      <c r="S11" s="702">
        <f t="shared" si="0"/>
        <v>100</v>
      </c>
      <c r="T11" s="701" t="s">
        <v>18</v>
      </c>
      <c r="U11" s="702">
        <f t="shared" si="1"/>
        <v>100</v>
      </c>
      <c r="V11" s="701" t="s">
        <v>18</v>
      </c>
      <c r="W11" s="702">
        <f t="shared" si="2"/>
        <v>100</v>
      </c>
      <c r="X11" s="703"/>
      <c r="Y11" s="3674"/>
      <c r="Z11" s="52" t="str">
        <f t="shared" si="7"/>
        <v>容积率</v>
      </c>
      <c r="AA11" s="704">
        <f t="shared" si="3"/>
        <v>1</v>
      </c>
      <c r="AB11" s="704">
        <f t="shared" si="4"/>
        <v>1</v>
      </c>
      <c r="AC11" s="704">
        <f t="shared" si="5"/>
        <v>1</v>
      </c>
    </row>
    <row r="12" spans="1:29" s="108" customFormat="1" ht="15">
      <c r="A12" s="382"/>
      <c r="B12" s="1893">
        <v>111</v>
      </c>
      <c r="C12" s="3514" t="s">
        <v>3470</v>
      </c>
      <c r="D12" s="384">
        <v>100</v>
      </c>
      <c r="E12" s="3514" t="s">
        <v>3470</v>
      </c>
      <c r="F12" s="376">
        <f>SUMIF(70:70,E12,71:71)-SUMIF(70:70,C12,71:71)+100</f>
        <v>100</v>
      </c>
      <c r="G12" s="3514" t="s">
        <v>3471</v>
      </c>
      <c r="H12" s="127">
        <f>SUMIF(70:70,G12,71:71)-SUMIF(70:70,C12,71:71)+100</f>
        <v>105</v>
      </c>
      <c r="I12" s="3514" t="s">
        <v>3471</v>
      </c>
      <c r="J12" s="127">
        <f>SUMIF(70:70,I12,71:71)-SUMIF(70:70,C12,71:71)+100</f>
        <v>105</v>
      </c>
      <c r="K12" s="1894"/>
      <c r="L12" s="2717"/>
      <c r="M12" s="2718"/>
      <c r="N12" s="2718"/>
      <c r="O12" s="2718"/>
      <c r="P12" s="3746"/>
      <c r="Q12" s="1343">
        <f t="shared" si="6"/>
        <v>111</v>
      </c>
      <c r="R12" s="701" t="s">
        <v>18</v>
      </c>
      <c r="S12" s="702">
        <f t="shared" si="0"/>
        <v>100</v>
      </c>
      <c r="T12" s="701" t="s">
        <v>18</v>
      </c>
      <c r="U12" s="702">
        <f t="shared" si="1"/>
        <v>105</v>
      </c>
      <c r="V12" s="701" t="s">
        <v>18</v>
      </c>
      <c r="W12" s="702">
        <f t="shared" si="2"/>
        <v>105</v>
      </c>
      <c r="X12" s="703"/>
      <c r="Y12" s="3674"/>
      <c r="Z12" s="52">
        <f t="shared" si="7"/>
        <v>111</v>
      </c>
      <c r="AA12" s="704">
        <f>D12/F12</f>
        <v>1</v>
      </c>
      <c r="AB12" s="704">
        <f>D12/H12</f>
        <v>0.95238095238095233</v>
      </c>
      <c r="AC12" s="704">
        <f>D12/J12</f>
        <v>0.95238095238095233</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6"/>
      <c r="Q13" s="1343">
        <f t="shared" si="6"/>
        <v>111</v>
      </c>
      <c r="R13" s="701" t="s">
        <v>18</v>
      </c>
      <c r="S13" s="702">
        <f t="shared" si="0"/>
        <v>100</v>
      </c>
      <c r="T13" s="701" t="s">
        <v>18</v>
      </c>
      <c r="U13" s="702">
        <f t="shared" si="1"/>
        <v>100</v>
      </c>
      <c r="V13" s="701" t="s">
        <v>18</v>
      </c>
      <c r="W13" s="702">
        <f t="shared" si="2"/>
        <v>100</v>
      </c>
      <c r="X13" s="703"/>
      <c r="Y13" s="367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6"/>
      <c r="Q14" s="1343">
        <f t="shared" si="6"/>
        <v>111</v>
      </c>
      <c r="R14" s="701" t="s">
        <v>18</v>
      </c>
      <c r="S14" s="702">
        <f t="shared" si="0"/>
        <v>100</v>
      </c>
      <c r="T14" s="701" t="s">
        <v>18</v>
      </c>
      <c r="U14" s="702">
        <f t="shared" si="1"/>
        <v>100</v>
      </c>
      <c r="V14" s="701" t="s">
        <v>18</v>
      </c>
      <c r="W14" s="702">
        <f t="shared" si="2"/>
        <v>100</v>
      </c>
      <c r="X14" s="703"/>
      <c r="Y14" s="367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103</v>
      </c>
      <c r="G15" s="393"/>
      <c r="H15" s="392">
        <f>SUMIF(76:76,G16,77:77)-SUMIF(76:76,C16,77:77)+100</f>
        <v>103</v>
      </c>
      <c r="I15" s="393"/>
      <c r="J15" s="392">
        <f>SUMIF(76:76,I16,77:77)-SUMIF(76:76,C16,77:77)+100</f>
        <v>103</v>
      </c>
      <c r="K15" s="396">
        <v>3</v>
      </c>
      <c r="L15" s="2722"/>
      <c r="M15" s="2716"/>
      <c r="N15" s="2716"/>
      <c r="O15" s="2716"/>
      <c r="P15" s="3773" t="s">
        <v>1691</v>
      </c>
      <c r="Q15" s="1352" t="str">
        <f t="shared" si="6"/>
        <v>居住社区成熟度</v>
      </c>
      <c r="R15" s="705" t="s">
        <v>18</v>
      </c>
      <c r="S15" s="706">
        <f t="shared" si="0"/>
        <v>103</v>
      </c>
      <c r="T15" s="705" t="s">
        <v>18</v>
      </c>
      <c r="U15" s="706">
        <f t="shared" si="1"/>
        <v>103</v>
      </c>
      <c r="V15" s="705" t="s">
        <v>18</v>
      </c>
      <c r="W15" s="706">
        <f t="shared" si="2"/>
        <v>103</v>
      </c>
      <c r="X15" s="1355"/>
      <c r="Y15" s="3766" t="s">
        <v>1691</v>
      </c>
      <c r="Z15" s="1356" t="str">
        <f t="shared" si="7"/>
        <v>居住社区成熟度</v>
      </c>
      <c r="AA15" s="1353">
        <f t="shared" si="3"/>
        <v>0.970873786407767</v>
      </c>
      <c r="AB15" s="1353">
        <f t="shared" si="4"/>
        <v>0.970873786407767</v>
      </c>
      <c r="AC15" s="1353">
        <f t="shared" si="5"/>
        <v>0.970873786407767</v>
      </c>
    </row>
    <row r="16" spans="1:29" ht="15">
      <c r="A16" s="379"/>
      <c r="B16" s="397"/>
      <c r="C16" s="398" t="s">
        <v>3469</v>
      </c>
      <c r="D16" s="399"/>
      <c r="E16" s="1897" t="s">
        <v>3412</v>
      </c>
      <c r="F16" s="399"/>
      <c r="G16" s="1898" t="s">
        <v>3412</v>
      </c>
      <c r="H16" s="401"/>
      <c r="I16" s="1898" t="s">
        <v>3412</v>
      </c>
      <c r="J16" s="399"/>
      <c r="K16" s="1899"/>
      <c r="L16" s="2722"/>
      <c r="M16" s="2716"/>
      <c r="N16" s="2716"/>
      <c r="O16" s="2716"/>
      <c r="P16" s="3774"/>
      <c r="Q16" s="1352"/>
      <c r="R16" s="705"/>
      <c r="S16" s="706"/>
      <c r="T16" s="705"/>
      <c r="U16" s="706"/>
      <c r="V16" s="705"/>
      <c r="W16" s="706"/>
      <c r="X16" s="1355"/>
      <c r="Y16" s="3767"/>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74"/>
      <c r="Q17" s="1352" t="str">
        <f>B17</f>
        <v>交通便捷度</v>
      </c>
      <c r="R17" s="705" t="s">
        <v>18</v>
      </c>
      <c r="S17" s="706">
        <f>F17</f>
        <v>100</v>
      </c>
      <c r="T17" s="705" t="s">
        <v>18</v>
      </c>
      <c r="U17" s="706">
        <f>H17</f>
        <v>100</v>
      </c>
      <c r="V17" s="705" t="s">
        <v>18</v>
      </c>
      <c r="W17" s="706">
        <f>J17</f>
        <v>100</v>
      </c>
      <c r="X17" s="1355"/>
      <c r="Y17" s="3767"/>
      <c r="Z17" s="1356" t="str">
        <f>Q17</f>
        <v>交通便捷度</v>
      </c>
      <c r="AA17" s="1353">
        <f t="shared" si="3"/>
        <v>1</v>
      </c>
      <c r="AB17" s="1353">
        <f t="shared" si="4"/>
        <v>1</v>
      </c>
      <c r="AC17" s="1353">
        <f t="shared" si="5"/>
        <v>1</v>
      </c>
    </row>
    <row r="18" spans="1:29" ht="15">
      <c r="A18" s="379"/>
      <c r="B18" s="407"/>
      <c r="C18" s="1901" t="s">
        <v>3469</v>
      </c>
      <c r="D18" s="401"/>
      <c r="E18" s="1902" t="s">
        <v>3469</v>
      </c>
      <c r="F18" s="401"/>
      <c r="G18" s="1903" t="s">
        <v>3469</v>
      </c>
      <c r="H18" s="399"/>
      <c r="I18" s="1903" t="s">
        <v>3469</v>
      </c>
      <c r="J18" s="399"/>
      <c r="K18" s="1899"/>
      <c r="L18" s="2722"/>
      <c r="M18" s="2716"/>
      <c r="N18" s="2716"/>
      <c r="O18" s="2716"/>
      <c r="P18" s="3774"/>
      <c r="Q18" s="1352"/>
      <c r="R18" s="705"/>
      <c r="S18" s="706"/>
      <c r="T18" s="705"/>
      <c r="U18" s="706"/>
      <c r="V18" s="705"/>
      <c r="W18" s="706"/>
      <c r="X18" s="1355"/>
      <c r="Y18" s="3767"/>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4"/>
      <c r="Q19" s="1352" t="str">
        <f>B19</f>
        <v>公共配套设施</v>
      </c>
      <c r="R19" s="705" t="s">
        <v>18</v>
      </c>
      <c r="S19" s="706">
        <f>F19</f>
        <v>100</v>
      </c>
      <c r="T19" s="705" t="s">
        <v>18</v>
      </c>
      <c r="U19" s="706">
        <f>H19</f>
        <v>100</v>
      </c>
      <c r="V19" s="705" t="s">
        <v>18</v>
      </c>
      <c r="W19" s="706">
        <f>J19</f>
        <v>100</v>
      </c>
      <c r="X19" s="1355"/>
      <c r="Y19" s="37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4"/>
      <c r="Q20" s="1352"/>
      <c r="R20" s="705"/>
      <c r="S20" s="706"/>
      <c r="T20" s="705"/>
      <c r="U20" s="706"/>
      <c r="V20" s="705"/>
      <c r="W20" s="706"/>
      <c r="X20" s="1355"/>
      <c r="Y20" s="376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4"/>
      <c r="Q21" s="1352" t="str">
        <f>B21</f>
        <v>基础设施水平</v>
      </c>
      <c r="R21" s="705" t="s">
        <v>14</v>
      </c>
      <c r="S21" s="706">
        <f>F21</f>
        <v>100</v>
      </c>
      <c r="T21" s="705" t="s">
        <v>14</v>
      </c>
      <c r="U21" s="706">
        <f>H21</f>
        <v>100</v>
      </c>
      <c r="V21" s="705" t="s">
        <v>14</v>
      </c>
      <c r="W21" s="706">
        <f>J21</f>
        <v>100</v>
      </c>
      <c r="X21" s="1355"/>
      <c r="Y21" s="37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4"/>
      <c r="Q22" s="1352"/>
      <c r="R22" s="705"/>
      <c r="S22" s="706"/>
      <c r="T22" s="705"/>
      <c r="U22" s="706"/>
      <c r="V22" s="705"/>
      <c r="W22" s="706"/>
      <c r="X22" s="1355"/>
      <c r="Y22" s="3767"/>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4"/>
      <c r="Q23" s="1352" t="str">
        <f>B23</f>
        <v>自然及人文环境</v>
      </c>
      <c r="R23" s="705" t="s">
        <v>18</v>
      </c>
      <c r="S23" s="706">
        <f>F23</f>
        <v>100</v>
      </c>
      <c r="T23" s="705" t="s">
        <v>18</v>
      </c>
      <c r="U23" s="706">
        <f>H23</f>
        <v>100</v>
      </c>
      <c r="V23" s="705" t="s">
        <v>18</v>
      </c>
      <c r="W23" s="706">
        <f>J23</f>
        <v>100</v>
      </c>
      <c r="X23" s="1355"/>
      <c r="Y23" s="37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4"/>
      <c r="Q24" s="1352"/>
      <c r="R24" s="705"/>
      <c r="S24" s="706"/>
      <c r="T24" s="705"/>
      <c r="U24" s="706"/>
      <c r="V24" s="705"/>
      <c r="W24" s="706"/>
      <c r="X24" s="1355"/>
      <c r="Y24" s="376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7"/>
      <c r="Z25" s="1356" t="str">
        <f>Q25</f>
        <v>楼层-1</v>
      </c>
      <c r="AA25" s="1353">
        <f t="shared" ref="AA25:AA46" si="15">D25/F25</f>
        <v>1</v>
      </c>
      <c r="AB25" s="1353">
        <f t="shared" ref="AB25:AB46" si="16">D25/H25</f>
        <v>1</v>
      </c>
      <c r="AC25" s="1353">
        <f t="shared" ref="AC25:AC46" si="17">D25/J25</f>
        <v>1</v>
      </c>
    </row>
    <row r="26" spans="1:29" s="3498" customFormat="1" ht="15">
      <c r="A26" s="3483"/>
      <c r="B26" s="3484" t="s">
        <v>1693</v>
      </c>
      <c r="C26" s="3485" t="s">
        <v>3458</v>
      </c>
      <c r="D26" s="3486">
        <v>100</v>
      </c>
      <c r="E26" s="3487" t="s">
        <v>3458</v>
      </c>
      <c r="F26" s="3486">
        <f>SUMIF(88:88,E26,89:89)-SUMIF(88:88,C26,89:89)+100</f>
        <v>100</v>
      </c>
      <c r="G26" s="3488" t="s">
        <v>3458</v>
      </c>
      <c r="H26" s="3486">
        <f>SUMIF(88:88,G26,89:89)-SUMIF(88:88,C26,89:89)+100</f>
        <v>100</v>
      </c>
      <c r="I26" s="3488" t="s">
        <v>3458</v>
      </c>
      <c r="J26" s="3486">
        <f>SUMIF(88:88,I26,89:89)-SUMIF(88:88,C26,89:89)+100</f>
        <v>100</v>
      </c>
      <c r="K26" s="3489">
        <v>1</v>
      </c>
      <c r="L26" s="3490"/>
      <c r="M26" s="3491"/>
      <c r="N26" s="3491"/>
      <c r="O26" s="3491"/>
      <c r="P26" s="3774"/>
      <c r="Q26" s="3492" t="str">
        <f t="shared" si="11"/>
        <v>朝向</v>
      </c>
      <c r="R26" s="3493" t="s">
        <v>18</v>
      </c>
      <c r="S26" s="3494">
        <f t="shared" si="12"/>
        <v>100</v>
      </c>
      <c r="T26" s="3493" t="s">
        <v>18</v>
      </c>
      <c r="U26" s="3494">
        <f t="shared" si="13"/>
        <v>100</v>
      </c>
      <c r="V26" s="3493" t="s">
        <v>18</v>
      </c>
      <c r="W26" s="3494">
        <f t="shared" si="14"/>
        <v>100</v>
      </c>
      <c r="X26" s="3495"/>
      <c r="Y26" s="3767"/>
      <c r="Z26" s="3496" t="str">
        <f>Q26</f>
        <v>朝向</v>
      </c>
      <c r="AA26" s="3497">
        <f t="shared" si="15"/>
        <v>1</v>
      </c>
      <c r="AB26" s="3497">
        <f t="shared" si="16"/>
        <v>1</v>
      </c>
      <c r="AC26" s="3497">
        <f t="shared" si="17"/>
        <v>1</v>
      </c>
    </row>
    <row r="27" spans="1:29" s="108" customFormat="1" ht="15">
      <c r="A27" s="382"/>
      <c r="B27" s="3450" t="s">
        <v>3398</v>
      </c>
      <c r="C27" s="416" t="s">
        <v>3473</v>
      </c>
      <c r="D27" s="413">
        <v>100</v>
      </c>
      <c r="E27" s="416" t="s">
        <v>4027</v>
      </c>
      <c r="F27" s="413">
        <f>SUMIF(90:90,E27,91:91)-SUMIF(90:90,C27,91:91)+100</f>
        <v>98</v>
      </c>
      <c r="G27" s="414" t="s">
        <v>4029</v>
      </c>
      <c r="H27" s="413">
        <f>SUMIF(90:90,G27,91:91)-SUMIF(90:90,C27,91:91)+100</f>
        <v>98</v>
      </c>
      <c r="I27" s="414" t="s">
        <v>4030</v>
      </c>
      <c r="J27" s="413">
        <f>SUMIF(90:90,I27,91:91)-SUMIF(90:90,C27,91:91)+100</f>
        <v>100</v>
      </c>
      <c r="K27" s="1894"/>
      <c r="L27" s="2717"/>
      <c r="M27" s="2718"/>
      <c r="N27" s="2718"/>
      <c r="O27" s="2718"/>
      <c r="P27" s="3774"/>
      <c r="Q27" s="1343" t="str">
        <f t="shared" si="11"/>
        <v>楼层</v>
      </c>
      <c r="R27" s="701" t="s">
        <v>18</v>
      </c>
      <c r="S27" s="702">
        <f t="shared" si="12"/>
        <v>98</v>
      </c>
      <c r="T27" s="701" t="s">
        <v>18</v>
      </c>
      <c r="U27" s="702">
        <f t="shared" si="13"/>
        <v>98</v>
      </c>
      <c r="V27" s="701" t="s">
        <v>18</v>
      </c>
      <c r="W27" s="702">
        <f t="shared" si="14"/>
        <v>100</v>
      </c>
      <c r="X27" s="703"/>
      <c r="Y27" s="3767"/>
      <c r="Z27" s="52" t="str">
        <f>Q27</f>
        <v>楼层</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4"/>
      <c r="Q28" s="1352">
        <f t="shared" si="11"/>
        <v>111</v>
      </c>
      <c r="R28" s="705" t="s">
        <v>18</v>
      </c>
      <c r="S28" s="706">
        <f t="shared" si="12"/>
        <v>100</v>
      </c>
      <c r="T28" s="705" t="s">
        <v>18</v>
      </c>
      <c r="U28" s="706">
        <f t="shared" si="13"/>
        <v>100</v>
      </c>
      <c r="V28" s="705" t="s">
        <v>18</v>
      </c>
      <c r="W28" s="706">
        <f t="shared" si="14"/>
        <v>100</v>
      </c>
      <c r="X28" s="1355"/>
      <c r="Y28" s="37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4"/>
      <c r="Q29" s="1352">
        <f t="shared" si="11"/>
        <v>111</v>
      </c>
      <c r="R29" s="705" t="s">
        <v>18</v>
      </c>
      <c r="S29" s="706">
        <f t="shared" si="12"/>
        <v>100</v>
      </c>
      <c r="T29" s="705" t="s">
        <v>18</v>
      </c>
      <c r="U29" s="706">
        <f t="shared" si="13"/>
        <v>100</v>
      </c>
      <c r="V29" s="705" t="s">
        <v>18</v>
      </c>
      <c r="W29" s="706">
        <f t="shared" si="14"/>
        <v>100</v>
      </c>
      <c r="X29" s="1355"/>
      <c r="Y29" s="37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4"/>
      <c r="Q30" s="1352">
        <f t="shared" si="11"/>
        <v>111</v>
      </c>
      <c r="R30" s="705" t="s">
        <v>18</v>
      </c>
      <c r="S30" s="706">
        <f t="shared" si="12"/>
        <v>100</v>
      </c>
      <c r="T30" s="705" t="s">
        <v>18</v>
      </c>
      <c r="U30" s="706">
        <f t="shared" si="13"/>
        <v>100</v>
      </c>
      <c r="V30" s="705" t="s">
        <v>18</v>
      </c>
      <c r="W30" s="706">
        <f t="shared" si="14"/>
        <v>100</v>
      </c>
      <c r="X30" s="1355"/>
      <c r="Y30" s="376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4"/>
      <c r="Q31" s="1352">
        <f t="shared" si="11"/>
        <v>111</v>
      </c>
      <c r="R31" s="705" t="s">
        <v>18</v>
      </c>
      <c r="S31" s="706">
        <f t="shared" si="12"/>
        <v>100</v>
      </c>
      <c r="T31" s="705" t="s">
        <v>18</v>
      </c>
      <c r="U31" s="706">
        <f t="shared" si="13"/>
        <v>100</v>
      </c>
      <c r="V31" s="705" t="s">
        <v>18</v>
      </c>
      <c r="W31" s="706">
        <f t="shared" si="14"/>
        <v>100</v>
      </c>
      <c r="X31" s="1355"/>
      <c r="Y31" s="3767"/>
      <c r="Z31" s="1356">
        <f t="shared" si="18"/>
        <v>111</v>
      </c>
      <c r="AA31" s="1353">
        <f t="shared" si="15"/>
        <v>1</v>
      </c>
      <c r="AB31" s="1353">
        <f t="shared" si="16"/>
        <v>1</v>
      </c>
      <c r="AC31" s="1353">
        <f t="shared" si="17"/>
        <v>1</v>
      </c>
    </row>
    <row r="32" spans="1:29" ht="15">
      <c r="A32" s="391" t="s">
        <v>1694</v>
      </c>
      <c r="B32" s="63" t="s">
        <v>1695</v>
      </c>
      <c r="C32" s="1910" t="s">
        <v>3474</v>
      </c>
      <c r="D32" s="418">
        <v>100</v>
      </c>
      <c r="E32" s="1911" t="s">
        <v>3474</v>
      </c>
      <c r="F32" s="412">
        <f>SUMIF(100:100,E32,101:101)-SUMIF(100:100,C32,101:101)+100</f>
        <v>100</v>
      </c>
      <c r="G32" s="1910" t="s">
        <v>3424</v>
      </c>
      <c r="H32" s="418">
        <f>SUMIF(100:100,G32,101:101)-SUMIF(100:100,C32,101:101)+100</f>
        <v>98</v>
      </c>
      <c r="I32" s="1911" t="s">
        <v>3424</v>
      </c>
      <c r="J32" s="386">
        <f>SUMIF(100:100,I32,101:101)-SUMIF(100:100,C32,101:101)+100</f>
        <v>98</v>
      </c>
      <c r="K32" s="377">
        <v>1</v>
      </c>
      <c r="L32" s="2722"/>
      <c r="M32" s="2716"/>
      <c r="N32" s="2716"/>
      <c r="O32" s="2716"/>
      <c r="P32" s="3768" t="s">
        <v>1696</v>
      </c>
      <c r="Q32" s="1352" t="str">
        <f t="shared" si="11"/>
        <v>建筑类型</v>
      </c>
      <c r="R32" s="705" t="s">
        <v>18</v>
      </c>
      <c r="S32" s="706">
        <f t="shared" si="12"/>
        <v>100</v>
      </c>
      <c r="T32" s="705" t="s">
        <v>18</v>
      </c>
      <c r="U32" s="706">
        <f t="shared" si="13"/>
        <v>98</v>
      </c>
      <c r="V32" s="705" t="s">
        <v>18</v>
      </c>
      <c r="W32" s="706">
        <f t="shared" si="14"/>
        <v>98</v>
      </c>
      <c r="X32" s="1355"/>
      <c r="Y32" s="3771" t="s">
        <v>1696</v>
      </c>
      <c r="Z32" s="1356" t="str">
        <f t="shared" si="18"/>
        <v>建筑类型</v>
      </c>
      <c r="AA32" s="1353">
        <f t="shared" si="15"/>
        <v>1</v>
      </c>
      <c r="AB32" s="1353">
        <f t="shared" si="16"/>
        <v>1.0204081632653061</v>
      </c>
      <c r="AC32" s="1353">
        <f t="shared" si="17"/>
        <v>1.0204081632653061</v>
      </c>
    </row>
    <row r="33" spans="1:29" s="422" customFormat="1" ht="15">
      <c r="A33" s="419"/>
      <c r="B33" s="375" t="s">
        <v>1697</v>
      </c>
      <c r="C33" s="420">
        <f>'数据-汇总表'!F19</f>
        <v>93.83</v>
      </c>
      <c r="D33" s="127">
        <v>100</v>
      </c>
      <c r="E33" s="381">
        <f>Sheet1!L4</f>
        <v>100.71</v>
      </c>
      <c r="F33" s="376">
        <f>LOOKUP(E33,103:103,104:104)-LOOKUP(C33,103:103,104:104)+100</f>
        <v>100</v>
      </c>
      <c r="G33" s="380">
        <f>Sheet1!L37</f>
        <v>113.01</v>
      </c>
      <c r="H33" s="127">
        <f>LOOKUP(G33,103:103,104:104)-LOOKUP(C33,103:103,104:104)+100</f>
        <v>100</v>
      </c>
      <c r="I33" s="381">
        <f>Sheet1!L49</f>
        <v>113.33</v>
      </c>
      <c r="J33" s="386">
        <f>LOOKUP(I33,103:103,104:104)-LOOKUP(C33,103:103,104:104)+100</f>
        <v>100</v>
      </c>
      <c r="K33" s="1894"/>
      <c r="L33" s="2721"/>
      <c r="M33" s="2723"/>
      <c r="N33" s="2723"/>
      <c r="O33" s="2723"/>
      <c r="P33" s="3769"/>
      <c r="Q33" s="707" t="str">
        <f t="shared" si="11"/>
        <v>项目建筑规模</v>
      </c>
      <c r="R33" s="708" t="s">
        <v>18</v>
      </c>
      <c r="S33" s="709">
        <f t="shared" si="12"/>
        <v>100</v>
      </c>
      <c r="T33" s="708" t="s">
        <v>18</v>
      </c>
      <c r="U33" s="709">
        <f t="shared" si="13"/>
        <v>100</v>
      </c>
      <c r="V33" s="708" t="s">
        <v>18</v>
      </c>
      <c r="W33" s="709">
        <f t="shared" si="14"/>
        <v>100</v>
      </c>
      <c r="X33" s="710"/>
      <c r="Y33" s="3771"/>
      <c r="Z33" s="711" t="str">
        <f t="shared" si="18"/>
        <v>项目建筑规模</v>
      </c>
      <c r="AA33" s="1353">
        <f t="shared" si="15"/>
        <v>1</v>
      </c>
      <c r="AB33" s="1353">
        <f t="shared" si="16"/>
        <v>1</v>
      </c>
      <c r="AC33" s="1353">
        <f t="shared" si="17"/>
        <v>1</v>
      </c>
    </row>
    <row r="34" spans="1:29" ht="15">
      <c r="A34" s="423"/>
      <c r="B34" s="375" t="s">
        <v>1698</v>
      </c>
      <c r="C34" s="1912" t="s">
        <v>4031</v>
      </c>
      <c r="D34" s="386">
        <v>100</v>
      </c>
      <c r="E34" s="1913" t="s">
        <v>4031</v>
      </c>
      <c r="F34" s="412">
        <f>SUMIF(105:105,E34,106:106)-SUMIF(105:105,C34,106:106)+100</f>
        <v>100</v>
      </c>
      <c r="G34" s="1912" t="s">
        <v>3399</v>
      </c>
      <c r="H34" s="386">
        <f>SUMIF(105:105,G34,106:106)-SUMIF(105:105,C34,106:106)+100</f>
        <v>103</v>
      </c>
      <c r="I34" s="1913" t="s">
        <v>3399</v>
      </c>
      <c r="J34" s="386">
        <f>SUMIF(105:105,I34,106:106)-SUMIF(105:105,C34,106:106)+100</f>
        <v>103</v>
      </c>
      <c r="K34" s="377">
        <v>3</v>
      </c>
      <c r="L34" s="2722"/>
      <c r="M34" s="2716"/>
      <c r="N34" s="2716"/>
      <c r="O34" s="2716"/>
      <c r="P34" s="3769"/>
      <c r="Q34" s="1352" t="str">
        <f t="shared" si="11"/>
        <v>建筑结构</v>
      </c>
      <c r="R34" s="705" t="s">
        <v>18</v>
      </c>
      <c r="S34" s="706">
        <f t="shared" si="12"/>
        <v>100</v>
      </c>
      <c r="T34" s="705" t="s">
        <v>18</v>
      </c>
      <c r="U34" s="706">
        <f t="shared" si="13"/>
        <v>103</v>
      </c>
      <c r="V34" s="705" t="s">
        <v>18</v>
      </c>
      <c r="W34" s="706">
        <f t="shared" si="14"/>
        <v>103</v>
      </c>
      <c r="X34" s="1355"/>
      <c r="Y34" s="3771"/>
      <c r="Z34" s="1356" t="str">
        <f t="shared" si="18"/>
        <v>建筑结构</v>
      </c>
      <c r="AA34" s="1353">
        <f t="shared" si="15"/>
        <v>1</v>
      </c>
      <c r="AB34" s="1353">
        <f t="shared" si="16"/>
        <v>0.970873786407767</v>
      </c>
      <c r="AC34" s="1353">
        <f t="shared" si="17"/>
        <v>0.970873786407767</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9"/>
      <c r="Q35" s="1352" t="str">
        <f t="shared" si="11"/>
        <v>建筑品质</v>
      </c>
      <c r="R35" s="705" t="s">
        <v>18</v>
      </c>
      <c r="S35" s="706">
        <f t="shared" si="12"/>
        <v>100</v>
      </c>
      <c r="T35" s="705" t="s">
        <v>18</v>
      </c>
      <c r="U35" s="706">
        <f t="shared" si="13"/>
        <v>100</v>
      </c>
      <c r="V35" s="705" t="s">
        <v>18</v>
      </c>
      <c r="W35" s="706">
        <f t="shared" si="14"/>
        <v>100</v>
      </c>
      <c r="X35" s="1355"/>
      <c r="Y35" s="3771"/>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69"/>
      <c r="Q36" s="1352" t="str">
        <f t="shared" si="11"/>
        <v>公共部分装修</v>
      </c>
      <c r="R36" s="705" t="s">
        <v>18</v>
      </c>
      <c r="S36" s="706">
        <f t="shared" si="12"/>
        <v>100</v>
      </c>
      <c r="T36" s="705" t="s">
        <v>18</v>
      </c>
      <c r="U36" s="706">
        <f t="shared" si="13"/>
        <v>100</v>
      </c>
      <c r="V36" s="705" t="s">
        <v>18</v>
      </c>
      <c r="W36" s="706">
        <f t="shared" si="14"/>
        <v>100</v>
      </c>
      <c r="X36" s="1355"/>
      <c r="Y36" s="3771"/>
      <c r="Z36" s="1356" t="str">
        <f t="shared" si="18"/>
        <v>公共部分装修</v>
      </c>
      <c r="AA36" s="1353">
        <f t="shared" si="15"/>
        <v>1</v>
      </c>
      <c r="AB36" s="1353">
        <f t="shared" si="16"/>
        <v>1</v>
      </c>
      <c r="AC36" s="1353">
        <f t="shared" si="17"/>
        <v>1</v>
      </c>
    </row>
    <row r="37" spans="1:29" s="108" customFormat="1" ht="15">
      <c r="A37" s="424"/>
      <c r="B37" s="375" t="s">
        <v>1701</v>
      </c>
      <c r="C37" s="3457">
        <f>'数据-取费表'!N6</f>
        <v>0.95</v>
      </c>
      <c r="D37" s="3456">
        <v>100</v>
      </c>
      <c r="E37" s="3457">
        <v>0.8</v>
      </c>
      <c r="F37" s="3458">
        <f>LOOKUP(E37,112:112,113:113)-LOOKUP(C37,112:112,113:113)+100</f>
        <v>98</v>
      </c>
      <c r="G37" s="3459">
        <v>1</v>
      </c>
      <c r="H37" s="3456">
        <f>LOOKUP(G37,112:112,113:113)-LOOKUP(C37,112:112,113:113)+100</f>
        <v>100</v>
      </c>
      <c r="I37" s="3460">
        <v>1</v>
      </c>
      <c r="J37" s="127">
        <f>LOOKUP(I37,112:112,113:113)-LOOKUP(C37,112:112,113:113)+100</f>
        <v>100</v>
      </c>
      <c r="K37" s="377">
        <v>2</v>
      </c>
      <c r="L37" s="2717"/>
      <c r="M37" s="2718"/>
      <c r="N37" s="2718"/>
      <c r="O37" s="2718"/>
      <c r="P37" s="3769"/>
      <c r="Q37" s="1343" t="str">
        <f t="shared" si="11"/>
        <v>成新度</v>
      </c>
      <c r="R37" s="701" t="s">
        <v>18</v>
      </c>
      <c r="S37" s="702">
        <f t="shared" si="12"/>
        <v>98</v>
      </c>
      <c r="T37" s="701" t="s">
        <v>18</v>
      </c>
      <c r="U37" s="702">
        <f t="shared" si="13"/>
        <v>100</v>
      </c>
      <c r="V37" s="701" t="s">
        <v>18</v>
      </c>
      <c r="W37" s="702">
        <f t="shared" si="14"/>
        <v>100</v>
      </c>
      <c r="X37" s="703"/>
      <c r="Y37" s="3771"/>
      <c r="Z37" s="52" t="str">
        <f t="shared" si="18"/>
        <v>成新度</v>
      </c>
      <c r="AA37" s="704">
        <f t="shared" si="15"/>
        <v>1.0204081632653061</v>
      </c>
      <c r="AB37" s="704">
        <f t="shared" si="16"/>
        <v>1</v>
      </c>
      <c r="AC37" s="704">
        <f t="shared" si="17"/>
        <v>1</v>
      </c>
    </row>
    <row r="38" spans="1:29" ht="15">
      <c r="A38" s="423"/>
      <c r="B38" s="375" t="s">
        <v>1702</v>
      </c>
      <c r="C38" s="1906" t="s">
        <v>3414</v>
      </c>
      <c r="D38" s="386">
        <v>100</v>
      </c>
      <c r="E38" s="1907" t="s">
        <v>3414</v>
      </c>
      <c r="F38" s="412">
        <f>SUMIF(114:114,E38,115:115)-SUMIF(114:114,C38,115:115)+100</f>
        <v>100</v>
      </c>
      <c r="G38" s="1906" t="s">
        <v>3414</v>
      </c>
      <c r="H38" s="386">
        <f>SUMIF(114:114,G38,115:115)-SUMIF(114:114,C38,115:115)+100</f>
        <v>100</v>
      </c>
      <c r="I38" s="1907" t="s">
        <v>3414</v>
      </c>
      <c r="J38" s="386">
        <f>SUMIF(114:114,I38,115:115)-SUMIF(114:114,C38,115:115)+100</f>
        <v>100</v>
      </c>
      <c r="K38" s="377"/>
      <c r="L38" s="2722"/>
      <c r="M38" s="2716"/>
      <c r="N38" s="2716"/>
      <c r="O38" s="2716"/>
      <c r="P38" s="3769" t="s">
        <v>1696</v>
      </c>
      <c r="Q38" s="1352" t="str">
        <f t="shared" si="11"/>
        <v>物业管理</v>
      </c>
      <c r="R38" s="705" t="s">
        <v>18</v>
      </c>
      <c r="S38" s="706">
        <f t="shared" si="12"/>
        <v>100</v>
      </c>
      <c r="T38" s="705" t="s">
        <v>18</v>
      </c>
      <c r="U38" s="706">
        <f t="shared" si="13"/>
        <v>100</v>
      </c>
      <c r="V38" s="705" t="s">
        <v>18</v>
      </c>
      <c r="W38" s="706">
        <f t="shared" si="14"/>
        <v>100</v>
      </c>
      <c r="X38" s="1355"/>
      <c r="Y38" s="3771" t="s">
        <v>1696</v>
      </c>
      <c r="Z38" s="1356" t="str">
        <f t="shared" si="18"/>
        <v>物业管理</v>
      </c>
      <c r="AA38" s="1353">
        <f t="shared" si="15"/>
        <v>1</v>
      </c>
      <c r="AB38" s="1353">
        <f t="shared" si="16"/>
        <v>1</v>
      </c>
      <c r="AC38" s="1353">
        <f t="shared" si="17"/>
        <v>1</v>
      </c>
    </row>
    <row r="39" spans="1:29" ht="15">
      <c r="A39" s="423"/>
      <c r="B39" s="375" t="s">
        <v>1703</v>
      </c>
      <c r="C39" s="1906" t="s">
        <v>3459</v>
      </c>
      <c r="D39" s="386">
        <v>100</v>
      </c>
      <c r="E39" s="1907" t="s">
        <v>3459</v>
      </c>
      <c r="F39" s="412">
        <f>SUMIF(116:116,E39,117:117)-SUMIF(116:116,C39,117:117)+100</f>
        <v>100</v>
      </c>
      <c r="G39" s="1906" t="s">
        <v>3459</v>
      </c>
      <c r="H39" s="386">
        <f>SUMIF(116:116,G39,117:117)-SUMIF(116:116,C39,117:117)+100</f>
        <v>100</v>
      </c>
      <c r="I39" s="1907" t="s">
        <v>3459</v>
      </c>
      <c r="J39" s="386">
        <f>SUMIF(116:116,I39,117:117)-SUMIF(116:116,C39,117:117)+100</f>
        <v>100</v>
      </c>
      <c r="K39" s="377"/>
      <c r="L39" s="2722"/>
      <c r="M39" s="2716"/>
      <c r="N39" s="2716"/>
      <c r="O39" s="2716"/>
      <c r="P39" s="3769"/>
      <c r="Q39" s="1352" t="str">
        <f t="shared" si="11"/>
        <v>市政基础设施</v>
      </c>
      <c r="R39" s="705" t="s">
        <v>18</v>
      </c>
      <c r="S39" s="706">
        <f t="shared" si="12"/>
        <v>100</v>
      </c>
      <c r="T39" s="705" t="s">
        <v>18</v>
      </c>
      <c r="U39" s="706">
        <f t="shared" si="13"/>
        <v>100</v>
      </c>
      <c r="V39" s="705" t="s">
        <v>18</v>
      </c>
      <c r="W39" s="706">
        <f t="shared" si="14"/>
        <v>100</v>
      </c>
      <c r="X39" s="1355"/>
      <c r="Y39" s="3771"/>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2"/>
      <c r="M40" s="2716"/>
      <c r="N40" s="2716"/>
      <c r="O40" s="2716"/>
      <c r="P40" s="3769"/>
      <c r="Q40" s="1352" t="str">
        <f t="shared" si="11"/>
        <v>房型</v>
      </c>
      <c r="R40" s="705" t="s">
        <v>18</v>
      </c>
      <c r="S40" s="706">
        <f t="shared" si="12"/>
        <v>100</v>
      </c>
      <c r="T40" s="705" t="s">
        <v>18</v>
      </c>
      <c r="U40" s="706">
        <f t="shared" si="13"/>
        <v>100</v>
      </c>
      <c r="V40" s="705" t="s">
        <v>18</v>
      </c>
      <c r="W40" s="706">
        <f t="shared" si="14"/>
        <v>100</v>
      </c>
      <c r="X40" s="1355"/>
      <c r="Y40" s="377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9"/>
      <c r="Q41" s="707" t="str">
        <f t="shared" si="11"/>
        <v>单套/主力户型建筑面积</v>
      </c>
      <c r="R41" s="708" t="s">
        <v>18</v>
      </c>
      <c r="S41" s="709">
        <f t="shared" si="12"/>
        <v>100</v>
      </c>
      <c r="T41" s="708" t="s">
        <v>18</v>
      </c>
      <c r="U41" s="709">
        <f t="shared" si="13"/>
        <v>100</v>
      </c>
      <c r="V41" s="708" t="s">
        <v>18</v>
      </c>
      <c r="W41" s="709">
        <f t="shared" si="14"/>
        <v>100</v>
      </c>
      <c r="X41" s="710"/>
      <c r="Y41" s="3771"/>
      <c r="Z41" s="711" t="str">
        <f t="shared" si="18"/>
        <v>单套/主力户型建筑面积</v>
      </c>
      <c r="AA41" s="1353">
        <f t="shared" si="15"/>
        <v>1</v>
      </c>
      <c r="AB41" s="1353">
        <f t="shared" si="16"/>
        <v>1</v>
      </c>
      <c r="AC41" s="1353">
        <f t="shared" si="17"/>
        <v>1</v>
      </c>
    </row>
    <row r="42" spans="1:29" ht="15">
      <c r="A42" s="423"/>
      <c r="B42" s="375" t="s">
        <v>1706</v>
      </c>
      <c r="C42" s="1906" t="s">
        <v>3460</v>
      </c>
      <c r="D42" s="386">
        <v>100</v>
      </c>
      <c r="E42" s="1907" t="s">
        <v>3460</v>
      </c>
      <c r="F42" s="412">
        <f>SUMIF(122:122,E42,123:123)-SUMIF(122:122,C42,123:123)+100</f>
        <v>100</v>
      </c>
      <c r="G42" s="1906" t="s">
        <v>3460</v>
      </c>
      <c r="H42" s="386">
        <f>SUMIF(122:122,G42,123:123)-SUMIF(122:122,C42,123:123)+100</f>
        <v>100</v>
      </c>
      <c r="I42" s="1907" t="s">
        <v>3460</v>
      </c>
      <c r="J42" s="386">
        <f>SUMIF(122:122,I42,123:123)-SUMIF(122:122,C42,123:123)+100</f>
        <v>100</v>
      </c>
      <c r="K42" s="377"/>
      <c r="L42" s="2722"/>
      <c r="M42" s="2716"/>
      <c r="N42" s="2716"/>
      <c r="O42" s="2716"/>
      <c r="P42" s="3769"/>
      <c r="Q42" s="1352" t="str">
        <f t="shared" si="11"/>
        <v>内部装修</v>
      </c>
      <c r="R42" s="705" t="s">
        <v>18</v>
      </c>
      <c r="S42" s="706">
        <f t="shared" si="12"/>
        <v>100</v>
      </c>
      <c r="T42" s="705" t="s">
        <v>18</v>
      </c>
      <c r="U42" s="706">
        <f t="shared" si="13"/>
        <v>100</v>
      </c>
      <c r="V42" s="705" t="s">
        <v>18</v>
      </c>
      <c r="W42" s="706">
        <f t="shared" si="14"/>
        <v>100</v>
      </c>
      <c r="X42" s="1355"/>
      <c r="Y42" s="3771"/>
      <c r="Z42" s="1356" t="str">
        <f t="shared" si="18"/>
        <v>内部装修</v>
      </c>
      <c r="AA42" s="1353">
        <f t="shared" si="15"/>
        <v>1</v>
      </c>
      <c r="AB42" s="1353">
        <f t="shared" si="16"/>
        <v>1</v>
      </c>
      <c r="AC42" s="1353">
        <f t="shared" si="17"/>
        <v>1</v>
      </c>
    </row>
    <row r="43" spans="1:29" ht="28.8">
      <c r="A43" s="423"/>
      <c r="B43" s="375" t="s">
        <v>1707</v>
      </c>
      <c r="C43" s="1906" t="s">
        <v>3412</v>
      </c>
      <c r="D43" s="386">
        <v>100</v>
      </c>
      <c r="E43" s="1907" t="s">
        <v>3412</v>
      </c>
      <c r="F43" s="412">
        <f>SUMIF(124:124,E43,125:125)-SUMIF(124:124,C43,125:125)+100</f>
        <v>100</v>
      </c>
      <c r="G43" s="1906" t="s">
        <v>3412</v>
      </c>
      <c r="H43" s="386">
        <f>SUMIF(124:124,G43,125:125)-SUMIF(124:124,C43,125:125)+100</f>
        <v>100</v>
      </c>
      <c r="I43" s="1907" t="s">
        <v>3412</v>
      </c>
      <c r="J43" s="386">
        <f>SUMIF(124:124,I43,125:125)-SUMIF(124:124,C43,125:125)+100</f>
        <v>100</v>
      </c>
      <c r="K43" s="377"/>
      <c r="L43" s="2722"/>
      <c r="M43" s="2716"/>
      <c r="N43" s="2716"/>
      <c r="O43" s="2716"/>
      <c r="P43" s="3769"/>
      <c r="Q43" s="1352" t="str">
        <f t="shared" si="11"/>
        <v>内部装修维护情况</v>
      </c>
      <c r="R43" s="705" t="s">
        <v>18</v>
      </c>
      <c r="S43" s="706">
        <f t="shared" si="12"/>
        <v>100</v>
      </c>
      <c r="T43" s="705" t="s">
        <v>18</v>
      </c>
      <c r="U43" s="706">
        <f t="shared" si="13"/>
        <v>100</v>
      </c>
      <c r="V43" s="705" t="s">
        <v>18</v>
      </c>
      <c r="W43" s="706">
        <f t="shared" si="14"/>
        <v>100</v>
      </c>
      <c r="X43" s="1355"/>
      <c r="Y43" s="3771"/>
      <c r="Z43" s="1356" t="str">
        <f t="shared" si="18"/>
        <v>内部装修维护情况</v>
      </c>
      <c r="AA43" s="1353">
        <f t="shared" si="15"/>
        <v>1</v>
      </c>
      <c r="AB43" s="1353">
        <f t="shared" si="16"/>
        <v>1</v>
      </c>
      <c r="AC43" s="1353">
        <f t="shared" si="17"/>
        <v>1</v>
      </c>
    </row>
    <row r="44" spans="1:29" s="108" customFormat="1" ht="15">
      <c r="A44" s="424"/>
      <c r="B44" s="3450">
        <v>111</v>
      </c>
      <c r="C44" s="3482"/>
      <c r="D44" s="127">
        <v>100</v>
      </c>
      <c r="E44" s="420"/>
      <c r="F44" s="376">
        <f>SUMIF(126:126,E44,127:127)-SUMIF(126:126,C44,127:127)+100</f>
        <v>100</v>
      </c>
      <c r="G44" s="3482"/>
      <c r="H44" s="127">
        <f>SUMIF(126:126,G44,127:127)-SUMIF(126:126,C44,127:127)+100</f>
        <v>100</v>
      </c>
      <c r="I44" s="3482"/>
      <c r="J44" s="127">
        <f>SUMIF(126:126,I44,127:127)-SUMIF(126:126,C44,127:127)+100</f>
        <v>100</v>
      </c>
      <c r="K44" s="1894"/>
      <c r="L44" s="2717"/>
      <c r="M44" s="2718"/>
      <c r="N44" s="2718"/>
      <c r="O44" s="2718"/>
      <c r="P44" s="3769"/>
      <c r="Q44" s="1343">
        <f t="shared" si="11"/>
        <v>111</v>
      </c>
      <c r="R44" s="701" t="s">
        <v>18</v>
      </c>
      <c r="S44" s="702">
        <f t="shared" si="12"/>
        <v>100</v>
      </c>
      <c r="T44" s="701" t="s">
        <v>18</v>
      </c>
      <c r="U44" s="702">
        <f t="shared" si="13"/>
        <v>100</v>
      </c>
      <c r="V44" s="701" t="s">
        <v>18</v>
      </c>
      <c r="W44" s="702">
        <f t="shared" si="14"/>
        <v>100</v>
      </c>
      <c r="X44" s="703"/>
      <c r="Y44" s="37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69"/>
      <c r="Q45" s="1352">
        <f t="shared" si="11"/>
        <v>111</v>
      </c>
      <c r="R45" s="705" t="s">
        <v>18</v>
      </c>
      <c r="S45" s="706">
        <f t="shared" si="12"/>
        <v>100</v>
      </c>
      <c r="T45" s="705" t="s">
        <v>18</v>
      </c>
      <c r="U45" s="706">
        <f t="shared" si="13"/>
        <v>100</v>
      </c>
      <c r="V45" s="705" t="s">
        <v>18</v>
      </c>
      <c r="W45" s="706">
        <f t="shared" si="14"/>
        <v>100</v>
      </c>
      <c r="X45" s="1355"/>
      <c r="Y45" s="377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0"/>
      <c r="Q46" s="1352">
        <f t="shared" si="11"/>
        <v>111</v>
      </c>
      <c r="R46" s="705" t="s">
        <v>17</v>
      </c>
      <c r="S46" s="706">
        <f t="shared" si="12"/>
        <v>100</v>
      </c>
      <c r="T46" s="705" t="s">
        <v>17</v>
      </c>
      <c r="U46" s="706">
        <f t="shared" si="13"/>
        <v>100</v>
      </c>
      <c r="V46" s="705" t="s">
        <v>17</v>
      </c>
      <c r="W46" s="706">
        <f t="shared" si="14"/>
        <v>100</v>
      </c>
      <c r="X46" s="1355"/>
      <c r="Y46" s="3772"/>
      <c r="Z46" s="1356">
        <f t="shared" si="18"/>
        <v>111</v>
      </c>
      <c r="AA46" s="1353">
        <f t="shared" si="15"/>
        <v>1</v>
      </c>
      <c r="AB46" s="1353">
        <f t="shared" si="16"/>
        <v>1</v>
      </c>
      <c r="AC46" s="1353">
        <f t="shared" si="17"/>
        <v>1</v>
      </c>
    </row>
    <row r="47" spans="1:29" ht="14.4">
      <c r="A47" s="430" t="s">
        <v>1708</v>
      </c>
      <c r="B47" s="431"/>
      <c r="C47" s="1154" t="s">
        <v>16</v>
      </c>
      <c r="D47" s="1155"/>
      <c r="E47" s="1156">
        <f>Sheet1!R4</f>
        <v>3674</v>
      </c>
      <c r="F47" s="1157"/>
      <c r="G47" s="1158">
        <f>Sheet1!R37</f>
        <v>4410</v>
      </c>
      <c r="H47" s="1159"/>
      <c r="I47" s="3481">
        <f>Sheet1!R49</f>
        <v>4490</v>
      </c>
      <c r="J47" s="1159"/>
      <c r="K47" s="1914"/>
      <c r="L47" s="2724"/>
      <c r="M47" s="2725"/>
      <c r="N47" s="2716"/>
      <c r="O47" s="2725"/>
      <c r="P47" s="3764" t="str">
        <f>A47</f>
        <v>成交单价（元/平方米）</v>
      </c>
      <c r="Q47" s="3764"/>
      <c r="R47" s="3765">
        <f>E47</f>
        <v>3674</v>
      </c>
      <c r="S47" s="3765"/>
      <c r="T47" s="3765">
        <f>G47</f>
        <v>4410</v>
      </c>
      <c r="U47" s="3765"/>
      <c r="V47" s="3765">
        <f>I47</f>
        <v>4490</v>
      </c>
      <c r="W47" s="3765"/>
      <c r="X47" s="690"/>
      <c r="Y47" s="712"/>
      <c r="Z47" s="690"/>
      <c r="AA47" s="690"/>
      <c r="AB47" s="690"/>
      <c r="AC47" s="690"/>
    </row>
    <row r="48" spans="1:29" ht="15" thickBot="1">
      <c r="A48" s="437" t="s">
        <v>1709</v>
      </c>
      <c r="B48" s="438"/>
      <c r="C48" s="1160">
        <f>R49</f>
        <v>3999</v>
      </c>
      <c r="D48" s="2317" t="s">
        <v>2138</v>
      </c>
      <c r="E48" s="1161">
        <f>R48</f>
        <v>3729</v>
      </c>
      <c r="F48" s="2318"/>
      <c r="G48" s="1160">
        <f>T48</f>
        <v>4139</v>
      </c>
      <c r="H48" s="2318"/>
      <c r="I48" s="1161">
        <f>V48</f>
        <v>4129</v>
      </c>
      <c r="J48" s="2318"/>
      <c r="K48" s="2319">
        <f>F48+H48+J48</f>
        <v>0</v>
      </c>
      <c r="L48" s="2724"/>
      <c r="M48" s="2725"/>
      <c r="N48" s="2725"/>
      <c r="O48" s="2725"/>
      <c r="P48" s="3764" t="str">
        <f>A48</f>
        <v>比较价值（元/平方米）</v>
      </c>
      <c r="Q48" s="3764"/>
      <c r="R48" s="3765">
        <f>IF(F1="售价",ROUND(PRODUCT(R47,AA7:AA46),0),ROUND(PRODUCT(R47,AA7:AA46),1))</f>
        <v>3729</v>
      </c>
      <c r="S48" s="3765"/>
      <c r="T48" s="3765">
        <f>IF(F1="售价",ROUND(PRODUCT(T47,AB7:AB46),0),ROUND(PRODUCT(T47,AB7:AB46),1))</f>
        <v>4139</v>
      </c>
      <c r="U48" s="3765"/>
      <c r="V48" s="3765">
        <f>IF(F1="售价",ROUND(PRODUCT(V47,AC7:AC46),0),ROUND(PRODUCT(V47,AC7:AC46),1))</f>
        <v>4129</v>
      </c>
      <c r="W48" s="3765"/>
      <c r="X48" s="690"/>
      <c r="Y48" s="690"/>
      <c r="Z48" s="690"/>
      <c r="AA48" s="690"/>
      <c r="AB48" s="690"/>
      <c r="AC48" s="690"/>
    </row>
    <row r="49" spans="1:29" ht="15" thickBot="1">
      <c r="A49" s="441" t="s">
        <v>1710</v>
      </c>
      <c r="B49" s="442"/>
      <c r="C49" s="1162">
        <f>R49</f>
        <v>3999</v>
      </c>
      <c r="D49" s="1163"/>
      <c r="E49" s="1163"/>
      <c r="F49" s="1163"/>
      <c r="G49" s="1163"/>
      <c r="H49" s="1163"/>
      <c r="I49" s="1163"/>
      <c r="J49" s="1163"/>
      <c r="K49" s="1915"/>
      <c r="L49" s="2724"/>
      <c r="M49" s="2725"/>
      <c r="N49" s="2725"/>
      <c r="O49" s="2725"/>
      <c r="P49" s="3761" t="str">
        <f>A49</f>
        <v>估价对象XX用房的比较价值（楼面单价，元/平方米）</v>
      </c>
      <c r="Q49" s="3762"/>
      <c r="R49" s="3763">
        <f>IF(F1="售价",ROUND(IF(D48="简单平均",AVERAGE(R48:V48),R48*F48+T48*H48+V48*J48),0),ROUND(IF(D48="简单平均",AVERAGE(R48:V48),R48*F48+T48*H48+V48*J48),1))</f>
        <v>3999</v>
      </c>
      <c r="S49" s="3763"/>
      <c r="T49" s="3763"/>
      <c r="U49" s="3763"/>
      <c r="V49" s="3763"/>
      <c r="W49" s="37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1.4970059880239583E-2</v>
      </c>
      <c r="F52" s="449" t="str">
        <f>IF(OR(E52&gt;=0.3,E52&lt;=-0.3),"超过30%","")</f>
        <v/>
      </c>
      <c r="G52" s="448">
        <f>IF(G47&lt;G48,G48/G47-1,G47/G48-1)</f>
        <v>6.5474752355641375E-2</v>
      </c>
      <c r="H52" s="449" t="str">
        <f>IF(OR(G52&gt;=0.3,G52&lt;=-0.3),"超过30%","")</f>
        <v/>
      </c>
      <c r="I52" s="448">
        <f>IF(I47&lt;I48,I48/I47-1,I47/I48-1)</f>
        <v>8.7430370549769876E-2</v>
      </c>
      <c r="J52" s="449" t="str">
        <f>IF(OR(I52&gt;=0.3,I52&lt;=-0.3),"超过30%","")</f>
        <v/>
      </c>
      <c r="K52" s="2730"/>
      <c r="L52" s="2726"/>
      <c r="M52" s="2725"/>
      <c r="N52" s="2725"/>
      <c r="O52" s="2725"/>
    </row>
    <row r="53" spans="1:29" ht="13.5" customHeight="1">
      <c r="A53" s="2725"/>
      <c r="B53" s="2725"/>
      <c r="C53" s="446" t="s">
        <v>1712</v>
      </c>
      <c r="D53" s="450"/>
      <c r="E53" s="448">
        <f>IF(E48&lt;G48,G48/E48-1,E48/G48-1)</f>
        <v>0.10994904800214544</v>
      </c>
      <c r="F53" s="449" t="str">
        <f>IF(OR(E53&gt;=0.2,E53&lt;=-0.2),"超过20%","")</f>
        <v/>
      </c>
      <c r="G53" s="448">
        <f>IF(G48&lt;I48,I48/G48-1,G48/I48-1)</f>
        <v>2.4218939210463031E-3</v>
      </c>
      <c r="H53" s="449" t="str">
        <f>IF(OR(G53&gt;=0.2,G53&lt;=-0.2),"超过20%","")</f>
        <v/>
      </c>
      <c r="I53" s="448">
        <f>IF(I48&lt;E48,E48/I48-1,I48/E48-1)</f>
        <v>0.10726736390453206</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0.20032661948829622</v>
      </c>
      <c r="F54" s="449" t="str">
        <f>IF(OR(E54&gt;=0.3,E54&lt;=-0.3),"超过30%","")</f>
        <v/>
      </c>
      <c r="G54" s="448">
        <f>IF(G47&lt;I47,I47/G47-1,G47/I47-1)</f>
        <v>1.8140589569161092E-2</v>
      </c>
      <c r="H54" s="449" t="str">
        <f>IF(OR(G54&gt;=0.3,G54&lt;=-0.3),"超过30%","")</f>
        <v/>
      </c>
      <c r="I54" s="448">
        <f>IF(I47&lt;E47,E47/I47-1,I47/E47-1)</f>
        <v>0.22210125204137188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2004-1</v>
      </c>
      <c r="D58" s="1185">
        <f>EDATE(C58,-1)</f>
        <v>37956</v>
      </c>
      <c r="E58" s="1185">
        <f>EDATE(D58,-1)</f>
        <v>37926</v>
      </c>
      <c r="F58" s="1185">
        <f t="shared" ref="F58:O58" si="19">EDATE(E58,-1)</f>
        <v>37895</v>
      </c>
      <c r="G58" s="1185">
        <f t="shared" si="19"/>
        <v>37865</v>
      </c>
      <c r="H58" s="1185">
        <f t="shared" si="19"/>
        <v>37834</v>
      </c>
      <c r="I58" s="1185">
        <f t="shared" si="19"/>
        <v>37803</v>
      </c>
      <c r="J58" s="1185">
        <f t="shared" si="19"/>
        <v>37773</v>
      </c>
      <c r="K58" s="1185">
        <f t="shared" si="19"/>
        <v>37742</v>
      </c>
      <c r="L58" s="1185">
        <f t="shared" si="19"/>
        <v>37712</v>
      </c>
      <c r="M58" s="1185">
        <f t="shared" si="19"/>
        <v>37681</v>
      </c>
      <c r="N58" s="1185">
        <f t="shared" si="19"/>
        <v>37653</v>
      </c>
      <c r="O58" s="1185">
        <f t="shared" si="19"/>
        <v>37622</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480" t="s">
        <v>3457</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3470</v>
      </c>
      <c r="D70" s="3451" t="s">
        <v>3471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97</v>
      </c>
      <c r="E77" s="493">
        <f>D77-$K15</f>
        <v>94</v>
      </c>
      <c r="F77" s="493">
        <f>E77-$K15</f>
        <v>91</v>
      </c>
      <c r="G77" s="493">
        <f>F77-$K15</f>
        <v>88</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3411</v>
      </c>
      <c r="D88" s="3451" t="s">
        <v>3413</v>
      </c>
      <c r="E88" s="3451" t="s">
        <v>3416</v>
      </c>
      <c r="F88" s="3454" t="s">
        <v>3417</v>
      </c>
      <c r="G88" s="3451" t="s">
        <v>3418</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5/6</v>
      </c>
      <c r="D90" s="503" t="str">
        <f>E27</f>
        <v>6/6</v>
      </c>
      <c r="E90" s="3461" t="str">
        <f>G27</f>
        <v>5/21</v>
      </c>
      <c r="F90" s="3461" t="str">
        <f>I27</f>
        <v>8/21</v>
      </c>
      <c r="G90" s="503"/>
      <c r="H90" s="504"/>
      <c r="I90" s="504"/>
      <c r="J90" s="504"/>
      <c r="K90" s="504"/>
      <c r="L90" s="505"/>
      <c r="M90" s="506"/>
      <c r="N90" s="935"/>
      <c r="O90" s="935"/>
      <c r="P90" s="1923"/>
      <c r="Q90" s="508"/>
    </row>
    <row r="91" spans="1:17" s="422" customFormat="1" ht="14.4" thickBot="1">
      <c r="A91" s="502"/>
      <c r="B91" s="492"/>
      <c r="C91" s="509">
        <v>100</v>
      </c>
      <c r="D91" s="509">
        <v>98</v>
      </c>
      <c r="E91" s="509">
        <v>98</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3475</v>
      </c>
      <c r="D100" s="3453" t="s">
        <v>3476</v>
      </c>
      <c r="E100" s="3453" t="s">
        <v>3422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1738</v>
      </c>
      <c r="C105" s="3451" t="s">
        <v>3400</v>
      </c>
      <c r="D105" s="3451" t="s">
        <v>4032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97</v>
      </c>
      <c r="E106" s="493">
        <f t="shared" si="27"/>
        <v>94</v>
      </c>
      <c r="F106" s="493">
        <f t="shared" si="27"/>
        <v>91</v>
      </c>
      <c r="G106" s="493">
        <f t="shared" si="27"/>
        <v>88</v>
      </c>
      <c r="H106" s="493">
        <f t="shared" si="27"/>
        <v>85</v>
      </c>
      <c r="I106" s="493">
        <f t="shared" si="27"/>
        <v>82</v>
      </c>
      <c r="J106" s="493">
        <f t="shared" si="27"/>
        <v>79</v>
      </c>
      <c r="K106" s="493">
        <f t="shared" si="27"/>
        <v>76</v>
      </c>
      <c r="L106" s="493">
        <f t="shared" si="27"/>
        <v>73</v>
      </c>
      <c r="M106" s="493">
        <f t="shared" si="27"/>
        <v>70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3451" t="s">
        <v>3415</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3406</v>
      </c>
      <c r="D116" s="3451" t="s">
        <v>3423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3408</v>
      </c>
      <c r="D118" s="3452" t="s">
        <v>3409</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3410</v>
      </c>
      <c r="F122" s="3452" t="s">
        <v>3461</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f>C44</f>
        <v>0</v>
      </c>
      <c r="D126" s="3451" t="s">
        <v>3468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55"/>
  <sheetViews>
    <sheetView topLeftCell="A2" workbookViewId="0">
      <selection activeCell="G104" sqref="G104"/>
    </sheetView>
  </sheetViews>
  <sheetFormatPr defaultRowHeight="15.6"/>
  <cols>
    <col min="1" max="4" width="8.88671875" style="3965"/>
    <col min="5" max="5" width="7.77734375" style="3965" customWidth="1"/>
    <col min="6" max="10" width="8.88671875" style="3965"/>
    <col min="11" max="11" width="0" style="3965" hidden="1" customWidth="1"/>
    <col min="12" max="15" width="8.88671875" style="3965"/>
    <col min="16" max="17" width="0" style="3965" hidden="1" customWidth="1"/>
    <col min="18" max="18" width="8.88671875" style="3965"/>
    <col min="19" max="20" width="0" style="3965" hidden="1" customWidth="1"/>
    <col min="21" max="21" width="8.88671875" style="3965"/>
    <col min="22" max="31" width="0" style="3965" hidden="1" customWidth="1"/>
    <col min="32" max="32" width="8.88671875" style="3965"/>
    <col min="33" max="58" width="0" style="3965" hidden="1" customWidth="1"/>
    <col min="59" max="59" width="16.33203125" style="3965" customWidth="1"/>
    <col min="60" max="16384" width="8.88671875" style="3965"/>
  </cols>
  <sheetData>
    <row r="1" spans="1:253" s="3882" customFormat="1" ht="13.5" customHeight="1">
      <c r="A1" s="3861"/>
      <c r="B1" s="3862"/>
      <c r="C1" s="3863"/>
      <c r="D1" s="3863"/>
      <c r="E1" s="3863"/>
      <c r="F1" s="3863"/>
      <c r="G1" s="3863"/>
      <c r="H1" s="3863"/>
      <c r="I1" s="3863"/>
      <c r="J1" s="3863"/>
      <c r="K1" s="3864"/>
      <c r="L1" s="3865"/>
      <c r="M1" s="3866"/>
      <c r="N1" s="3865"/>
      <c r="O1" s="3866"/>
      <c r="P1" s="3865"/>
      <c r="Q1" s="3866"/>
      <c r="R1" s="3866"/>
      <c r="S1" s="3865"/>
      <c r="T1" s="3867"/>
      <c r="U1" s="3865"/>
      <c r="V1" s="3864" t="s">
        <v>3425</v>
      </c>
      <c r="W1" s="3864"/>
      <c r="X1" s="3868"/>
      <c r="Y1" s="3865"/>
      <c r="Z1" s="3866" t="s">
        <v>3426</v>
      </c>
      <c r="AA1" s="3865"/>
      <c r="AB1" s="3865"/>
      <c r="AC1" s="3865"/>
      <c r="AD1" s="3865"/>
      <c r="AE1" s="3865"/>
      <c r="AF1" s="3862"/>
      <c r="AG1" s="3862"/>
      <c r="AH1" s="3864"/>
      <c r="AI1" s="3862"/>
      <c r="AJ1" s="3869"/>
      <c r="AK1" s="3862"/>
      <c r="AL1" s="3870" t="s">
        <v>3477</v>
      </c>
      <c r="AM1" s="3871"/>
      <c r="AN1" s="3872" t="s">
        <v>3478</v>
      </c>
      <c r="AO1" s="3872" t="s">
        <v>3479</v>
      </c>
      <c r="AP1" s="3872"/>
      <c r="AQ1" s="3872"/>
      <c r="AR1" s="3873"/>
      <c r="AS1" s="3873" t="s">
        <v>3480</v>
      </c>
      <c r="AT1" s="3873"/>
      <c r="AU1" s="3873"/>
      <c r="AV1" s="3872"/>
      <c r="AW1" s="3874"/>
      <c r="AX1" s="3874"/>
      <c r="AY1" s="3875"/>
      <c r="AZ1" s="3874"/>
      <c r="BA1" s="3874"/>
      <c r="BB1" s="3875"/>
      <c r="BC1" s="3874"/>
      <c r="BD1" s="3876"/>
      <c r="BE1" s="3874"/>
      <c r="BF1" s="3877"/>
      <c r="BG1" s="3878"/>
      <c r="BH1" s="3874"/>
      <c r="BI1" s="3874"/>
      <c r="BJ1" s="3879" t="s">
        <v>3481</v>
      </c>
      <c r="BK1" s="3880" t="s">
        <v>3482</v>
      </c>
      <c r="BL1" s="3872"/>
      <c r="BM1" s="3881"/>
      <c r="BN1" s="3881"/>
      <c r="BO1" s="3881"/>
    </row>
    <row r="2" spans="1:253" s="3893" customFormat="1">
      <c r="A2" s="3883" t="s">
        <v>3483</v>
      </c>
      <c r="B2" s="3872" t="s">
        <v>3427</v>
      </c>
      <c r="C2" s="3883" t="s">
        <v>3428</v>
      </c>
      <c r="D2" s="3883" t="s">
        <v>3429</v>
      </c>
      <c r="E2" s="3883" t="s">
        <v>3430</v>
      </c>
      <c r="F2" s="3883" t="s">
        <v>3484</v>
      </c>
      <c r="G2" s="3883" t="s">
        <v>3485</v>
      </c>
      <c r="H2" s="3883" t="s">
        <v>3486</v>
      </c>
      <c r="I2" s="3883" t="s">
        <v>3487</v>
      </c>
      <c r="J2" s="3883" t="s">
        <v>3488</v>
      </c>
      <c r="K2" s="3872" t="s">
        <v>3431</v>
      </c>
      <c r="L2" s="3872" t="s">
        <v>3432</v>
      </c>
      <c r="M2" s="3872" t="s">
        <v>3489</v>
      </c>
      <c r="N2" s="3872" t="s">
        <v>3490</v>
      </c>
      <c r="O2" s="3872" t="s">
        <v>3491</v>
      </c>
      <c r="P2" s="3872" t="s">
        <v>3492</v>
      </c>
      <c r="Q2" s="3872" t="s">
        <v>3493</v>
      </c>
      <c r="R2" s="3872" t="s">
        <v>3494</v>
      </c>
      <c r="S2" s="3872" t="s">
        <v>3433</v>
      </c>
      <c r="T2" s="3884" t="s">
        <v>3434</v>
      </c>
      <c r="U2" s="3872" t="s">
        <v>3495</v>
      </c>
      <c r="V2" s="3872" t="s">
        <v>3435</v>
      </c>
      <c r="W2" s="3872" t="s">
        <v>3436</v>
      </c>
      <c r="X2" s="3884" t="s">
        <v>3437</v>
      </c>
      <c r="Y2" s="3872" t="s">
        <v>3496</v>
      </c>
      <c r="Z2" s="3872" t="s">
        <v>3497</v>
      </c>
      <c r="AA2" s="3872" t="s">
        <v>3498</v>
      </c>
      <c r="AB2" s="3872" t="s">
        <v>3438</v>
      </c>
      <c r="AC2" s="3872" t="s">
        <v>3499</v>
      </c>
      <c r="AD2" s="3872" t="s">
        <v>3439</v>
      </c>
      <c r="AE2" s="3872" t="s">
        <v>3440</v>
      </c>
      <c r="AF2" s="3872" t="s">
        <v>3441</v>
      </c>
      <c r="AG2" s="3872" t="s">
        <v>3442</v>
      </c>
      <c r="AH2" s="3872" t="s">
        <v>3443</v>
      </c>
      <c r="AI2" s="3872" t="s">
        <v>3500</v>
      </c>
      <c r="AJ2" s="3885" t="s">
        <v>3501</v>
      </c>
      <c r="AK2" s="3872" t="s">
        <v>3502</v>
      </c>
      <c r="AL2" s="3872" t="s">
        <v>3503</v>
      </c>
      <c r="AM2" s="3872" t="s">
        <v>3504</v>
      </c>
      <c r="AN2" s="3872" t="s">
        <v>3505</v>
      </c>
      <c r="AO2" s="3872" t="s">
        <v>3506</v>
      </c>
      <c r="AP2" s="3872" t="s">
        <v>3507</v>
      </c>
      <c r="AQ2" s="3872" t="s">
        <v>3508</v>
      </c>
      <c r="AR2" s="3873" t="s">
        <v>3509</v>
      </c>
      <c r="AS2" s="3873" t="s">
        <v>3497</v>
      </c>
      <c r="AT2" s="3873" t="s">
        <v>3510</v>
      </c>
      <c r="AU2" s="3873" t="s">
        <v>3511</v>
      </c>
      <c r="AV2" s="3886" t="s">
        <v>3512</v>
      </c>
      <c r="AW2" s="3887" t="s">
        <v>3513</v>
      </c>
      <c r="AX2" s="3888" t="s">
        <v>3514</v>
      </c>
      <c r="AY2" s="3889" t="s">
        <v>3515</v>
      </c>
      <c r="AZ2" s="3887" t="s">
        <v>3516</v>
      </c>
      <c r="BA2" s="3887" t="s">
        <v>3517</v>
      </c>
      <c r="BB2" s="3889" t="s">
        <v>3518</v>
      </c>
      <c r="BC2" s="3887" t="s">
        <v>3519</v>
      </c>
      <c r="BD2" s="3890" t="s">
        <v>3520</v>
      </c>
      <c r="BE2" s="3887" t="s">
        <v>3521</v>
      </c>
      <c r="BF2" s="3891" t="s">
        <v>3522</v>
      </c>
      <c r="BG2" s="3892" t="s">
        <v>3523</v>
      </c>
      <c r="BH2" s="3892" t="s">
        <v>3524</v>
      </c>
      <c r="BI2" s="3892" t="s">
        <v>3525</v>
      </c>
      <c r="BJ2" s="3879" t="s">
        <v>3526</v>
      </c>
      <c r="BK2" s="3880" t="s">
        <v>3527</v>
      </c>
      <c r="BL2" s="3873" t="s">
        <v>3528</v>
      </c>
      <c r="BM2" s="3881" t="s">
        <v>3529</v>
      </c>
      <c r="BN2" s="3881" t="s">
        <v>3530</v>
      </c>
      <c r="BO2" s="3881" t="s">
        <v>3531</v>
      </c>
    </row>
    <row r="3" spans="1:253" s="3466" customFormat="1" ht="12">
      <c r="A3" s="3462" t="s">
        <v>4011</v>
      </c>
      <c r="B3" s="3463" t="s">
        <v>4012</v>
      </c>
      <c r="C3" s="3464" t="s">
        <v>4013</v>
      </c>
      <c r="D3" s="3464" t="s">
        <v>4014</v>
      </c>
      <c r="E3" s="3463" t="s">
        <v>3979</v>
      </c>
      <c r="F3" s="3898" t="s">
        <v>4015</v>
      </c>
      <c r="G3" s="3463"/>
      <c r="H3" s="3463" t="s">
        <v>4016</v>
      </c>
      <c r="I3" s="3463"/>
      <c r="J3" s="3463" t="s">
        <v>4017</v>
      </c>
      <c r="K3" s="3463"/>
      <c r="L3" s="3463">
        <v>41.46</v>
      </c>
      <c r="M3" s="3463">
        <v>6</v>
      </c>
      <c r="N3" s="3463" t="s">
        <v>4018</v>
      </c>
      <c r="O3" s="3463"/>
      <c r="P3" s="3463" t="s">
        <v>3454</v>
      </c>
      <c r="Q3" s="3479">
        <f t="shared" ref="Q3" si="0">R3*L3</f>
        <v>184994.52</v>
      </c>
      <c r="R3" s="3463">
        <v>4462</v>
      </c>
      <c r="S3" s="3477">
        <f t="shared" ref="S3" si="1">ROUNDDOWN(U3*L3/10000,2)</f>
        <v>18.350000000000001</v>
      </c>
      <c r="T3" s="3476">
        <f t="shared" ref="T3" si="2">S3*10000</f>
        <v>183500</v>
      </c>
      <c r="U3" s="3463">
        <v>4428</v>
      </c>
      <c r="V3" s="3475">
        <v>0.05</v>
      </c>
      <c r="W3" s="3465">
        <f t="shared" ref="W3" si="3">ROUNDDOWN(S3*(1-V3),2)</f>
        <v>17.43</v>
      </c>
      <c r="X3" s="3499">
        <f t="shared" ref="X3" si="4">W3*10000</f>
        <v>174300</v>
      </c>
      <c r="Y3" s="3466">
        <v>2003</v>
      </c>
      <c r="Z3" s="3466">
        <v>12</v>
      </c>
      <c r="AA3" s="3466">
        <v>9</v>
      </c>
      <c r="AB3" s="3462">
        <f t="shared" ref="AB3" si="5">AVERAGE(ROUNDDOWN((IF($S3&lt;=100,$S3*50,5000+($S3-100)*25)),-1),ROUND((IF($S3&lt;=100,$S3*50,5000+($S3-100)*25)),-1))</f>
        <v>915</v>
      </c>
      <c r="AC3" s="3463" t="s">
        <v>4019</v>
      </c>
      <c r="AD3" s="3462"/>
      <c r="AE3" s="3466" t="s">
        <v>3444</v>
      </c>
      <c r="AF3" s="3463" t="s">
        <v>4020</v>
      </c>
      <c r="AG3" s="3467" t="s">
        <v>3445</v>
      </c>
      <c r="AH3" s="3462"/>
      <c r="AI3" s="3463" t="s">
        <v>3446</v>
      </c>
      <c r="AJ3" s="3478"/>
      <c r="AK3" s="3468" t="s">
        <v>3929</v>
      </c>
      <c r="AL3" s="3466">
        <v>67641700</v>
      </c>
      <c r="AN3" s="3463" t="s">
        <v>3986</v>
      </c>
      <c r="AP3" s="3466" t="s">
        <v>3448</v>
      </c>
      <c r="AQ3" s="3466" t="s">
        <v>3449</v>
      </c>
      <c r="AW3" s="3466" t="s">
        <v>4021</v>
      </c>
      <c r="AY3" s="3470"/>
      <c r="AZ3" s="3466" t="s">
        <v>4022</v>
      </c>
      <c r="BB3" s="3470"/>
      <c r="BD3" s="3471"/>
      <c r="BE3" s="3466">
        <v>67786421</v>
      </c>
      <c r="BF3" s="3472"/>
      <c r="BG3" s="3473">
        <v>37903</v>
      </c>
      <c r="BI3" s="3466" t="s">
        <v>4023</v>
      </c>
      <c r="BJ3" s="3474">
        <v>37958</v>
      </c>
      <c r="BK3" s="3474"/>
      <c r="BL3" s="3463"/>
      <c r="BM3" s="3466" t="s">
        <v>4024</v>
      </c>
      <c r="BN3" s="3466" t="s">
        <v>4025</v>
      </c>
      <c r="BO3" s="3466" t="s">
        <v>4026</v>
      </c>
    </row>
    <row r="4" spans="1:253" s="3506" customFormat="1" ht="12">
      <c r="A4" s="3507" t="s">
        <v>3975</v>
      </c>
      <c r="B4" s="3500" t="s">
        <v>3976</v>
      </c>
      <c r="C4" s="3501" t="s">
        <v>3977</v>
      </c>
      <c r="D4" s="3501" t="s">
        <v>3978</v>
      </c>
      <c r="E4" s="3500" t="s">
        <v>3979</v>
      </c>
      <c r="F4" s="3500" t="s">
        <v>3980</v>
      </c>
      <c r="G4" s="3500"/>
      <c r="H4" s="3500" t="s">
        <v>3981</v>
      </c>
      <c r="I4" s="3500"/>
      <c r="J4" s="3501" t="s">
        <v>3982</v>
      </c>
      <c r="K4" s="3500" t="s">
        <v>3976</v>
      </c>
      <c r="L4" s="3500">
        <v>100.71</v>
      </c>
      <c r="M4" s="3500">
        <v>6</v>
      </c>
      <c r="N4" s="3500" t="s">
        <v>3983</v>
      </c>
      <c r="O4" s="3500"/>
      <c r="P4" s="3500" t="s">
        <v>3454</v>
      </c>
      <c r="Q4" s="3967">
        <f t="shared" ref="Q4" si="6">R4*L4</f>
        <v>370008.54</v>
      </c>
      <c r="R4" s="3500">
        <v>3674</v>
      </c>
      <c r="S4" s="3512">
        <f t="shared" ref="S4" si="7">ROUNDDOWN(U4*L4/10000,2)</f>
        <v>40.630000000000003</v>
      </c>
      <c r="T4" s="3502">
        <f t="shared" ref="T4" si="8">S4*10000</f>
        <v>406300</v>
      </c>
      <c r="U4" s="3500">
        <v>4035</v>
      </c>
      <c r="V4" s="3503">
        <v>0.05</v>
      </c>
      <c r="W4" s="3504">
        <f t="shared" ref="W4" si="9">ROUNDDOWN(S4*(1-V4),2)</f>
        <v>38.590000000000003</v>
      </c>
      <c r="X4" s="3505">
        <f t="shared" ref="X4" si="10">W4*10000</f>
        <v>385900.00000000006</v>
      </c>
      <c r="Y4" s="3506">
        <v>2003</v>
      </c>
      <c r="Z4" s="3506">
        <v>12</v>
      </c>
      <c r="AA4" s="3506">
        <v>12</v>
      </c>
      <c r="AB4" s="3507">
        <f t="shared" ref="AB4" si="11">AVERAGE(ROUNDDOWN((IF($S4&lt;=100,$S4*50,5000+($S4-100)*25)),-1),ROUND((IF($S4&lt;=100,$S4*50,5000+($S4-100)*25)),-1))</f>
        <v>2030</v>
      </c>
      <c r="AC4" s="3500" t="s">
        <v>3984</v>
      </c>
      <c r="AD4" s="3507"/>
      <c r="AE4" s="3506" t="s">
        <v>3444</v>
      </c>
      <c r="AF4" s="3500" t="s">
        <v>3456</v>
      </c>
      <c r="AG4" s="3513" t="s">
        <v>3445</v>
      </c>
      <c r="AH4" s="3507" t="s">
        <v>3451</v>
      </c>
      <c r="AI4" s="3500" t="s">
        <v>3446</v>
      </c>
      <c r="AJ4" s="3968"/>
      <c r="AK4" s="3969" t="s">
        <v>3985</v>
      </c>
      <c r="AL4" s="3506">
        <v>67641700</v>
      </c>
      <c r="AN4" s="3506" t="s">
        <v>3986</v>
      </c>
      <c r="AP4" s="3506" t="s">
        <v>3987</v>
      </c>
      <c r="AQ4" s="3506" t="s">
        <v>3988</v>
      </c>
      <c r="AV4" s="3506" t="s">
        <v>3451</v>
      </c>
      <c r="AW4" s="3506" t="s">
        <v>3450</v>
      </c>
      <c r="AY4" s="3508"/>
      <c r="AZ4" s="3506" t="s">
        <v>3989</v>
      </c>
      <c r="BB4" s="3508"/>
      <c r="BD4" s="3509"/>
      <c r="BF4" s="3510"/>
      <c r="BG4" s="3970">
        <v>37890</v>
      </c>
      <c r="BI4" s="3506" t="s">
        <v>3987</v>
      </c>
      <c r="BJ4" s="3511">
        <v>37939</v>
      </c>
      <c r="BK4" s="3511"/>
      <c r="BL4" s="3500"/>
      <c r="BM4" s="3506" t="s">
        <v>3990</v>
      </c>
      <c r="BN4" s="3506" t="s">
        <v>3991</v>
      </c>
      <c r="BO4" s="3506" t="s">
        <v>3992</v>
      </c>
    </row>
    <row r="5" spans="1:253" s="3466" customFormat="1" ht="12">
      <c r="A5" s="3462" t="s">
        <v>3993</v>
      </c>
      <c r="B5" s="3463" t="s">
        <v>3994</v>
      </c>
      <c r="C5" s="3464" t="s">
        <v>3995</v>
      </c>
      <c r="D5" s="3464" t="s">
        <v>3996</v>
      </c>
      <c r="E5" s="3463" t="s">
        <v>3979</v>
      </c>
      <c r="F5" s="3463" t="s">
        <v>3997</v>
      </c>
      <c r="G5" s="3463"/>
      <c r="H5" s="3463" t="s">
        <v>3998</v>
      </c>
      <c r="I5" s="3463" t="s">
        <v>3999</v>
      </c>
      <c r="J5" s="3463" t="s">
        <v>4000</v>
      </c>
      <c r="K5" s="3463" t="s">
        <v>4001</v>
      </c>
      <c r="L5" s="3463">
        <v>51.3</v>
      </c>
      <c r="M5" s="3463">
        <v>5</v>
      </c>
      <c r="N5" s="3463" t="s">
        <v>3462</v>
      </c>
      <c r="O5" s="3463"/>
      <c r="P5" s="3463" t="s">
        <v>3454</v>
      </c>
      <c r="Q5" s="3479">
        <v>179999.90099999998</v>
      </c>
      <c r="R5" s="3463">
        <v>3508.77</v>
      </c>
      <c r="S5" s="3477">
        <v>21.85</v>
      </c>
      <c r="T5" s="3476">
        <v>218500</v>
      </c>
      <c r="U5" s="3463">
        <v>4260</v>
      </c>
      <c r="V5" s="3475">
        <v>0.05</v>
      </c>
      <c r="W5" s="3465">
        <v>20.75</v>
      </c>
      <c r="X5" s="3499">
        <v>207500</v>
      </c>
      <c r="Y5" s="3466">
        <v>2003</v>
      </c>
      <c r="Z5" s="3466">
        <v>12</v>
      </c>
      <c r="AA5" s="3466">
        <v>3</v>
      </c>
      <c r="AB5" s="3462">
        <v>1090</v>
      </c>
      <c r="AC5" s="3463" t="s">
        <v>4002</v>
      </c>
      <c r="AD5" s="3462"/>
      <c r="AE5" s="3463" t="s">
        <v>3444</v>
      </c>
      <c r="AF5" s="3463" t="s">
        <v>4003</v>
      </c>
      <c r="AG5" s="3463" t="s">
        <v>3445</v>
      </c>
      <c r="AH5" s="3462"/>
      <c r="AI5" s="3463" t="s">
        <v>4004</v>
      </c>
      <c r="AJ5" s="3478"/>
      <c r="AK5" s="3966" t="s">
        <v>4005</v>
      </c>
      <c r="AL5" s="3466">
        <v>67641700</v>
      </c>
      <c r="AN5" s="3469" t="s">
        <v>3453</v>
      </c>
      <c r="AO5" s="3463"/>
      <c r="AP5" s="3463" t="s">
        <v>4006</v>
      </c>
      <c r="AQ5" s="3463" t="s">
        <v>4007</v>
      </c>
      <c r="AR5" s="3466">
        <v>2003</v>
      </c>
      <c r="AS5" s="3466">
        <v>12</v>
      </c>
      <c r="AT5" s="3466">
        <v>3</v>
      </c>
      <c r="AU5" s="3466" t="s">
        <v>4008</v>
      </c>
      <c r="AY5" s="3470"/>
      <c r="AZ5" s="3466" t="s">
        <v>4001</v>
      </c>
      <c r="BB5" s="3470"/>
      <c r="BD5" s="3471"/>
      <c r="BF5" s="3472"/>
      <c r="BG5" s="3473"/>
      <c r="BH5" s="3466" t="s">
        <v>4009</v>
      </c>
      <c r="BI5" s="3463" t="s">
        <v>3448</v>
      </c>
      <c r="BJ5" s="3474">
        <v>37939</v>
      </c>
      <c r="BK5" s="3474"/>
      <c r="BL5" s="3463" t="s">
        <v>4010</v>
      </c>
    </row>
    <row r="6" spans="1:253" s="3907" customFormat="1" ht="12" hidden="1">
      <c r="A6" s="3895" t="s">
        <v>3542</v>
      </c>
      <c r="B6" s="3895" t="s">
        <v>3543</v>
      </c>
      <c r="C6" s="3896" t="s">
        <v>3544</v>
      </c>
      <c r="D6" s="3897" t="s">
        <v>3545</v>
      </c>
      <c r="E6" s="3895" t="s">
        <v>3532</v>
      </c>
      <c r="F6" s="3898" t="s">
        <v>3533</v>
      </c>
      <c r="G6" s="3895"/>
      <c r="H6" s="3895" t="s">
        <v>3534</v>
      </c>
      <c r="I6" s="3895" t="s">
        <v>3546</v>
      </c>
      <c r="J6" s="3897" t="s">
        <v>3547</v>
      </c>
      <c r="K6" s="3895" t="s">
        <v>3535</v>
      </c>
      <c r="L6" s="3895">
        <v>82.16</v>
      </c>
      <c r="M6" s="3895">
        <v>11</v>
      </c>
      <c r="N6" s="3895" t="s">
        <v>3548</v>
      </c>
      <c r="O6" s="3895">
        <v>64.19</v>
      </c>
      <c r="P6" s="3895" t="s">
        <v>3454</v>
      </c>
      <c r="Q6" s="3899">
        <v>410964.32</v>
      </c>
      <c r="R6" s="3900">
        <v>5002</v>
      </c>
      <c r="S6" s="3901">
        <v>40.68</v>
      </c>
      <c r="T6" s="3902">
        <v>406800</v>
      </c>
      <c r="U6" s="3900">
        <v>4952</v>
      </c>
      <c r="V6" s="3903">
        <v>0.1</v>
      </c>
      <c r="W6" s="3904">
        <v>36.61</v>
      </c>
      <c r="X6" s="3905">
        <v>366100</v>
      </c>
      <c r="Y6" s="3906">
        <v>2003</v>
      </c>
      <c r="Z6" s="3906">
        <v>1</v>
      </c>
      <c r="AA6" s="3907">
        <v>3</v>
      </c>
      <c r="AB6" s="3908">
        <v>2030</v>
      </c>
      <c r="AC6" s="3895" t="s">
        <v>3549</v>
      </c>
      <c r="AD6" s="3894"/>
      <c r="AE6" s="3907" t="s">
        <v>3444</v>
      </c>
      <c r="AF6" s="3895" t="s">
        <v>3537</v>
      </c>
      <c r="AG6" s="3909" t="s">
        <v>3445</v>
      </c>
      <c r="AH6" s="3894"/>
      <c r="AI6" s="3895" t="s">
        <v>3538</v>
      </c>
      <c r="AJ6" s="3910">
        <v>37621</v>
      </c>
      <c r="AK6" s="3911" t="s">
        <v>3467</v>
      </c>
      <c r="AL6" s="3907">
        <v>67641700</v>
      </c>
      <c r="AN6" s="3907" t="s">
        <v>3467</v>
      </c>
      <c r="AO6" s="3907" t="s">
        <v>3451</v>
      </c>
      <c r="AP6" s="3907" t="s">
        <v>3448</v>
      </c>
      <c r="AQ6" s="3907" t="s">
        <v>3449</v>
      </c>
      <c r="AW6" s="3907" t="s">
        <v>3450</v>
      </c>
      <c r="AX6" s="3907" t="s">
        <v>2510</v>
      </c>
      <c r="AY6" s="3912" t="s">
        <v>3550</v>
      </c>
      <c r="AZ6" s="3907" t="s">
        <v>3535</v>
      </c>
      <c r="BA6" s="3907" t="s">
        <v>3539</v>
      </c>
      <c r="BB6" s="3912">
        <v>1101031100768</v>
      </c>
      <c r="BC6" s="3907" t="s">
        <v>3540</v>
      </c>
      <c r="BD6" s="3913">
        <v>100062</v>
      </c>
      <c r="BE6" s="3907" t="s">
        <v>3451</v>
      </c>
      <c r="BF6" s="3914">
        <v>2.7</v>
      </c>
      <c r="BG6" s="3915">
        <v>37609</v>
      </c>
      <c r="BH6" s="3907" t="s">
        <v>3521</v>
      </c>
      <c r="BI6" s="3907" t="s">
        <v>3448</v>
      </c>
      <c r="BJ6" s="3915">
        <v>37623</v>
      </c>
      <c r="BK6" s="3915"/>
      <c r="BL6" s="3895" t="s">
        <v>3452</v>
      </c>
      <c r="BS6" s="3895"/>
      <c r="BT6" s="3895"/>
      <c r="BU6" s="3895"/>
    </row>
    <row r="7" spans="1:253" s="3895" customFormat="1" ht="12" hidden="1">
      <c r="A7" s="3895" t="s">
        <v>3551</v>
      </c>
      <c r="B7" s="3895" t="s">
        <v>3552</v>
      </c>
      <c r="C7" s="3916" t="s">
        <v>3553</v>
      </c>
      <c r="D7" s="3895" t="s">
        <v>3554</v>
      </c>
      <c r="E7" s="3895" t="s">
        <v>3532</v>
      </c>
      <c r="F7" s="3895" t="s">
        <v>3555</v>
      </c>
      <c r="H7" s="3895" t="s">
        <v>3556</v>
      </c>
      <c r="I7" s="3895" t="s">
        <v>3557</v>
      </c>
      <c r="J7" s="3895" t="s">
        <v>3558</v>
      </c>
      <c r="K7" s="3895" t="s">
        <v>3535</v>
      </c>
      <c r="L7" s="3895">
        <v>82.16</v>
      </c>
      <c r="M7" s="3895">
        <v>10</v>
      </c>
      <c r="N7" s="3895" t="s">
        <v>3462</v>
      </c>
      <c r="O7" s="3895">
        <v>64.19</v>
      </c>
      <c r="P7" s="3895" t="s">
        <v>3454</v>
      </c>
      <c r="Q7" s="3899">
        <v>409321.12</v>
      </c>
      <c r="R7" s="3895">
        <v>4982</v>
      </c>
      <c r="S7" s="3901">
        <v>40.520000000000003</v>
      </c>
      <c r="T7" s="3905">
        <v>405200</v>
      </c>
      <c r="U7" s="3895">
        <v>4932</v>
      </c>
      <c r="V7" s="3917">
        <v>0.1</v>
      </c>
      <c r="W7" s="3904">
        <v>36.46</v>
      </c>
      <c r="X7" s="3918">
        <v>364600</v>
      </c>
      <c r="Y7" s="3907">
        <v>2003</v>
      </c>
      <c r="Z7" s="3907">
        <v>1</v>
      </c>
      <c r="AA7" s="3895">
        <v>7</v>
      </c>
      <c r="AB7" s="3908">
        <v>2025</v>
      </c>
      <c r="AC7" s="3919" t="s">
        <v>3559</v>
      </c>
      <c r="AE7" s="3895" t="s">
        <v>3444</v>
      </c>
      <c r="AF7" s="3895" t="s">
        <v>3537</v>
      </c>
      <c r="AG7" s="3895" t="s">
        <v>3445</v>
      </c>
      <c r="AI7" s="3895" t="s">
        <v>3538</v>
      </c>
      <c r="AJ7" s="3920">
        <v>37560</v>
      </c>
      <c r="AK7" s="3911" t="s">
        <v>3467</v>
      </c>
      <c r="AL7" s="3895">
        <v>67641700</v>
      </c>
      <c r="AN7" s="3921" t="s">
        <v>3447</v>
      </c>
      <c r="AO7" s="3895" t="s">
        <v>3451</v>
      </c>
      <c r="AP7" s="3895" t="s">
        <v>3448</v>
      </c>
      <c r="AQ7" s="3895" t="s">
        <v>3449</v>
      </c>
      <c r="AW7" s="3895" t="s">
        <v>3450</v>
      </c>
      <c r="AX7" s="3895" t="s">
        <v>2510</v>
      </c>
      <c r="AY7" s="3897" t="s">
        <v>3560</v>
      </c>
      <c r="AZ7" s="3895" t="s">
        <v>3535</v>
      </c>
      <c r="BA7" s="3895" t="s">
        <v>3539</v>
      </c>
      <c r="BB7" s="3897">
        <v>1101031100768</v>
      </c>
      <c r="BC7" s="3895" t="s">
        <v>3540</v>
      </c>
      <c r="BD7" s="3922">
        <v>100062</v>
      </c>
      <c r="BE7" s="3895" t="s">
        <v>3451</v>
      </c>
      <c r="BF7" s="3923">
        <v>2.7</v>
      </c>
      <c r="BG7" s="3920">
        <v>37549</v>
      </c>
      <c r="BH7" s="3895" t="s">
        <v>3429</v>
      </c>
      <c r="BI7" s="3907" t="s">
        <v>3448</v>
      </c>
      <c r="BJ7" s="3924">
        <v>37627</v>
      </c>
      <c r="BK7" s="3920"/>
      <c r="BL7" s="3907" t="s">
        <v>3452</v>
      </c>
      <c r="BM7" s="3907"/>
      <c r="BN7" s="3907"/>
      <c r="BO7" s="3907"/>
      <c r="BP7" s="3907"/>
      <c r="BQ7" s="3907"/>
      <c r="BR7" s="3907"/>
    </row>
    <row r="8" spans="1:253" s="3895" customFormat="1" ht="12" hidden="1">
      <c r="A8" s="3895" t="s">
        <v>3561</v>
      </c>
      <c r="B8" s="3895" t="s">
        <v>3562</v>
      </c>
      <c r="C8" s="3916" t="s">
        <v>3563</v>
      </c>
      <c r="D8" s="3895" t="s">
        <v>3564</v>
      </c>
      <c r="E8" s="3895" t="s">
        <v>3532</v>
      </c>
      <c r="F8" s="3895" t="s">
        <v>3533</v>
      </c>
      <c r="H8" s="3895" t="s">
        <v>3565</v>
      </c>
      <c r="I8" s="3895" t="s">
        <v>3566</v>
      </c>
      <c r="J8" s="3895" t="s">
        <v>3567</v>
      </c>
      <c r="K8" s="3895" t="s">
        <v>3535</v>
      </c>
      <c r="L8" s="3895">
        <v>96.78</v>
      </c>
      <c r="M8" s="3895">
        <v>4</v>
      </c>
      <c r="N8" s="3895" t="s">
        <v>3462</v>
      </c>
      <c r="O8" s="3895">
        <v>71.709999999999994</v>
      </c>
      <c r="P8" s="3895" t="s">
        <v>3454</v>
      </c>
      <c r="Q8" s="3899">
        <v>512643.66</v>
      </c>
      <c r="R8" s="3895">
        <v>5297</v>
      </c>
      <c r="S8" s="3901">
        <v>50.76</v>
      </c>
      <c r="T8" s="3905">
        <v>507600</v>
      </c>
      <c r="U8" s="3895">
        <v>5245</v>
      </c>
      <c r="V8" s="3917">
        <v>0.1</v>
      </c>
      <c r="W8" s="3904">
        <v>45.68</v>
      </c>
      <c r="X8" s="3918">
        <v>456800</v>
      </c>
      <c r="Y8" s="3907">
        <v>2003</v>
      </c>
      <c r="Z8" s="3907">
        <v>1</v>
      </c>
      <c r="AA8" s="3895">
        <v>8</v>
      </c>
      <c r="AB8" s="3908">
        <v>2535</v>
      </c>
      <c r="AC8" s="3919" t="s">
        <v>3568</v>
      </c>
      <c r="AE8" s="3895" t="s">
        <v>3444</v>
      </c>
      <c r="AF8" s="3895" t="s">
        <v>3537</v>
      </c>
      <c r="AG8" s="3895" t="s">
        <v>3445</v>
      </c>
      <c r="AI8" s="3895" t="s">
        <v>3538</v>
      </c>
      <c r="AJ8" s="3920">
        <v>37560</v>
      </c>
      <c r="AK8" s="3911" t="s">
        <v>3467</v>
      </c>
      <c r="AL8" s="3895">
        <v>67641700</v>
      </c>
      <c r="AN8" s="3921" t="s">
        <v>3447</v>
      </c>
      <c r="AO8" s="3895" t="s">
        <v>3451</v>
      </c>
      <c r="AP8" s="3895" t="s">
        <v>3448</v>
      </c>
      <c r="AQ8" s="3895" t="s">
        <v>3449</v>
      </c>
      <c r="AW8" s="3895" t="s">
        <v>3450</v>
      </c>
      <c r="AX8" s="3895" t="s">
        <v>2510</v>
      </c>
      <c r="AY8" s="3897" t="s">
        <v>3569</v>
      </c>
      <c r="AZ8" s="3895" t="s">
        <v>3535</v>
      </c>
      <c r="BA8" s="3895" t="s">
        <v>3539</v>
      </c>
      <c r="BB8" s="3897">
        <v>1101031100768</v>
      </c>
      <c r="BC8" s="3895" t="s">
        <v>3540</v>
      </c>
      <c r="BD8" s="3922">
        <v>100062</v>
      </c>
      <c r="BE8" s="3895" t="s">
        <v>3451</v>
      </c>
      <c r="BF8" s="3923">
        <v>2.7</v>
      </c>
      <c r="BG8" s="3920">
        <v>37546</v>
      </c>
      <c r="BH8" s="3895" t="s">
        <v>3429</v>
      </c>
      <c r="BI8" s="3907" t="s">
        <v>3448</v>
      </c>
      <c r="BJ8" s="3924">
        <v>37628</v>
      </c>
      <c r="BK8" s="3920"/>
      <c r="BL8" s="3907" t="s">
        <v>3452</v>
      </c>
      <c r="BM8" s="3907"/>
      <c r="BN8" s="3907"/>
      <c r="BO8" s="3907"/>
      <c r="BP8" s="3907"/>
      <c r="BQ8" s="3907"/>
      <c r="BR8" s="3907"/>
    </row>
    <row r="9" spans="1:253" s="3895" customFormat="1" ht="12" hidden="1">
      <c r="A9" s="3895" t="s">
        <v>3570</v>
      </c>
      <c r="B9" s="3895" t="s">
        <v>3571</v>
      </c>
      <c r="C9" s="3916" t="s">
        <v>3572</v>
      </c>
      <c r="D9" s="3895" t="s">
        <v>3573</v>
      </c>
      <c r="E9" s="3895" t="s">
        <v>3532</v>
      </c>
      <c r="F9" s="3895" t="s">
        <v>3533</v>
      </c>
      <c r="H9" s="3895" t="s">
        <v>3556</v>
      </c>
      <c r="I9" s="3895" t="s">
        <v>3574</v>
      </c>
      <c r="J9" s="3895" t="s">
        <v>3575</v>
      </c>
      <c r="K9" s="3895" t="s">
        <v>3535</v>
      </c>
      <c r="L9" s="3895">
        <v>82.16</v>
      </c>
      <c r="M9" s="3895">
        <v>6</v>
      </c>
      <c r="N9" s="3895" t="s">
        <v>3462</v>
      </c>
      <c r="O9" s="3895">
        <v>64.19</v>
      </c>
      <c r="P9" s="3895" t="s">
        <v>3454</v>
      </c>
      <c r="Q9" s="3899">
        <v>402748.32</v>
      </c>
      <c r="R9" s="3895">
        <v>4902</v>
      </c>
      <c r="S9" s="3901">
        <v>39.86</v>
      </c>
      <c r="T9" s="3905">
        <v>398600</v>
      </c>
      <c r="U9" s="3895">
        <v>4852</v>
      </c>
      <c r="V9" s="3917">
        <v>0.1</v>
      </c>
      <c r="W9" s="3904">
        <v>35.869999999999997</v>
      </c>
      <c r="X9" s="3918">
        <v>358700</v>
      </c>
      <c r="Y9" s="3907">
        <v>2003</v>
      </c>
      <c r="Z9" s="3907">
        <v>1</v>
      </c>
      <c r="AA9" s="3895">
        <v>8</v>
      </c>
      <c r="AB9" s="3908">
        <v>1990</v>
      </c>
      <c r="AC9" s="3919" t="s">
        <v>3568</v>
      </c>
      <c r="AE9" s="3895" t="s">
        <v>3444</v>
      </c>
      <c r="AF9" s="3895" t="s">
        <v>3537</v>
      </c>
      <c r="AG9" s="3895" t="s">
        <v>3445</v>
      </c>
      <c r="AI9" s="3895" t="s">
        <v>3538</v>
      </c>
      <c r="AJ9" s="3920">
        <v>37560</v>
      </c>
      <c r="AK9" s="3911" t="s">
        <v>3467</v>
      </c>
      <c r="AL9" s="3895">
        <v>67641700</v>
      </c>
      <c r="AN9" s="3921" t="s">
        <v>3447</v>
      </c>
      <c r="AO9" s="3895" t="s">
        <v>3451</v>
      </c>
      <c r="AP9" s="3895" t="s">
        <v>3448</v>
      </c>
      <c r="AQ9" s="3895" t="s">
        <v>3449</v>
      </c>
      <c r="AW9" s="3895" t="s">
        <v>3450</v>
      </c>
      <c r="AX9" s="3895" t="s">
        <v>2510</v>
      </c>
      <c r="AY9" s="3897" t="s">
        <v>3576</v>
      </c>
      <c r="AZ9" s="3895" t="s">
        <v>3535</v>
      </c>
      <c r="BA9" s="3895" t="s">
        <v>3539</v>
      </c>
      <c r="BB9" s="3897">
        <v>1101031100768</v>
      </c>
      <c r="BC9" s="3895" t="s">
        <v>3540</v>
      </c>
      <c r="BD9" s="3922">
        <v>100062</v>
      </c>
      <c r="BE9" s="3895" t="s">
        <v>3451</v>
      </c>
      <c r="BF9" s="3923">
        <v>2.7</v>
      </c>
      <c r="BG9" s="3920">
        <v>37556</v>
      </c>
      <c r="BH9" s="3895" t="s">
        <v>3429</v>
      </c>
      <c r="BI9" s="3907" t="s">
        <v>3448</v>
      </c>
      <c r="BJ9" s="3924">
        <v>37628</v>
      </c>
      <c r="BK9" s="3920"/>
      <c r="BL9" s="3907" t="s">
        <v>3452</v>
      </c>
      <c r="BM9" s="3907"/>
      <c r="BN9" s="3907"/>
      <c r="BO9" s="3907"/>
      <c r="BP9" s="3907"/>
      <c r="BQ9" s="3907"/>
      <c r="BR9" s="3907"/>
    </row>
    <row r="10" spans="1:253" s="3907" customFormat="1" ht="12" hidden="1">
      <c r="A10" s="3895" t="s">
        <v>3577</v>
      </c>
      <c r="B10" s="3895" t="s">
        <v>3578</v>
      </c>
      <c r="C10" s="3897" t="s">
        <v>3579</v>
      </c>
      <c r="D10" s="3897" t="s">
        <v>3580</v>
      </c>
      <c r="E10" s="3895" t="s">
        <v>3532</v>
      </c>
      <c r="F10" s="3898" t="s">
        <v>3533</v>
      </c>
      <c r="G10" s="3895"/>
      <c r="H10" s="3895" t="s">
        <v>3581</v>
      </c>
      <c r="I10" s="3895" t="s">
        <v>3582</v>
      </c>
      <c r="J10" s="3897" t="s">
        <v>3583</v>
      </c>
      <c r="K10" s="3895" t="s">
        <v>3535</v>
      </c>
      <c r="L10" s="3895">
        <v>54.16</v>
      </c>
      <c r="M10" s="3895">
        <v>15</v>
      </c>
      <c r="N10" s="3895" t="s">
        <v>3584</v>
      </c>
      <c r="O10" s="3895">
        <v>41.94</v>
      </c>
      <c r="P10" s="3895" t="s">
        <v>3454</v>
      </c>
      <c r="Q10" s="3899">
        <v>293655.51999999996</v>
      </c>
      <c r="R10" s="3900">
        <v>5422</v>
      </c>
      <c r="S10" s="3901">
        <v>29.09</v>
      </c>
      <c r="T10" s="3902">
        <v>290900</v>
      </c>
      <c r="U10" s="3900">
        <v>5372</v>
      </c>
      <c r="V10" s="3903">
        <v>0.1</v>
      </c>
      <c r="W10" s="3904">
        <v>26.18</v>
      </c>
      <c r="X10" s="3905">
        <v>261800</v>
      </c>
      <c r="Y10" s="3906">
        <v>2003</v>
      </c>
      <c r="Z10" s="3906">
        <v>1</v>
      </c>
      <c r="AA10" s="3907">
        <v>15</v>
      </c>
      <c r="AB10" s="3908">
        <v>1450</v>
      </c>
      <c r="AC10" s="3895" t="s">
        <v>3585</v>
      </c>
      <c r="AD10" s="3894"/>
      <c r="AE10" s="3907" t="s">
        <v>3444</v>
      </c>
      <c r="AF10" s="3895" t="s">
        <v>3537</v>
      </c>
      <c r="AG10" s="3909" t="s">
        <v>3445</v>
      </c>
      <c r="AH10" s="3894"/>
      <c r="AI10" s="3895" t="s">
        <v>3538</v>
      </c>
      <c r="AJ10" s="3910">
        <v>37560</v>
      </c>
      <c r="AK10" s="3925">
        <v>1</v>
      </c>
      <c r="AL10" s="3907">
        <v>67641700</v>
      </c>
      <c r="AN10" s="3921" t="s">
        <v>3586</v>
      </c>
      <c r="AO10" s="3907" t="s">
        <v>3451</v>
      </c>
      <c r="AP10" s="3907" t="s">
        <v>3448</v>
      </c>
      <c r="AQ10" s="3907" t="s">
        <v>3449</v>
      </c>
      <c r="AW10" s="3907" t="s">
        <v>3450</v>
      </c>
      <c r="AX10" s="3907" t="s">
        <v>2510</v>
      </c>
      <c r="AY10" s="3912" t="s">
        <v>3587</v>
      </c>
      <c r="AZ10" s="3907" t="s">
        <v>3535</v>
      </c>
      <c r="BA10" s="3907" t="s">
        <v>3539</v>
      </c>
      <c r="BB10" s="3912">
        <v>1101031100768</v>
      </c>
      <c r="BC10" s="3907" t="s">
        <v>3540</v>
      </c>
      <c r="BD10" s="3913">
        <v>100062</v>
      </c>
      <c r="BE10" s="3907" t="s">
        <v>3451</v>
      </c>
      <c r="BF10" s="3914">
        <v>2.7</v>
      </c>
      <c r="BG10" s="3915">
        <v>37412</v>
      </c>
      <c r="BH10" s="3907" t="s">
        <v>3521</v>
      </c>
      <c r="BI10" s="3907" t="s">
        <v>3448</v>
      </c>
      <c r="BJ10" s="3915">
        <v>37618</v>
      </c>
      <c r="BK10" s="3915"/>
      <c r="BL10" s="3895" t="s">
        <v>3452</v>
      </c>
      <c r="BS10" s="3895"/>
      <c r="BT10" s="3895"/>
      <c r="BU10" s="3895"/>
    </row>
    <row r="11" spans="1:253" s="3895" customFormat="1" ht="12" hidden="1">
      <c r="A11" s="3926" t="s">
        <v>3588</v>
      </c>
      <c r="B11" s="3895" t="s">
        <v>3589</v>
      </c>
      <c r="C11" s="3927">
        <v>110104691114001</v>
      </c>
      <c r="D11" s="3895">
        <v>67745847</v>
      </c>
      <c r="E11" s="3895" t="s">
        <v>3532</v>
      </c>
      <c r="F11" s="3895" t="s">
        <v>3533</v>
      </c>
      <c r="H11" s="3926" t="s">
        <v>3590</v>
      </c>
      <c r="I11" s="3926" t="s">
        <v>3591</v>
      </c>
      <c r="J11" s="3926" t="s">
        <v>3592</v>
      </c>
      <c r="K11" s="3895" t="s">
        <v>3535</v>
      </c>
      <c r="L11" s="3900">
        <v>85.88</v>
      </c>
      <c r="M11" s="3900">
        <v>9</v>
      </c>
      <c r="N11" s="3895" t="s">
        <v>3462</v>
      </c>
      <c r="O11" s="3900">
        <v>67.099999999999994</v>
      </c>
      <c r="P11" s="3895" t="s">
        <v>3454</v>
      </c>
      <c r="Q11" s="3928">
        <v>467874.24</v>
      </c>
      <c r="R11" s="3900">
        <v>5448</v>
      </c>
      <c r="S11" s="3901">
        <v>46.28</v>
      </c>
      <c r="T11" s="3905">
        <v>462800</v>
      </c>
      <c r="U11" s="3900">
        <v>5390</v>
      </c>
      <c r="V11" s="3903">
        <v>0.1</v>
      </c>
      <c r="W11" s="3904">
        <v>41.65</v>
      </c>
      <c r="X11" s="3929">
        <v>416500</v>
      </c>
      <c r="Y11" s="3900">
        <v>2003</v>
      </c>
      <c r="Z11" s="3900">
        <v>1</v>
      </c>
      <c r="AA11" s="3900">
        <v>20</v>
      </c>
      <c r="AB11" s="3908">
        <v>2310</v>
      </c>
      <c r="AC11" s="3895" t="s">
        <v>3549</v>
      </c>
      <c r="AE11" s="3930" t="s">
        <v>3444</v>
      </c>
      <c r="AF11" s="3895" t="s">
        <v>3593</v>
      </c>
      <c r="AG11" s="3895" t="s">
        <v>3445</v>
      </c>
      <c r="AI11" s="3930" t="s">
        <v>3538</v>
      </c>
      <c r="AJ11" s="3920">
        <v>37560</v>
      </c>
      <c r="AK11" s="3925">
        <v>1</v>
      </c>
      <c r="AL11" s="3900">
        <v>67641700</v>
      </c>
      <c r="AN11" s="3907" t="s">
        <v>3455</v>
      </c>
      <c r="AO11" s="3895" t="s">
        <v>3451</v>
      </c>
      <c r="AP11" s="3930" t="s">
        <v>3448</v>
      </c>
      <c r="AQ11" s="3930" t="s">
        <v>3449</v>
      </c>
      <c r="AV11" s="3931"/>
      <c r="AW11" s="3895" t="s">
        <v>3450</v>
      </c>
      <c r="AY11" s="3900">
        <v>191378</v>
      </c>
      <c r="AZ11" s="3895" t="s">
        <v>3535</v>
      </c>
      <c r="BA11" s="3895" t="s">
        <v>3539</v>
      </c>
      <c r="BB11" s="3895" t="s">
        <v>3594</v>
      </c>
      <c r="BC11" s="3895" t="s">
        <v>3540</v>
      </c>
      <c r="BD11" s="3895">
        <v>100062</v>
      </c>
      <c r="BE11" s="3895" t="s">
        <v>3451</v>
      </c>
      <c r="BF11" s="3932">
        <v>2.7</v>
      </c>
      <c r="BG11" s="3920">
        <v>37549</v>
      </c>
      <c r="BH11" s="3895" t="s">
        <v>3595</v>
      </c>
      <c r="BI11" s="3907" t="s">
        <v>3448</v>
      </c>
      <c r="BJ11" s="3920">
        <v>37608</v>
      </c>
      <c r="BL11" s="3907" t="s">
        <v>3452</v>
      </c>
      <c r="BM11" s="3907"/>
      <c r="BN11" s="3907"/>
      <c r="BO11" s="3907"/>
      <c r="BP11" s="3907"/>
      <c r="BQ11" s="3907"/>
      <c r="BR11" s="3907"/>
    </row>
    <row r="12" spans="1:253" s="3895" customFormat="1" ht="12" hidden="1">
      <c r="A12" s="3926" t="s">
        <v>3596</v>
      </c>
      <c r="B12" s="3895" t="s">
        <v>3597</v>
      </c>
      <c r="C12" s="3897" t="s">
        <v>3598</v>
      </c>
      <c r="D12" s="3895">
        <v>13011077587</v>
      </c>
      <c r="E12" s="3895" t="s">
        <v>3532</v>
      </c>
      <c r="F12" s="3895" t="s">
        <v>3533</v>
      </c>
      <c r="H12" s="3926" t="s">
        <v>3599</v>
      </c>
      <c r="I12" s="3926" t="s">
        <v>3600</v>
      </c>
      <c r="J12" s="3926" t="s">
        <v>3601</v>
      </c>
      <c r="K12" s="3895" t="s">
        <v>3535</v>
      </c>
      <c r="L12" s="3900">
        <v>83.41</v>
      </c>
      <c r="M12" s="3900">
        <v>7</v>
      </c>
      <c r="N12" s="3895" t="s">
        <v>3462</v>
      </c>
      <c r="O12" s="3900">
        <v>64.59</v>
      </c>
      <c r="P12" s="3895" t="s">
        <v>3454</v>
      </c>
      <c r="Q12" s="3928">
        <v>408709</v>
      </c>
      <c r="R12" s="3900">
        <v>4900</v>
      </c>
      <c r="S12" s="3901">
        <v>40.450000000000003</v>
      </c>
      <c r="T12" s="3905">
        <v>404500</v>
      </c>
      <c r="U12" s="3900">
        <v>4850</v>
      </c>
      <c r="V12" s="3903">
        <v>0.1</v>
      </c>
      <c r="W12" s="3904">
        <v>36.4</v>
      </c>
      <c r="X12" s="3929">
        <v>364000</v>
      </c>
      <c r="Y12" s="3900">
        <v>2003</v>
      </c>
      <c r="Z12" s="3900">
        <v>1</v>
      </c>
      <c r="AA12" s="3900">
        <v>28</v>
      </c>
      <c r="AB12" s="3908">
        <v>2020</v>
      </c>
      <c r="AC12" s="3895" t="s">
        <v>3585</v>
      </c>
      <c r="AE12" s="3930" t="s">
        <v>3444</v>
      </c>
      <c r="AF12" s="3895" t="s">
        <v>3602</v>
      </c>
      <c r="AG12" s="3895" t="s">
        <v>3445</v>
      </c>
      <c r="AI12" s="3930" t="s">
        <v>3538</v>
      </c>
      <c r="AJ12" s="3920">
        <v>37621</v>
      </c>
      <c r="AK12" s="3925">
        <v>1</v>
      </c>
      <c r="AL12" s="3900">
        <v>67641700</v>
      </c>
      <c r="AN12" s="3921" t="s">
        <v>3603</v>
      </c>
      <c r="AO12" s="3895" t="s">
        <v>3451</v>
      </c>
      <c r="AP12" s="3930" t="s">
        <v>3448</v>
      </c>
      <c r="AQ12" s="3930" t="s">
        <v>3449</v>
      </c>
      <c r="AV12" s="3931"/>
      <c r="AW12" s="3895" t="s">
        <v>3450</v>
      </c>
      <c r="AY12" s="3900">
        <v>233830</v>
      </c>
      <c r="AZ12" s="3895" t="s">
        <v>3535</v>
      </c>
      <c r="BA12" s="3895" t="s">
        <v>3539</v>
      </c>
      <c r="BB12" s="3895" t="s">
        <v>3594</v>
      </c>
      <c r="BC12" s="3895" t="s">
        <v>3540</v>
      </c>
      <c r="BD12" s="3895">
        <v>100062</v>
      </c>
      <c r="BE12" s="3895" t="s">
        <v>3451</v>
      </c>
      <c r="BF12" s="3932">
        <v>2.7</v>
      </c>
      <c r="BG12" s="3920">
        <v>37600</v>
      </c>
      <c r="BH12" s="3895" t="s">
        <v>3604</v>
      </c>
      <c r="BI12" s="3907" t="s">
        <v>3448</v>
      </c>
      <c r="BJ12" s="3920">
        <v>37607</v>
      </c>
      <c r="BL12" s="3907" t="s">
        <v>3452</v>
      </c>
      <c r="BM12" s="3907"/>
      <c r="BN12" s="3907"/>
      <c r="BO12" s="3907"/>
      <c r="BP12" s="3907"/>
      <c r="BQ12" s="3907"/>
      <c r="BR12" s="3907"/>
    </row>
    <row r="13" spans="1:253" s="3939" customFormat="1" ht="12" hidden="1">
      <c r="A13" s="3895" t="s">
        <v>3605</v>
      </c>
      <c r="B13" s="3895" t="s">
        <v>3606</v>
      </c>
      <c r="C13" s="3896" t="s">
        <v>3607</v>
      </c>
      <c r="D13" s="3897" t="s">
        <v>3608</v>
      </c>
      <c r="E13" s="3895" t="s">
        <v>3532</v>
      </c>
      <c r="F13" s="3898" t="s">
        <v>3533</v>
      </c>
      <c r="G13" s="3895"/>
      <c r="H13" s="3895" t="s">
        <v>3534</v>
      </c>
      <c r="I13" s="3895" t="s">
        <v>3609</v>
      </c>
      <c r="J13" s="3897" t="s">
        <v>3610</v>
      </c>
      <c r="K13" s="3895" t="s">
        <v>3535</v>
      </c>
      <c r="L13" s="3895">
        <v>82.16</v>
      </c>
      <c r="M13" s="3895">
        <v>7</v>
      </c>
      <c r="N13" s="3895" t="s">
        <v>3548</v>
      </c>
      <c r="O13" s="3895">
        <v>64.19</v>
      </c>
      <c r="P13" s="3895" t="s">
        <v>3454</v>
      </c>
      <c r="Q13" s="3899">
        <v>400201.36</v>
      </c>
      <c r="R13" s="3900">
        <v>4871</v>
      </c>
      <c r="S13" s="3933">
        <v>39.6</v>
      </c>
      <c r="T13" s="3934">
        <v>396000</v>
      </c>
      <c r="U13" s="3935">
        <v>4820</v>
      </c>
      <c r="V13" s="3936">
        <v>0.1</v>
      </c>
      <c r="W13" s="3904">
        <v>35.64</v>
      </c>
      <c r="X13" s="3937">
        <v>356400</v>
      </c>
      <c r="Y13" s="3935">
        <v>2003</v>
      </c>
      <c r="Z13" s="3935">
        <v>3</v>
      </c>
      <c r="AA13" s="3935">
        <v>31</v>
      </c>
      <c r="AB13" s="3908">
        <v>1980</v>
      </c>
      <c r="AC13" s="3895" t="s">
        <v>3611</v>
      </c>
      <c r="AD13" s="3894"/>
      <c r="AE13" s="3907" t="s">
        <v>3444</v>
      </c>
      <c r="AF13" s="3938" t="s">
        <v>3593</v>
      </c>
      <c r="AG13" s="3909" t="s">
        <v>3445</v>
      </c>
      <c r="AH13" s="3894"/>
      <c r="AI13" s="3895" t="s">
        <v>3538</v>
      </c>
      <c r="AJ13" s="3910">
        <v>37621</v>
      </c>
      <c r="AK13" s="3925">
        <v>3</v>
      </c>
      <c r="AL13" s="3907">
        <v>67641700</v>
      </c>
      <c r="AM13" s="3907"/>
      <c r="AN13" s="3930" t="s">
        <v>3603</v>
      </c>
      <c r="AO13" s="3907" t="s">
        <v>3451</v>
      </c>
      <c r="AP13" s="3907" t="s">
        <v>3448</v>
      </c>
      <c r="AQ13" s="3907" t="s">
        <v>3449</v>
      </c>
      <c r="AR13" s="3907"/>
      <c r="AS13" s="3907"/>
      <c r="AT13" s="3907"/>
      <c r="AU13" s="3907"/>
      <c r="AV13" s="3907"/>
      <c r="AW13" s="3907" t="s">
        <v>3450</v>
      </c>
      <c r="AX13" s="3907" t="s">
        <v>3612</v>
      </c>
      <c r="AY13" s="3912" t="s">
        <v>3613</v>
      </c>
      <c r="AZ13" s="3907" t="s">
        <v>3535</v>
      </c>
      <c r="BA13" s="3907" t="s">
        <v>3539</v>
      </c>
      <c r="BB13" s="3897" t="s">
        <v>3614</v>
      </c>
      <c r="BC13" s="3907" t="s">
        <v>3540</v>
      </c>
      <c r="BD13" s="3913">
        <v>100062</v>
      </c>
      <c r="BE13" s="3907" t="s">
        <v>3451</v>
      </c>
      <c r="BF13" s="3914">
        <v>2.7</v>
      </c>
      <c r="BG13" s="3915">
        <v>37607</v>
      </c>
      <c r="BH13" s="3907" t="s">
        <v>3541</v>
      </c>
      <c r="BI13" s="3895" t="s">
        <v>3448</v>
      </c>
      <c r="BJ13" s="3915">
        <v>37634</v>
      </c>
      <c r="BK13" s="3915"/>
      <c r="BL13" s="3907" t="s">
        <v>3615</v>
      </c>
      <c r="BM13" s="3907"/>
      <c r="BN13" s="3907"/>
      <c r="BO13" s="3907"/>
      <c r="BP13" s="3907"/>
      <c r="BQ13" s="3907"/>
      <c r="BR13" s="3907"/>
      <c r="BS13" s="3895"/>
      <c r="BT13" s="3895"/>
      <c r="BU13" s="3895"/>
      <c r="BV13" s="3901"/>
      <c r="BW13" s="3901"/>
      <c r="BX13" s="3901"/>
      <c r="BY13" s="3901"/>
      <c r="BZ13" s="3901"/>
      <c r="CA13" s="3901"/>
      <c r="CB13" s="3901"/>
      <c r="CC13" s="3901"/>
      <c r="CD13" s="3901"/>
      <c r="CE13" s="3901"/>
      <c r="CF13" s="3901"/>
      <c r="CG13" s="3901"/>
      <c r="CH13" s="3901"/>
      <c r="CI13" s="3901"/>
      <c r="CJ13" s="3901"/>
      <c r="CK13" s="3901"/>
      <c r="CL13" s="3901"/>
      <c r="CM13" s="3901"/>
      <c r="CN13" s="3901"/>
      <c r="CO13" s="3901"/>
      <c r="CP13" s="3901"/>
      <c r="CQ13" s="3901"/>
      <c r="CR13" s="3901"/>
      <c r="CS13" s="3901"/>
      <c r="CT13" s="3901"/>
      <c r="CU13" s="3901"/>
      <c r="CV13" s="3901"/>
      <c r="CW13" s="3901"/>
      <c r="CX13" s="3901"/>
      <c r="CY13" s="3901"/>
      <c r="CZ13" s="3901"/>
      <c r="DA13" s="3901"/>
      <c r="DB13" s="3901"/>
      <c r="DC13" s="3901"/>
      <c r="DD13" s="3901"/>
      <c r="DE13" s="3901"/>
      <c r="DF13" s="3901"/>
      <c r="DG13" s="3901"/>
      <c r="DH13" s="3901"/>
      <c r="DI13" s="3901"/>
      <c r="DJ13" s="3901"/>
      <c r="DK13" s="3901"/>
      <c r="DL13" s="3901"/>
      <c r="DM13" s="3901"/>
      <c r="DN13" s="3901"/>
      <c r="DO13" s="3901"/>
      <c r="DP13" s="3901"/>
      <c r="DQ13" s="3901"/>
      <c r="DR13" s="3901"/>
      <c r="DS13" s="3901"/>
      <c r="DT13" s="3901"/>
      <c r="DU13" s="3901"/>
      <c r="DV13" s="3901"/>
      <c r="DW13" s="3901"/>
      <c r="DX13" s="3901"/>
      <c r="DY13" s="3901"/>
      <c r="DZ13" s="3901"/>
      <c r="EA13" s="3901"/>
      <c r="EB13" s="3901"/>
      <c r="EC13" s="3901"/>
      <c r="ED13" s="3901"/>
      <c r="EE13" s="3901"/>
      <c r="EF13" s="3901"/>
      <c r="EG13" s="3901"/>
      <c r="EH13" s="3901"/>
      <c r="EI13" s="3901"/>
      <c r="EJ13" s="3901"/>
      <c r="EK13" s="3901"/>
      <c r="EL13" s="3901"/>
      <c r="EM13" s="3901"/>
      <c r="EN13" s="3901"/>
      <c r="EO13" s="3901"/>
      <c r="EP13" s="3901"/>
      <c r="EQ13" s="3901"/>
      <c r="ER13" s="3901"/>
      <c r="ES13" s="3901"/>
      <c r="ET13" s="3901"/>
      <c r="EU13" s="3901"/>
      <c r="EV13" s="3901"/>
      <c r="EW13" s="3901"/>
      <c r="EX13" s="3901"/>
      <c r="EY13" s="3901"/>
      <c r="EZ13" s="3901"/>
      <c r="FA13" s="3901"/>
      <c r="FB13" s="3901"/>
      <c r="FC13" s="3901"/>
      <c r="FD13" s="3901"/>
      <c r="FE13" s="3901"/>
      <c r="FF13" s="3901"/>
      <c r="FG13" s="3901"/>
      <c r="FH13" s="3901"/>
      <c r="FI13" s="3901"/>
      <c r="FJ13" s="3901"/>
      <c r="FK13" s="3901"/>
      <c r="FL13" s="3901"/>
      <c r="FM13" s="3901"/>
      <c r="FN13" s="3901"/>
      <c r="FO13" s="3901"/>
      <c r="FP13" s="3901"/>
      <c r="FQ13" s="3901"/>
      <c r="FR13" s="3901"/>
      <c r="FS13" s="3901"/>
      <c r="FT13" s="3901"/>
      <c r="FU13" s="3901"/>
      <c r="FV13" s="3901"/>
      <c r="FW13" s="3901"/>
      <c r="FX13" s="3901"/>
      <c r="FY13" s="3901"/>
      <c r="FZ13" s="3901"/>
      <c r="GA13" s="3901"/>
      <c r="GB13" s="3901"/>
      <c r="GC13" s="3901"/>
      <c r="GD13" s="3901"/>
      <c r="GE13" s="3901"/>
      <c r="GF13" s="3901"/>
      <c r="GG13" s="3901"/>
      <c r="GH13" s="3901"/>
      <c r="GI13" s="3901"/>
      <c r="GJ13" s="3901"/>
      <c r="GK13" s="3901"/>
      <c r="GL13" s="3901"/>
      <c r="GM13" s="3901"/>
      <c r="GN13" s="3901"/>
      <c r="GO13" s="3901"/>
      <c r="GP13" s="3901"/>
      <c r="GQ13" s="3901"/>
      <c r="GR13" s="3901"/>
      <c r="GS13" s="3901"/>
      <c r="GT13" s="3901"/>
      <c r="GU13" s="3901"/>
      <c r="GV13" s="3901"/>
      <c r="GW13" s="3901"/>
      <c r="GX13" s="3901"/>
      <c r="GY13" s="3901"/>
      <c r="GZ13" s="3901"/>
      <c r="HA13" s="3901"/>
      <c r="HB13" s="3901"/>
      <c r="HC13" s="3901"/>
      <c r="HD13" s="3901"/>
      <c r="HE13" s="3901"/>
      <c r="HF13" s="3901"/>
      <c r="HG13" s="3901"/>
      <c r="HH13" s="3901"/>
      <c r="HI13" s="3901"/>
      <c r="HJ13" s="3901"/>
      <c r="HK13" s="3901"/>
      <c r="HL13" s="3901"/>
      <c r="HM13" s="3901"/>
      <c r="HN13" s="3901"/>
      <c r="HO13" s="3901"/>
      <c r="HP13" s="3901"/>
      <c r="HQ13" s="3901"/>
      <c r="HR13" s="3901"/>
      <c r="HS13" s="3901"/>
      <c r="HT13" s="3901"/>
      <c r="HU13" s="3901"/>
      <c r="HV13" s="3901"/>
      <c r="HW13" s="3901"/>
      <c r="HX13" s="3901"/>
      <c r="HY13" s="3901"/>
      <c r="HZ13" s="3901"/>
      <c r="IA13" s="3901"/>
      <c r="IB13" s="3901"/>
      <c r="IC13" s="3901"/>
      <c r="ID13" s="3901"/>
      <c r="IE13" s="3901"/>
      <c r="IF13" s="3901"/>
      <c r="IG13" s="3901"/>
      <c r="IH13" s="3901"/>
      <c r="II13" s="3901"/>
      <c r="IJ13" s="3901"/>
      <c r="IK13" s="3901"/>
      <c r="IL13" s="3901"/>
      <c r="IM13" s="3901"/>
      <c r="IN13" s="3901"/>
      <c r="IO13" s="3901"/>
      <c r="IP13" s="3901"/>
      <c r="IQ13" s="3901"/>
      <c r="IR13" s="3901"/>
      <c r="IS13" s="3901"/>
    </row>
    <row r="14" spans="1:253" s="3939" customFormat="1" ht="12" hidden="1">
      <c r="A14" s="3895" t="s">
        <v>3616</v>
      </c>
      <c r="B14" s="3895" t="s">
        <v>3617</v>
      </c>
      <c r="C14" s="3896" t="s">
        <v>3618</v>
      </c>
      <c r="D14" s="3897" t="s">
        <v>3619</v>
      </c>
      <c r="E14" s="3895" t="s">
        <v>3532</v>
      </c>
      <c r="F14" s="3898" t="s">
        <v>3533</v>
      </c>
      <c r="G14" s="3895"/>
      <c r="H14" s="3895" t="s">
        <v>3620</v>
      </c>
      <c r="I14" s="3895" t="s">
        <v>3621</v>
      </c>
      <c r="J14" s="3897" t="s">
        <v>3622</v>
      </c>
      <c r="K14" s="3895" t="s">
        <v>3535</v>
      </c>
      <c r="L14" s="3895">
        <v>102.88</v>
      </c>
      <c r="M14" s="3895">
        <v>5</v>
      </c>
      <c r="N14" s="3895" t="s">
        <v>3623</v>
      </c>
      <c r="O14" s="3895">
        <v>76.209999999999994</v>
      </c>
      <c r="P14" s="3895" t="s">
        <v>3454</v>
      </c>
      <c r="Q14" s="3899">
        <v>576539.52</v>
      </c>
      <c r="R14" s="3900">
        <v>5604</v>
      </c>
      <c r="S14" s="3933">
        <v>57.09</v>
      </c>
      <c r="T14" s="3934">
        <v>570900</v>
      </c>
      <c r="U14" s="3935">
        <v>5550</v>
      </c>
      <c r="V14" s="3936">
        <v>0.1</v>
      </c>
      <c r="W14" s="3904">
        <v>51.38</v>
      </c>
      <c r="X14" s="3937">
        <v>513800</v>
      </c>
      <c r="Y14" s="3935">
        <v>2003</v>
      </c>
      <c r="Z14" s="3935">
        <v>3</v>
      </c>
      <c r="AA14" s="3935">
        <v>31</v>
      </c>
      <c r="AB14" s="3908">
        <v>2850</v>
      </c>
      <c r="AC14" s="3895" t="s">
        <v>3549</v>
      </c>
      <c r="AD14" s="3894"/>
      <c r="AE14" s="3907" t="s">
        <v>3444</v>
      </c>
      <c r="AF14" s="3938" t="s">
        <v>3593</v>
      </c>
      <c r="AG14" s="3909" t="s">
        <v>3445</v>
      </c>
      <c r="AH14" s="3894"/>
      <c r="AI14" s="3895" t="s">
        <v>3538</v>
      </c>
      <c r="AJ14" s="3910">
        <v>37621</v>
      </c>
      <c r="AK14" s="3925">
        <v>3</v>
      </c>
      <c r="AL14" s="3907">
        <v>67641700</v>
      </c>
      <c r="AM14" s="3907"/>
      <c r="AN14" s="3930" t="s">
        <v>3624</v>
      </c>
      <c r="AO14" s="3907" t="s">
        <v>3451</v>
      </c>
      <c r="AP14" s="3907" t="s">
        <v>3448</v>
      </c>
      <c r="AQ14" s="3907" t="s">
        <v>3449</v>
      </c>
      <c r="AR14" s="3907"/>
      <c r="AS14" s="3907"/>
      <c r="AT14" s="3907"/>
      <c r="AU14" s="3907"/>
      <c r="AV14" s="3907"/>
      <c r="AW14" s="3907" t="s">
        <v>3450</v>
      </c>
      <c r="AX14" s="3907" t="s">
        <v>3625</v>
      </c>
      <c r="AY14" s="3912" t="s">
        <v>3626</v>
      </c>
      <c r="AZ14" s="3907" t="s">
        <v>3535</v>
      </c>
      <c r="BA14" s="3907" t="s">
        <v>3539</v>
      </c>
      <c r="BB14" s="3897" t="s">
        <v>3627</v>
      </c>
      <c r="BC14" s="3907" t="s">
        <v>3540</v>
      </c>
      <c r="BD14" s="3913">
        <v>100062</v>
      </c>
      <c r="BE14" s="3907" t="s">
        <v>3451</v>
      </c>
      <c r="BF14" s="3914">
        <v>2.7</v>
      </c>
      <c r="BG14" s="3915">
        <v>37610</v>
      </c>
      <c r="BH14" s="3907" t="s">
        <v>3521</v>
      </c>
      <c r="BI14" s="3895" t="s">
        <v>3448</v>
      </c>
      <c r="BJ14" s="3915">
        <v>37704</v>
      </c>
      <c r="BK14" s="3915"/>
      <c r="BL14" s="3907" t="s">
        <v>3615</v>
      </c>
      <c r="BM14" s="3907"/>
      <c r="BN14" s="3907"/>
      <c r="BO14" s="3907"/>
      <c r="BP14" s="3907"/>
      <c r="BQ14" s="3907"/>
      <c r="BR14" s="3907"/>
      <c r="BS14" s="3895"/>
      <c r="BT14" s="3895"/>
      <c r="BU14" s="3895"/>
      <c r="BV14" s="3901"/>
      <c r="BW14" s="3901"/>
      <c r="BX14" s="3901"/>
      <c r="BY14" s="3901"/>
      <c r="BZ14" s="3901"/>
      <c r="CA14" s="3901"/>
      <c r="CB14" s="3901"/>
      <c r="CC14" s="3901"/>
      <c r="CD14" s="3901"/>
      <c r="CE14" s="3901"/>
      <c r="CF14" s="3901"/>
      <c r="CG14" s="3901"/>
      <c r="CH14" s="3901"/>
      <c r="CI14" s="3901"/>
      <c r="CJ14" s="3901"/>
      <c r="CK14" s="3901"/>
      <c r="CL14" s="3901"/>
      <c r="CM14" s="3901"/>
      <c r="CN14" s="3901"/>
      <c r="CO14" s="3901"/>
      <c r="CP14" s="3901"/>
      <c r="CQ14" s="3901"/>
      <c r="CR14" s="3901"/>
      <c r="CS14" s="3901"/>
      <c r="CT14" s="3901"/>
      <c r="CU14" s="3901"/>
      <c r="CV14" s="3901"/>
      <c r="CW14" s="3901"/>
      <c r="CX14" s="3901"/>
      <c r="CY14" s="3901"/>
      <c r="CZ14" s="3901"/>
      <c r="DA14" s="3901"/>
      <c r="DB14" s="3901"/>
      <c r="DC14" s="3901"/>
      <c r="DD14" s="3901"/>
      <c r="DE14" s="3901"/>
      <c r="DF14" s="3901"/>
      <c r="DG14" s="3901"/>
      <c r="DH14" s="3901"/>
      <c r="DI14" s="3901"/>
      <c r="DJ14" s="3901"/>
      <c r="DK14" s="3901"/>
      <c r="DL14" s="3901"/>
      <c r="DM14" s="3901"/>
      <c r="DN14" s="3901"/>
      <c r="DO14" s="3901"/>
      <c r="DP14" s="3901"/>
      <c r="DQ14" s="3901"/>
      <c r="DR14" s="3901"/>
      <c r="DS14" s="3901"/>
      <c r="DT14" s="3901"/>
      <c r="DU14" s="3901"/>
      <c r="DV14" s="3901"/>
      <c r="DW14" s="3901"/>
      <c r="DX14" s="3901"/>
      <c r="DY14" s="3901"/>
      <c r="DZ14" s="3901"/>
      <c r="EA14" s="3901"/>
      <c r="EB14" s="3901"/>
      <c r="EC14" s="3901"/>
      <c r="ED14" s="3901"/>
      <c r="EE14" s="3901"/>
      <c r="EF14" s="3901"/>
      <c r="EG14" s="3901"/>
      <c r="EH14" s="3901"/>
      <c r="EI14" s="3901"/>
      <c r="EJ14" s="3901"/>
      <c r="EK14" s="3901"/>
      <c r="EL14" s="3901"/>
      <c r="EM14" s="3901"/>
      <c r="EN14" s="3901"/>
      <c r="EO14" s="3901"/>
      <c r="EP14" s="3901"/>
      <c r="EQ14" s="3901"/>
      <c r="ER14" s="3901"/>
      <c r="ES14" s="3901"/>
      <c r="ET14" s="3901"/>
      <c r="EU14" s="3901"/>
      <c r="EV14" s="3901"/>
      <c r="EW14" s="3901"/>
      <c r="EX14" s="3901"/>
      <c r="EY14" s="3901"/>
      <c r="EZ14" s="3901"/>
      <c r="FA14" s="3901"/>
      <c r="FB14" s="3901"/>
      <c r="FC14" s="3901"/>
      <c r="FD14" s="3901"/>
      <c r="FE14" s="3901"/>
      <c r="FF14" s="3901"/>
      <c r="FG14" s="3901"/>
      <c r="FH14" s="3901"/>
      <c r="FI14" s="3901"/>
      <c r="FJ14" s="3901"/>
      <c r="FK14" s="3901"/>
      <c r="FL14" s="3901"/>
      <c r="FM14" s="3901"/>
      <c r="FN14" s="3901"/>
      <c r="FO14" s="3901"/>
      <c r="FP14" s="3901"/>
      <c r="FQ14" s="3901"/>
      <c r="FR14" s="3901"/>
      <c r="FS14" s="3901"/>
      <c r="FT14" s="3901"/>
      <c r="FU14" s="3901"/>
      <c r="FV14" s="3901"/>
      <c r="FW14" s="3901"/>
      <c r="FX14" s="3901"/>
      <c r="FY14" s="3901"/>
      <c r="FZ14" s="3901"/>
      <c r="GA14" s="3901"/>
      <c r="GB14" s="3901"/>
      <c r="GC14" s="3901"/>
      <c r="GD14" s="3901"/>
      <c r="GE14" s="3901"/>
      <c r="GF14" s="3901"/>
      <c r="GG14" s="3901"/>
      <c r="GH14" s="3901"/>
      <c r="GI14" s="3901"/>
      <c r="GJ14" s="3901"/>
      <c r="GK14" s="3901"/>
      <c r="GL14" s="3901"/>
      <c r="GM14" s="3901"/>
      <c r="GN14" s="3901"/>
      <c r="GO14" s="3901"/>
      <c r="GP14" s="3901"/>
      <c r="GQ14" s="3901"/>
      <c r="GR14" s="3901"/>
      <c r="GS14" s="3901"/>
      <c r="GT14" s="3901"/>
      <c r="GU14" s="3901"/>
      <c r="GV14" s="3901"/>
      <c r="GW14" s="3901"/>
      <c r="GX14" s="3901"/>
      <c r="GY14" s="3901"/>
      <c r="GZ14" s="3901"/>
      <c r="HA14" s="3901"/>
      <c r="HB14" s="3901"/>
      <c r="HC14" s="3901"/>
      <c r="HD14" s="3901"/>
      <c r="HE14" s="3901"/>
      <c r="HF14" s="3901"/>
      <c r="HG14" s="3901"/>
      <c r="HH14" s="3901"/>
      <c r="HI14" s="3901"/>
      <c r="HJ14" s="3901"/>
      <c r="HK14" s="3901"/>
      <c r="HL14" s="3901"/>
      <c r="HM14" s="3901"/>
      <c r="HN14" s="3901"/>
      <c r="HO14" s="3901"/>
      <c r="HP14" s="3901"/>
      <c r="HQ14" s="3901"/>
      <c r="HR14" s="3901"/>
      <c r="HS14" s="3901"/>
      <c r="HT14" s="3901"/>
      <c r="HU14" s="3901"/>
      <c r="HV14" s="3901"/>
      <c r="HW14" s="3901"/>
      <c r="HX14" s="3901"/>
      <c r="HY14" s="3901"/>
      <c r="HZ14" s="3901"/>
      <c r="IA14" s="3901"/>
      <c r="IB14" s="3901"/>
      <c r="IC14" s="3901"/>
      <c r="ID14" s="3901"/>
      <c r="IE14" s="3901"/>
      <c r="IF14" s="3901"/>
      <c r="IG14" s="3901"/>
      <c r="IH14" s="3901"/>
      <c r="II14" s="3901"/>
      <c r="IJ14" s="3901"/>
      <c r="IK14" s="3901"/>
      <c r="IL14" s="3901"/>
      <c r="IM14" s="3901"/>
      <c r="IN14" s="3901"/>
      <c r="IO14" s="3901"/>
      <c r="IP14" s="3901"/>
      <c r="IQ14" s="3901"/>
      <c r="IR14" s="3901"/>
      <c r="IS14" s="3901"/>
    </row>
    <row r="15" spans="1:253" s="3907" customFormat="1" ht="12" hidden="1">
      <c r="A15" s="3919" t="s">
        <v>3628</v>
      </c>
      <c r="B15" s="3919" t="s">
        <v>3629</v>
      </c>
      <c r="C15" s="3897" t="s">
        <v>3630</v>
      </c>
      <c r="D15" s="3897" t="s">
        <v>3631</v>
      </c>
      <c r="E15" s="3940" t="s">
        <v>3632</v>
      </c>
      <c r="F15" s="3919" t="s">
        <v>3633</v>
      </c>
      <c r="G15" s="3919"/>
      <c r="H15" s="3926" t="s">
        <v>3634</v>
      </c>
      <c r="I15" s="3926" t="s">
        <v>3635</v>
      </c>
      <c r="J15" s="3941" t="s">
        <v>3636</v>
      </c>
      <c r="K15" s="3919" t="s">
        <v>3637</v>
      </c>
      <c r="L15" s="3900">
        <v>131.13999999999999</v>
      </c>
      <c r="M15" s="3900">
        <v>10</v>
      </c>
      <c r="N15" s="3926" t="s">
        <v>3638</v>
      </c>
      <c r="O15" s="3900">
        <v>105.53</v>
      </c>
      <c r="P15" s="3919" t="s">
        <v>3454</v>
      </c>
      <c r="Q15" s="3942">
        <v>594001.25280000002</v>
      </c>
      <c r="R15" s="3900">
        <v>4529.5200000000004</v>
      </c>
      <c r="S15" s="3901">
        <v>58.75</v>
      </c>
      <c r="T15" s="3943">
        <v>587500</v>
      </c>
      <c r="U15" s="3900">
        <v>4480</v>
      </c>
      <c r="V15" s="3903">
        <v>0.1</v>
      </c>
      <c r="W15" s="3904">
        <v>52.87</v>
      </c>
      <c r="X15" s="3944">
        <v>528700</v>
      </c>
      <c r="Y15" s="3906">
        <v>2003</v>
      </c>
      <c r="Z15" s="3906">
        <v>6</v>
      </c>
      <c r="AA15" s="3906">
        <v>3</v>
      </c>
      <c r="AB15" s="3908">
        <v>2935</v>
      </c>
      <c r="AC15" s="3945" t="s">
        <v>3549</v>
      </c>
      <c r="AD15" s="3945"/>
      <c r="AE15" s="3930" t="s">
        <v>3639</v>
      </c>
      <c r="AF15" s="3926" t="s">
        <v>3640</v>
      </c>
      <c r="AG15" s="3945" t="s">
        <v>3641</v>
      </c>
      <c r="AH15" s="3945"/>
      <c r="AI15" s="3895" t="s">
        <v>3642</v>
      </c>
      <c r="AJ15" s="3946">
        <v>37792</v>
      </c>
      <c r="AK15" s="3925">
        <v>6</v>
      </c>
      <c r="AL15" s="3900">
        <v>67641700</v>
      </c>
      <c r="AM15" s="3919"/>
      <c r="AN15" s="3895" t="s">
        <v>3467</v>
      </c>
      <c r="AO15" s="3926"/>
      <c r="AP15" s="3907" t="s">
        <v>3643</v>
      </c>
      <c r="AQ15" s="3930" t="s">
        <v>3644</v>
      </c>
      <c r="AR15" s="3882"/>
      <c r="AS15" s="3882"/>
      <c r="AT15" s="3882"/>
      <c r="AU15" s="3947"/>
      <c r="AV15" s="3948"/>
      <c r="AW15" s="3919" t="s">
        <v>3645</v>
      </c>
      <c r="AX15" s="3907" t="s">
        <v>3612</v>
      </c>
      <c r="AY15" s="3949" t="s">
        <v>3646</v>
      </c>
      <c r="AZ15" s="3919" t="s">
        <v>3647</v>
      </c>
      <c r="BA15" s="3882" t="s">
        <v>3648</v>
      </c>
      <c r="BB15" s="3950" t="s">
        <v>3649</v>
      </c>
      <c r="BC15" s="3882" t="s">
        <v>3650</v>
      </c>
      <c r="BD15" s="3906">
        <v>100005</v>
      </c>
      <c r="BE15" s="3906">
        <v>65127929</v>
      </c>
      <c r="BF15" s="3951">
        <v>2.7</v>
      </c>
      <c r="BG15" s="3946">
        <v>37712</v>
      </c>
      <c r="BH15" s="3882"/>
      <c r="BI15" s="3907" t="s">
        <v>3651</v>
      </c>
      <c r="BJ15" s="3915">
        <v>37771</v>
      </c>
      <c r="BL15" s="3895" t="s">
        <v>3452</v>
      </c>
      <c r="BS15" s="3895"/>
      <c r="BT15" s="3895"/>
      <c r="BU15" s="3895"/>
      <c r="BV15" s="3882"/>
      <c r="BW15" s="3882"/>
      <c r="BX15" s="3882"/>
      <c r="BY15" s="3882"/>
      <c r="BZ15" s="3882"/>
      <c r="CA15" s="3882"/>
      <c r="CB15" s="3882"/>
      <c r="CC15" s="3882"/>
      <c r="CD15" s="3882"/>
      <c r="CE15" s="3882"/>
      <c r="CF15" s="3882"/>
      <c r="CG15" s="3882"/>
      <c r="CH15" s="3882"/>
      <c r="CI15" s="3882"/>
      <c r="CJ15" s="3882"/>
      <c r="CK15" s="3882"/>
      <c r="CL15" s="3882"/>
      <c r="CM15" s="3882"/>
      <c r="CN15" s="3882"/>
      <c r="CO15" s="3882"/>
      <c r="CP15" s="3882"/>
      <c r="CQ15" s="3882"/>
      <c r="CR15" s="3882"/>
      <c r="CS15" s="3882"/>
      <c r="CT15" s="3882"/>
      <c r="CU15" s="3882"/>
      <c r="CV15" s="3882"/>
      <c r="CW15" s="3882"/>
      <c r="CX15" s="3882"/>
      <c r="CY15" s="3882"/>
      <c r="CZ15" s="3882"/>
      <c r="DA15" s="3882"/>
      <c r="DB15" s="3882"/>
      <c r="DC15" s="3882"/>
      <c r="DD15" s="3882"/>
      <c r="DE15" s="3882"/>
      <c r="DF15" s="3882"/>
      <c r="DG15" s="3882"/>
      <c r="DH15" s="3882"/>
      <c r="DI15" s="3882"/>
      <c r="DJ15" s="3882"/>
      <c r="DK15" s="3882"/>
      <c r="DL15" s="3882"/>
      <c r="DM15" s="3882"/>
      <c r="DN15" s="3882"/>
      <c r="DO15" s="3882"/>
      <c r="DP15" s="3882"/>
      <c r="DQ15" s="3882"/>
      <c r="DR15" s="3882"/>
      <c r="DS15" s="3882"/>
      <c r="DT15" s="3882"/>
      <c r="DU15" s="3882"/>
      <c r="DV15" s="3882"/>
      <c r="DW15" s="3882"/>
      <c r="DX15" s="3882"/>
      <c r="DY15" s="3882"/>
      <c r="DZ15" s="3882"/>
      <c r="EA15" s="3882"/>
      <c r="EB15" s="3882"/>
      <c r="EC15" s="3882"/>
      <c r="ED15" s="3882"/>
      <c r="EE15" s="3882"/>
      <c r="EF15" s="3882"/>
      <c r="EG15" s="3882"/>
      <c r="EH15" s="3882"/>
      <c r="EI15" s="3882"/>
      <c r="EJ15" s="3882"/>
      <c r="EK15" s="3882"/>
      <c r="EL15" s="3882"/>
      <c r="EM15" s="3882"/>
      <c r="EN15" s="3882"/>
      <c r="EO15" s="3882"/>
      <c r="EP15" s="3882"/>
      <c r="EQ15" s="3882"/>
      <c r="ER15" s="3882"/>
      <c r="ES15" s="3882"/>
      <c r="ET15" s="3882"/>
      <c r="EU15" s="3882"/>
      <c r="EV15" s="3882"/>
      <c r="EW15" s="3882"/>
      <c r="EX15" s="3882"/>
      <c r="EY15" s="3882"/>
      <c r="EZ15" s="3882"/>
      <c r="FA15" s="3882"/>
      <c r="FB15" s="3882"/>
      <c r="FC15" s="3882"/>
      <c r="FD15" s="3882"/>
      <c r="FE15" s="3882"/>
      <c r="FF15" s="3882"/>
      <c r="FG15" s="3882"/>
      <c r="FH15" s="3882"/>
      <c r="FI15" s="3882"/>
      <c r="FJ15" s="3882"/>
      <c r="FK15" s="3882"/>
      <c r="FL15" s="3882"/>
      <c r="FM15" s="3882"/>
      <c r="FN15" s="3882"/>
      <c r="FO15" s="3882"/>
      <c r="FP15" s="3882"/>
      <c r="FQ15" s="3882"/>
      <c r="FR15" s="3882"/>
      <c r="FS15" s="3882"/>
      <c r="FT15" s="3882"/>
      <c r="FU15" s="3882"/>
      <c r="FV15" s="3882"/>
      <c r="FW15" s="3882"/>
      <c r="FX15" s="3882"/>
      <c r="FY15" s="3882"/>
      <c r="FZ15" s="3882"/>
      <c r="GA15" s="3882"/>
      <c r="GB15" s="3882"/>
      <c r="GC15" s="3882"/>
      <c r="GD15" s="3882"/>
      <c r="GE15" s="3882"/>
      <c r="GF15" s="3882"/>
      <c r="GG15" s="3882"/>
      <c r="GH15" s="3882"/>
      <c r="GI15" s="3882"/>
      <c r="GJ15" s="3882"/>
      <c r="GK15" s="3882"/>
      <c r="GL15" s="3882"/>
      <c r="GM15" s="3882"/>
      <c r="GN15" s="3882"/>
      <c r="GO15" s="3882"/>
      <c r="GP15" s="3882"/>
      <c r="GQ15" s="3882"/>
      <c r="GR15" s="3882"/>
      <c r="GS15" s="3882"/>
      <c r="GT15" s="3882"/>
      <c r="GU15" s="3882"/>
      <c r="GV15" s="3882"/>
      <c r="GW15" s="3882"/>
      <c r="GX15" s="3882"/>
      <c r="GY15" s="3882"/>
      <c r="GZ15" s="3882"/>
      <c r="HA15" s="3882"/>
      <c r="HB15" s="3882"/>
      <c r="HC15" s="3882"/>
      <c r="HD15" s="3882"/>
      <c r="HE15" s="3882"/>
      <c r="HF15" s="3882"/>
      <c r="HG15" s="3882"/>
      <c r="HH15" s="3882"/>
      <c r="HI15" s="3882"/>
      <c r="HJ15" s="3882"/>
      <c r="HK15" s="3882"/>
      <c r="HL15" s="3882"/>
      <c r="HM15" s="3882"/>
      <c r="HN15" s="3882"/>
      <c r="HO15" s="3882"/>
      <c r="HP15" s="3882"/>
      <c r="HQ15" s="3882"/>
      <c r="HR15" s="3882"/>
      <c r="HS15" s="3882"/>
      <c r="HT15" s="3882"/>
      <c r="HU15" s="3882"/>
      <c r="HV15" s="3882"/>
      <c r="HW15" s="3882"/>
      <c r="HX15" s="3882"/>
      <c r="HY15" s="3882"/>
      <c r="HZ15" s="3882"/>
      <c r="IA15" s="3882"/>
      <c r="IB15" s="3882"/>
      <c r="IC15" s="3882"/>
      <c r="ID15" s="3882"/>
      <c r="IE15" s="3882"/>
      <c r="IF15" s="3882"/>
      <c r="IG15" s="3882"/>
      <c r="IH15" s="3882"/>
      <c r="II15" s="3882"/>
      <c r="IJ15" s="3882"/>
      <c r="IK15" s="3882"/>
      <c r="IL15" s="3882"/>
      <c r="IM15" s="3882"/>
      <c r="IN15" s="3882"/>
      <c r="IO15" s="3882"/>
      <c r="IP15" s="3882"/>
      <c r="IQ15" s="3882"/>
      <c r="IR15" s="3882"/>
      <c r="IS15" s="3882"/>
    </row>
    <row r="16" spans="1:253" s="3907" customFormat="1" ht="12" hidden="1">
      <c r="A16" s="3895" t="s">
        <v>3652</v>
      </c>
      <c r="B16" s="3895" t="s">
        <v>3653</v>
      </c>
      <c r="C16" s="3896" t="s">
        <v>3654</v>
      </c>
      <c r="D16" s="3897" t="s">
        <v>3655</v>
      </c>
      <c r="E16" s="3895" t="s">
        <v>3532</v>
      </c>
      <c r="F16" s="3898" t="s">
        <v>3533</v>
      </c>
      <c r="G16" s="3895"/>
      <c r="H16" s="3895" t="s">
        <v>3534</v>
      </c>
      <c r="I16" s="3895" t="s">
        <v>3656</v>
      </c>
      <c r="J16" s="3897" t="s">
        <v>3657</v>
      </c>
      <c r="K16" s="3895" t="s">
        <v>3535</v>
      </c>
      <c r="L16" s="3895">
        <v>55.55</v>
      </c>
      <c r="M16" s="3895">
        <v>14</v>
      </c>
      <c r="N16" s="3895" t="s">
        <v>3658</v>
      </c>
      <c r="O16" s="3895">
        <v>43.4</v>
      </c>
      <c r="P16" s="3895" t="s">
        <v>3454</v>
      </c>
      <c r="Q16" s="3899">
        <v>320301.3</v>
      </c>
      <c r="R16" s="3895">
        <v>5766</v>
      </c>
      <c r="S16" s="3901">
        <v>31.73</v>
      </c>
      <c r="T16" s="3943">
        <v>317300</v>
      </c>
      <c r="U16" s="3900">
        <v>5712</v>
      </c>
      <c r="V16" s="3917">
        <v>0.05</v>
      </c>
      <c r="W16" s="3904">
        <v>30.14</v>
      </c>
      <c r="X16" s="3918">
        <v>301400</v>
      </c>
      <c r="Y16" s="3907">
        <v>2003</v>
      </c>
      <c r="Z16" s="3907">
        <v>7</v>
      </c>
      <c r="AA16" s="3907">
        <v>11</v>
      </c>
      <c r="AB16" s="3908">
        <v>1585</v>
      </c>
      <c r="AC16" s="3895" t="s">
        <v>3585</v>
      </c>
      <c r="AD16" s="3894"/>
      <c r="AE16" s="3907" t="s">
        <v>3444</v>
      </c>
      <c r="AF16" s="3926" t="s">
        <v>3593</v>
      </c>
      <c r="AG16" s="3909" t="s">
        <v>3445</v>
      </c>
      <c r="AH16" s="3894"/>
      <c r="AI16" s="3895" t="s">
        <v>3659</v>
      </c>
      <c r="AJ16" s="3910">
        <v>37560</v>
      </c>
      <c r="AK16" s="3925">
        <v>7</v>
      </c>
      <c r="AL16" s="3907">
        <v>67641700</v>
      </c>
      <c r="AN16" s="3952" t="s">
        <v>3447</v>
      </c>
      <c r="AO16" s="3907" t="s">
        <v>3451</v>
      </c>
      <c r="AP16" s="3907" t="s">
        <v>3448</v>
      </c>
      <c r="AQ16" s="3907" t="s">
        <v>3449</v>
      </c>
      <c r="AW16" s="3907" t="s">
        <v>3450</v>
      </c>
      <c r="AX16" s="3907" t="s">
        <v>3612</v>
      </c>
      <c r="AY16" s="3912" t="s">
        <v>3660</v>
      </c>
      <c r="AZ16" s="3907" t="s">
        <v>3535</v>
      </c>
      <c r="BA16" s="3907" t="s">
        <v>3539</v>
      </c>
      <c r="BB16" s="3897" t="s">
        <v>3614</v>
      </c>
      <c r="BC16" s="3907" t="s">
        <v>3540</v>
      </c>
      <c r="BD16" s="3913">
        <v>100062</v>
      </c>
      <c r="BE16" s="3907" t="s">
        <v>3451</v>
      </c>
      <c r="BF16" s="3914">
        <v>2.7</v>
      </c>
      <c r="BG16" s="3915">
        <v>37546</v>
      </c>
      <c r="BH16" s="3907" t="s">
        <v>3521</v>
      </c>
      <c r="BI16" s="3895" t="s">
        <v>3448</v>
      </c>
      <c r="BJ16" s="3953">
        <v>37811</v>
      </c>
      <c r="BK16" s="3915"/>
      <c r="BL16" s="3907" t="s">
        <v>3661</v>
      </c>
      <c r="BS16" s="3895"/>
      <c r="BT16" s="3895"/>
      <c r="BU16" s="3895"/>
      <c r="BV16" s="3901"/>
      <c r="BW16" s="3901"/>
      <c r="BX16" s="3901"/>
      <c r="BY16" s="3901"/>
      <c r="BZ16" s="3901"/>
      <c r="CA16" s="3901"/>
      <c r="CB16" s="3901"/>
      <c r="CC16" s="3901"/>
      <c r="CD16" s="3901"/>
      <c r="CE16" s="3901"/>
      <c r="CF16" s="3901"/>
      <c r="CG16" s="3901"/>
      <c r="CH16" s="3901"/>
      <c r="CI16" s="3901"/>
      <c r="CJ16" s="3901"/>
      <c r="CK16" s="3901"/>
      <c r="CL16" s="3901"/>
      <c r="CM16" s="3901"/>
      <c r="CN16" s="3901"/>
      <c r="CO16" s="3901"/>
      <c r="CP16" s="3901"/>
      <c r="CQ16" s="3901"/>
      <c r="CR16" s="3901"/>
      <c r="CS16" s="3901"/>
      <c r="CT16" s="3901"/>
      <c r="CU16" s="3901"/>
      <c r="CV16" s="3901"/>
      <c r="CW16" s="3901"/>
      <c r="CX16" s="3901"/>
      <c r="CY16" s="3901"/>
      <c r="CZ16" s="3901"/>
      <c r="DA16" s="3901"/>
      <c r="DB16" s="3901"/>
      <c r="DC16" s="3901"/>
      <c r="DD16" s="3901"/>
      <c r="DE16" s="3901"/>
      <c r="DF16" s="3901"/>
      <c r="DG16" s="3901"/>
      <c r="DH16" s="3901"/>
      <c r="DI16" s="3901"/>
      <c r="DJ16" s="3901"/>
      <c r="DK16" s="3901"/>
      <c r="DL16" s="3901"/>
      <c r="DM16" s="3901"/>
      <c r="DN16" s="3901"/>
      <c r="DO16" s="3901"/>
      <c r="DP16" s="3901"/>
      <c r="DQ16" s="3901"/>
      <c r="DR16" s="3901"/>
      <c r="DS16" s="3901"/>
      <c r="DT16" s="3901"/>
      <c r="DU16" s="3901"/>
      <c r="DV16" s="3901"/>
      <c r="DW16" s="3901"/>
      <c r="DX16" s="3901"/>
      <c r="DY16" s="3901"/>
      <c r="DZ16" s="3901"/>
      <c r="EA16" s="3901"/>
      <c r="EB16" s="3901"/>
      <c r="EC16" s="3901"/>
      <c r="ED16" s="3901"/>
      <c r="EE16" s="3901"/>
      <c r="EF16" s="3901"/>
      <c r="EG16" s="3901"/>
      <c r="EH16" s="3901"/>
      <c r="EI16" s="3901"/>
      <c r="EJ16" s="3901"/>
      <c r="EK16" s="3901"/>
      <c r="EL16" s="3901"/>
      <c r="EM16" s="3901"/>
      <c r="EN16" s="3901"/>
      <c r="EO16" s="3901"/>
      <c r="EP16" s="3901"/>
      <c r="EQ16" s="3901"/>
      <c r="ER16" s="3901"/>
      <c r="ES16" s="3901"/>
      <c r="ET16" s="3901"/>
      <c r="EU16" s="3901"/>
      <c r="EV16" s="3901"/>
      <c r="EW16" s="3901"/>
      <c r="EX16" s="3901"/>
      <c r="EY16" s="3901"/>
      <c r="EZ16" s="3901"/>
      <c r="FA16" s="3901"/>
      <c r="FB16" s="3901"/>
      <c r="FC16" s="3901"/>
      <c r="FD16" s="3901"/>
      <c r="FE16" s="3901"/>
      <c r="FF16" s="3901"/>
      <c r="FG16" s="3901"/>
      <c r="FH16" s="3901"/>
      <c r="FI16" s="3901"/>
      <c r="FJ16" s="3901"/>
      <c r="FK16" s="3901"/>
      <c r="FL16" s="3901"/>
      <c r="FM16" s="3901"/>
      <c r="FN16" s="3901"/>
      <c r="FO16" s="3901"/>
      <c r="FP16" s="3901"/>
      <c r="FQ16" s="3901"/>
      <c r="FR16" s="3901"/>
      <c r="FS16" s="3901"/>
      <c r="FT16" s="3901"/>
      <c r="FU16" s="3901"/>
      <c r="FV16" s="3901"/>
      <c r="FW16" s="3901"/>
      <c r="FX16" s="3901"/>
      <c r="FY16" s="3901"/>
      <c r="FZ16" s="3901"/>
      <c r="GA16" s="3901"/>
      <c r="GB16" s="3901"/>
      <c r="GC16" s="3901"/>
      <c r="GD16" s="3901"/>
      <c r="GE16" s="3901"/>
      <c r="GF16" s="3901"/>
      <c r="GG16" s="3901"/>
      <c r="GH16" s="3901"/>
      <c r="GI16" s="3901"/>
      <c r="GJ16" s="3901"/>
      <c r="GK16" s="3901"/>
      <c r="GL16" s="3901"/>
      <c r="GM16" s="3901"/>
      <c r="GN16" s="3901"/>
      <c r="GO16" s="3901"/>
      <c r="GP16" s="3901"/>
      <c r="GQ16" s="3901"/>
      <c r="GR16" s="3901"/>
      <c r="GS16" s="3901"/>
      <c r="GT16" s="3901"/>
      <c r="GU16" s="3901"/>
      <c r="GV16" s="3901"/>
      <c r="GW16" s="3901"/>
      <c r="GX16" s="3901"/>
      <c r="GY16" s="3901"/>
      <c r="GZ16" s="3901"/>
      <c r="HA16" s="3901"/>
      <c r="HB16" s="3901"/>
      <c r="HC16" s="3901"/>
      <c r="HD16" s="3901"/>
      <c r="HE16" s="3901"/>
      <c r="HF16" s="3901"/>
      <c r="HG16" s="3901"/>
      <c r="HH16" s="3901"/>
      <c r="HI16" s="3901"/>
      <c r="HJ16" s="3901"/>
      <c r="HK16" s="3901"/>
      <c r="HL16" s="3901"/>
      <c r="HM16" s="3901"/>
      <c r="HN16" s="3901"/>
      <c r="HO16" s="3901"/>
      <c r="HP16" s="3901"/>
      <c r="HQ16" s="3901"/>
      <c r="HR16" s="3901"/>
      <c r="HS16" s="3901"/>
      <c r="HT16" s="3901"/>
      <c r="HU16" s="3901"/>
      <c r="HV16" s="3901"/>
      <c r="HW16" s="3901"/>
      <c r="HX16" s="3901"/>
      <c r="HY16" s="3901"/>
      <c r="HZ16" s="3901"/>
      <c r="IA16" s="3901"/>
      <c r="IB16" s="3901"/>
      <c r="IC16" s="3901"/>
      <c r="ID16" s="3901"/>
      <c r="IE16" s="3901"/>
      <c r="IF16" s="3901"/>
      <c r="IG16" s="3901"/>
      <c r="IH16" s="3901"/>
      <c r="II16" s="3901"/>
      <c r="IJ16" s="3901"/>
      <c r="IK16" s="3901"/>
      <c r="IL16" s="3901"/>
      <c r="IM16" s="3901"/>
      <c r="IN16" s="3901"/>
      <c r="IO16" s="3901"/>
      <c r="IP16" s="3901"/>
      <c r="IQ16" s="3901"/>
      <c r="IR16" s="3901"/>
      <c r="IS16" s="3901"/>
    </row>
    <row r="17" spans="1:253" s="3907" customFormat="1" ht="12" hidden="1">
      <c r="A17" s="3895" t="s">
        <v>3662</v>
      </c>
      <c r="B17" s="3895" t="s">
        <v>3663</v>
      </c>
      <c r="C17" s="3897" t="s">
        <v>3664</v>
      </c>
      <c r="D17" s="3897" t="s">
        <v>3665</v>
      </c>
      <c r="E17" s="3895" t="s">
        <v>3532</v>
      </c>
      <c r="F17" s="3898" t="s">
        <v>3533</v>
      </c>
      <c r="G17" s="3895"/>
      <c r="H17" s="3895" t="s">
        <v>3666</v>
      </c>
      <c r="I17" s="3895" t="s">
        <v>3667</v>
      </c>
      <c r="J17" s="3897" t="s">
        <v>3668</v>
      </c>
      <c r="K17" s="3895" t="s">
        <v>3535</v>
      </c>
      <c r="L17" s="3895">
        <v>55.55</v>
      </c>
      <c r="M17" s="3895">
        <v>10</v>
      </c>
      <c r="N17" s="3895" t="s">
        <v>3669</v>
      </c>
      <c r="O17" s="3895">
        <v>43.4</v>
      </c>
      <c r="P17" s="3895" t="s">
        <v>3454</v>
      </c>
      <c r="Q17" s="3899">
        <v>311579.95</v>
      </c>
      <c r="R17" s="3895">
        <v>5609</v>
      </c>
      <c r="S17" s="3901">
        <v>30.85</v>
      </c>
      <c r="T17" s="3943">
        <v>308500</v>
      </c>
      <c r="U17" s="3900">
        <v>5554</v>
      </c>
      <c r="V17" s="3917">
        <v>0.05</v>
      </c>
      <c r="W17" s="3904">
        <v>29.3</v>
      </c>
      <c r="X17" s="3918">
        <v>293000</v>
      </c>
      <c r="Y17" s="3907">
        <v>2003</v>
      </c>
      <c r="Z17" s="3907">
        <v>7</v>
      </c>
      <c r="AA17" s="3907">
        <v>11</v>
      </c>
      <c r="AB17" s="3908">
        <v>1540</v>
      </c>
      <c r="AC17" s="3895" t="s">
        <v>3670</v>
      </c>
      <c r="AD17" s="3894"/>
      <c r="AE17" s="3907" t="s">
        <v>3444</v>
      </c>
      <c r="AF17" s="3926" t="s">
        <v>3671</v>
      </c>
      <c r="AG17" s="3909" t="s">
        <v>3445</v>
      </c>
      <c r="AH17" s="3894"/>
      <c r="AI17" s="3895" t="s">
        <v>3642</v>
      </c>
      <c r="AJ17" s="3910">
        <v>37560</v>
      </c>
      <c r="AK17" s="3925">
        <v>7</v>
      </c>
      <c r="AL17" s="3907">
        <v>67641700</v>
      </c>
      <c r="AN17" s="3952" t="s">
        <v>3447</v>
      </c>
      <c r="AO17" s="3907" t="s">
        <v>3451</v>
      </c>
      <c r="AP17" s="3907" t="s">
        <v>3448</v>
      </c>
      <c r="AQ17" s="3907" t="s">
        <v>3449</v>
      </c>
      <c r="AW17" s="3907" t="s">
        <v>3450</v>
      </c>
      <c r="AX17" s="3907" t="s">
        <v>3612</v>
      </c>
      <c r="AY17" s="3912" t="s">
        <v>3672</v>
      </c>
      <c r="AZ17" s="3907" t="s">
        <v>3535</v>
      </c>
      <c r="BA17" s="3907" t="s">
        <v>3539</v>
      </c>
      <c r="BB17" s="3897" t="s">
        <v>3614</v>
      </c>
      <c r="BC17" s="3907" t="s">
        <v>3540</v>
      </c>
      <c r="BD17" s="3913">
        <v>100062</v>
      </c>
      <c r="BE17" s="3907" t="s">
        <v>3451</v>
      </c>
      <c r="BF17" s="3914">
        <v>2.7</v>
      </c>
      <c r="BG17" s="3915">
        <v>37546</v>
      </c>
      <c r="BH17" s="3907" t="s">
        <v>3521</v>
      </c>
      <c r="BI17" s="3895" t="s">
        <v>3448</v>
      </c>
      <c r="BJ17" s="3953">
        <v>37811</v>
      </c>
      <c r="BK17" s="3915"/>
      <c r="BL17" s="3907" t="s">
        <v>3615</v>
      </c>
      <c r="BS17" s="3895"/>
      <c r="BT17" s="3895"/>
      <c r="BU17" s="3895"/>
      <c r="BV17" s="3901"/>
      <c r="BW17" s="3901"/>
      <c r="BX17" s="3901"/>
      <c r="BY17" s="3901"/>
      <c r="BZ17" s="3901"/>
      <c r="CA17" s="3901"/>
      <c r="CB17" s="3901"/>
      <c r="CC17" s="3901"/>
      <c r="CD17" s="3901"/>
      <c r="CE17" s="3901"/>
      <c r="CF17" s="3901"/>
      <c r="CG17" s="3901"/>
      <c r="CH17" s="3901"/>
      <c r="CI17" s="3901"/>
      <c r="CJ17" s="3901"/>
      <c r="CK17" s="3901"/>
      <c r="CL17" s="3901"/>
      <c r="CM17" s="3901"/>
      <c r="CN17" s="3901"/>
      <c r="CO17" s="3901"/>
      <c r="CP17" s="3901"/>
      <c r="CQ17" s="3901"/>
      <c r="CR17" s="3901"/>
      <c r="CS17" s="3901"/>
      <c r="CT17" s="3901"/>
      <c r="CU17" s="3901"/>
      <c r="CV17" s="3901"/>
      <c r="CW17" s="3901"/>
      <c r="CX17" s="3901"/>
      <c r="CY17" s="3901"/>
      <c r="CZ17" s="3901"/>
      <c r="DA17" s="3901"/>
      <c r="DB17" s="3901"/>
      <c r="DC17" s="3901"/>
      <c r="DD17" s="3901"/>
      <c r="DE17" s="3901"/>
      <c r="DF17" s="3901"/>
      <c r="DG17" s="3901"/>
      <c r="DH17" s="3901"/>
      <c r="DI17" s="3901"/>
      <c r="DJ17" s="3901"/>
      <c r="DK17" s="3901"/>
      <c r="DL17" s="3901"/>
      <c r="DM17" s="3901"/>
      <c r="DN17" s="3901"/>
      <c r="DO17" s="3901"/>
      <c r="DP17" s="3901"/>
      <c r="DQ17" s="3901"/>
      <c r="DR17" s="3901"/>
      <c r="DS17" s="3901"/>
      <c r="DT17" s="3901"/>
      <c r="DU17" s="3901"/>
      <c r="DV17" s="3901"/>
      <c r="DW17" s="3901"/>
      <c r="DX17" s="3901"/>
      <c r="DY17" s="3901"/>
      <c r="DZ17" s="3901"/>
      <c r="EA17" s="3901"/>
      <c r="EB17" s="3901"/>
      <c r="EC17" s="3901"/>
      <c r="ED17" s="3901"/>
      <c r="EE17" s="3901"/>
      <c r="EF17" s="3901"/>
      <c r="EG17" s="3901"/>
      <c r="EH17" s="3901"/>
      <c r="EI17" s="3901"/>
      <c r="EJ17" s="3901"/>
      <c r="EK17" s="3901"/>
      <c r="EL17" s="3901"/>
      <c r="EM17" s="3901"/>
      <c r="EN17" s="3901"/>
      <c r="EO17" s="3901"/>
      <c r="EP17" s="3901"/>
      <c r="EQ17" s="3901"/>
      <c r="ER17" s="3901"/>
      <c r="ES17" s="3901"/>
      <c r="ET17" s="3901"/>
      <c r="EU17" s="3901"/>
      <c r="EV17" s="3901"/>
      <c r="EW17" s="3901"/>
      <c r="EX17" s="3901"/>
      <c r="EY17" s="3901"/>
      <c r="EZ17" s="3901"/>
      <c r="FA17" s="3901"/>
      <c r="FB17" s="3901"/>
      <c r="FC17" s="3901"/>
      <c r="FD17" s="3901"/>
      <c r="FE17" s="3901"/>
      <c r="FF17" s="3901"/>
      <c r="FG17" s="3901"/>
      <c r="FH17" s="3901"/>
      <c r="FI17" s="3901"/>
      <c r="FJ17" s="3901"/>
      <c r="FK17" s="3901"/>
      <c r="FL17" s="3901"/>
      <c r="FM17" s="3901"/>
      <c r="FN17" s="3901"/>
      <c r="FO17" s="3901"/>
      <c r="FP17" s="3901"/>
      <c r="FQ17" s="3901"/>
      <c r="FR17" s="3901"/>
      <c r="FS17" s="3901"/>
      <c r="FT17" s="3901"/>
      <c r="FU17" s="3901"/>
      <c r="FV17" s="3901"/>
      <c r="FW17" s="3901"/>
      <c r="FX17" s="3901"/>
      <c r="FY17" s="3901"/>
      <c r="FZ17" s="3901"/>
      <c r="GA17" s="3901"/>
      <c r="GB17" s="3901"/>
      <c r="GC17" s="3901"/>
      <c r="GD17" s="3901"/>
      <c r="GE17" s="3901"/>
      <c r="GF17" s="3901"/>
      <c r="GG17" s="3901"/>
      <c r="GH17" s="3901"/>
      <c r="GI17" s="3901"/>
      <c r="GJ17" s="3901"/>
      <c r="GK17" s="3901"/>
      <c r="GL17" s="3901"/>
      <c r="GM17" s="3901"/>
      <c r="GN17" s="3901"/>
      <c r="GO17" s="3901"/>
      <c r="GP17" s="3901"/>
      <c r="GQ17" s="3901"/>
      <c r="GR17" s="3901"/>
      <c r="GS17" s="3901"/>
      <c r="GT17" s="3901"/>
      <c r="GU17" s="3901"/>
      <c r="GV17" s="3901"/>
      <c r="GW17" s="3901"/>
      <c r="GX17" s="3901"/>
      <c r="GY17" s="3901"/>
      <c r="GZ17" s="3901"/>
      <c r="HA17" s="3901"/>
      <c r="HB17" s="3901"/>
      <c r="HC17" s="3901"/>
      <c r="HD17" s="3901"/>
      <c r="HE17" s="3901"/>
      <c r="HF17" s="3901"/>
      <c r="HG17" s="3901"/>
      <c r="HH17" s="3901"/>
      <c r="HI17" s="3901"/>
      <c r="HJ17" s="3901"/>
      <c r="HK17" s="3901"/>
      <c r="HL17" s="3901"/>
      <c r="HM17" s="3901"/>
      <c r="HN17" s="3901"/>
      <c r="HO17" s="3901"/>
      <c r="HP17" s="3901"/>
      <c r="HQ17" s="3901"/>
      <c r="HR17" s="3901"/>
      <c r="HS17" s="3901"/>
      <c r="HT17" s="3901"/>
      <c r="HU17" s="3901"/>
      <c r="HV17" s="3901"/>
      <c r="HW17" s="3901"/>
      <c r="HX17" s="3901"/>
      <c r="HY17" s="3901"/>
      <c r="HZ17" s="3901"/>
      <c r="IA17" s="3901"/>
      <c r="IB17" s="3901"/>
      <c r="IC17" s="3901"/>
      <c r="ID17" s="3901"/>
      <c r="IE17" s="3901"/>
      <c r="IF17" s="3901"/>
      <c r="IG17" s="3901"/>
      <c r="IH17" s="3901"/>
      <c r="II17" s="3901"/>
      <c r="IJ17" s="3901"/>
      <c r="IK17" s="3901"/>
      <c r="IL17" s="3901"/>
      <c r="IM17" s="3901"/>
      <c r="IN17" s="3901"/>
      <c r="IO17" s="3901"/>
      <c r="IP17" s="3901"/>
      <c r="IQ17" s="3901"/>
      <c r="IR17" s="3901"/>
      <c r="IS17" s="3901"/>
    </row>
    <row r="18" spans="1:253" s="3895" customFormat="1" ht="12" hidden="1">
      <c r="A18" s="3895" t="s">
        <v>3673</v>
      </c>
      <c r="B18" s="3895" t="s">
        <v>3674</v>
      </c>
      <c r="C18" s="3895" t="s">
        <v>3675</v>
      </c>
      <c r="D18" s="3895" t="s">
        <v>3676</v>
      </c>
      <c r="E18" s="3895" t="s">
        <v>3532</v>
      </c>
      <c r="F18" s="3895" t="s">
        <v>3533</v>
      </c>
      <c r="H18" s="3895" t="s">
        <v>3677</v>
      </c>
      <c r="I18" s="3895" t="s">
        <v>3678</v>
      </c>
      <c r="J18" s="3895" t="s">
        <v>3679</v>
      </c>
      <c r="K18" s="3895" t="s">
        <v>3535</v>
      </c>
      <c r="L18" s="3895">
        <v>77.75</v>
      </c>
      <c r="M18" s="3895">
        <v>7</v>
      </c>
      <c r="N18" s="3895" t="s">
        <v>3462</v>
      </c>
      <c r="O18" s="3895">
        <v>60.21</v>
      </c>
      <c r="P18" s="3895" t="s">
        <v>3454</v>
      </c>
      <c r="Q18" s="3895">
        <v>377631.75</v>
      </c>
      <c r="R18" s="3895">
        <v>4857</v>
      </c>
      <c r="S18" s="3895">
        <v>37.380000000000003</v>
      </c>
      <c r="T18" s="3895">
        <v>373800</v>
      </c>
      <c r="U18" s="3895">
        <v>4808</v>
      </c>
      <c r="V18" s="3895">
        <v>0.05</v>
      </c>
      <c r="W18" s="3895">
        <v>35.51</v>
      </c>
      <c r="X18" s="3895">
        <v>355100</v>
      </c>
      <c r="Y18" s="3895">
        <v>2003</v>
      </c>
      <c r="Z18" s="3895">
        <v>8</v>
      </c>
      <c r="AA18" s="3895">
        <v>4</v>
      </c>
      <c r="AB18" s="3895">
        <v>1865</v>
      </c>
      <c r="AC18" s="3895" t="s">
        <v>3680</v>
      </c>
      <c r="AE18" s="3895" t="s">
        <v>3444</v>
      </c>
      <c r="AF18" s="3895" t="s">
        <v>3456</v>
      </c>
      <c r="AG18" s="3895" t="s">
        <v>3445</v>
      </c>
      <c r="AI18" s="3895" t="s">
        <v>3446</v>
      </c>
      <c r="AJ18" s="3895">
        <v>37560</v>
      </c>
      <c r="AK18" s="3895">
        <v>8</v>
      </c>
      <c r="AL18" s="3895">
        <v>67641700</v>
      </c>
      <c r="AN18" s="3895" t="s">
        <v>3447</v>
      </c>
      <c r="AO18" s="3895" t="s">
        <v>3451</v>
      </c>
      <c r="AP18" s="3895" t="s">
        <v>3448</v>
      </c>
      <c r="AQ18" s="3895" t="s">
        <v>3449</v>
      </c>
      <c r="AW18" s="3895" t="s">
        <v>3450</v>
      </c>
      <c r="AX18" s="3895" t="s">
        <v>2510</v>
      </c>
      <c r="AY18" s="3897" t="s">
        <v>3681</v>
      </c>
      <c r="AZ18" s="3895" t="s">
        <v>3535</v>
      </c>
      <c r="BA18" s="3895" t="s">
        <v>3539</v>
      </c>
      <c r="BB18" s="3897" t="s">
        <v>3594</v>
      </c>
      <c r="BC18" s="3895" t="s">
        <v>3540</v>
      </c>
      <c r="BD18" s="3922">
        <v>100062</v>
      </c>
      <c r="BE18" s="3895" t="s">
        <v>3451</v>
      </c>
      <c r="BF18" s="3923">
        <v>2.7</v>
      </c>
      <c r="BG18" s="3920">
        <v>37554</v>
      </c>
      <c r="BH18" s="3895" t="s">
        <v>3429</v>
      </c>
      <c r="BI18" s="3895" t="s">
        <v>3448</v>
      </c>
      <c r="BJ18" s="3953">
        <v>37832</v>
      </c>
      <c r="BK18" s="3953"/>
      <c r="BL18" s="3895" t="s">
        <v>3452</v>
      </c>
      <c r="BP18" s="3907"/>
      <c r="BQ18" s="3907"/>
      <c r="BR18" s="3907"/>
    </row>
    <row r="19" spans="1:253" s="3895" customFormat="1" ht="12" hidden="1">
      <c r="A19" s="3895" t="s">
        <v>3682</v>
      </c>
      <c r="B19" s="3895" t="s">
        <v>3683</v>
      </c>
      <c r="C19" s="3895" t="s">
        <v>3684</v>
      </c>
      <c r="D19" s="3895" t="s">
        <v>3685</v>
      </c>
      <c r="E19" s="3895" t="s">
        <v>3532</v>
      </c>
      <c r="F19" s="3895" t="s">
        <v>3533</v>
      </c>
      <c r="H19" s="3895" t="s">
        <v>3556</v>
      </c>
      <c r="I19" s="3895" t="s">
        <v>3686</v>
      </c>
      <c r="J19" s="3895" t="s">
        <v>3687</v>
      </c>
      <c r="K19" s="3895" t="s">
        <v>3535</v>
      </c>
      <c r="L19" s="3895">
        <v>81.849999999999994</v>
      </c>
      <c r="M19" s="3895">
        <v>9</v>
      </c>
      <c r="N19" s="3895" t="s">
        <v>3462</v>
      </c>
      <c r="O19" s="3895">
        <v>64.209999999999994</v>
      </c>
      <c r="P19" s="3895" t="s">
        <v>3454</v>
      </c>
      <c r="Q19" s="3895">
        <v>402047.2</v>
      </c>
      <c r="R19" s="3895">
        <v>4912</v>
      </c>
      <c r="S19" s="3895">
        <v>39.79</v>
      </c>
      <c r="T19" s="3895">
        <v>397900</v>
      </c>
      <c r="U19" s="3895">
        <v>4862</v>
      </c>
      <c r="V19" s="3895">
        <v>0.05</v>
      </c>
      <c r="W19" s="3895">
        <v>37.799999999999997</v>
      </c>
      <c r="X19" s="3895">
        <v>378000</v>
      </c>
      <c r="Y19" s="3895">
        <v>2003</v>
      </c>
      <c r="Z19" s="3895">
        <v>8</v>
      </c>
      <c r="AA19" s="3895">
        <v>5</v>
      </c>
      <c r="AB19" s="3895">
        <v>1985</v>
      </c>
      <c r="AC19" s="3895" t="s">
        <v>3688</v>
      </c>
      <c r="AE19" s="3895" t="s">
        <v>3444</v>
      </c>
      <c r="AF19" s="3895" t="s">
        <v>3456</v>
      </c>
      <c r="AG19" s="3895" t="s">
        <v>3445</v>
      </c>
      <c r="AI19" s="3895" t="s">
        <v>3446</v>
      </c>
      <c r="AJ19" s="3895">
        <v>37621</v>
      </c>
      <c r="AK19" s="3895">
        <v>8</v>
      </c>
      <c r="AL19" s="3895">
        <v>67641700</v>
      </c>
      <c r="AN19" s="3895" t="s">
        <v>3447</v>
      </c>
      <c r="AO19" s="3895" t="s">
        <v>3451</v>
      </c>
      <c r="AP19" s="3895" t="s">
        <v>3448</v>
      </c>
      <c r="AQ19" s="3895" t="s">
        <v>3449</v>
      </c>
      <c r="AW19" s="3895" t="s">
        <v>3450</v>
      </c>
      <c r="AX19" s="3895" t="s">
        <v>2510</v>
      </c>
      <c r="AY19" s="3897" t="s">
        <v>3689</v>
      </c>
      <c r="AZ19" s="3895" t="s">
        <v>3535</v>
      </c>
      <c r="BA19" s="3895" t="s">
        <v>3539</v>
      </c>
      <c r="BB19" s="3897" t="s">
        <v>3594</v>
      </c>
      <c r="BC19" s="3895" t="s">
        <v>3540</v>
      </c>
      <c r="BD19" s="3922">
        <v>100062</v>
      </c>
      <c r="BE19" s="3895" t="s">
        <v>3451</v>
      </c>
      <c r="BF19" s="3923">
        <v>2.7</v>
      </c>
      <c r="BG19" s="3920">
        <v>37600</v>
      </c>
      <c r="BH19" s="3895" t="s">
        <v>3429</v>
      </c>
      <c r="BI19" s="3895" t="s">
        <v>3448</v>
      </c>
      <c r="BJ19" s="3953">
        <v>37834</v>
      </c>
      <c r="BK19" s="3953"/>
      <c r="BL19" s="3895" t="s">
        <v>3452</v>
      </c>
      <c r="BP19" s="3907"/>
      <c r="BQ19" s="3907"/>
      <c r="BR19" s="3907"/>
    </row>
    <row r="20" spans="1:253" s="3895" customFormat="1" ht="12" hidden="1">
      <c r="A20" s="3895" t="s">
        <v>3690</v>
      </c>
      <c r="B20" s="3895" t="s">
        <v>3691</v>
      </c>
      <c r="C20" s="3895" t="s">
        <v>3692</v>
      </c>
      <c r="D20" s="3895" t="s">
        <v>3693</v>
      </c>
      <c r="E20" s="3895" t="s">
        <v>3532</v>
      </c>
      <c r="F20" s="3895" t="s">
        <v>3533</v>
      </c>
      <c r="H20" s="3895" t="s">
        <v>3677</v>
      </c>
      <c r="I20" s="3895" t="s">
        <v>3678</v>
      </c>
      <c r="J20" s="3895" t="s">
        <v>3694</v>
      </c>
      <c r="K20" s="3895" t="s">
        <v>3535</v>
      </c>
      <c r="L20" s="3895">
        <v>83.41</v>
      </c>
      <c r="M20" s="3895">
        <v>7</v>
      </c>
      <c r="N20" s="3895" t="s">
        <v>3462</v>
      </c>
      <c r="O20" s="3895">
        <v>64.59</v>
      </c>
      <c r="P20" s="3895" t="s">
        <v>3454</v>
      </c>
      <c r="Q20" s="3895">
        <v>378681.4</v>
      </c>
      <c r="R20" s="3895">
        <v>4540</v>
      </c>
      <c r="S20" s="3895">
        <v>37.479999999999997</v>
      </c>
      <c r="T20" s="3895">
        <v>374800</v>
      </c>
      <c r="U20" s="3895">
        <v>4494</v>
      </c>
      <c r="V20" s="3895">
        <v>0.05</v>
      </c>
      <c r="W20" s="3895">
        <v>35.6</v>
      </c>
      <c r="X20" s="3895">
        <v>356000</v>
      </c>
      <c r="Y20" s="3895">
        <v>2003</v>
      </c>
      <c r="Z20" s="3895">
        <v>8</v>
      </c>
      <c r="AA20" s="3895">
        <v>5</v>
      </c>
      <c r="AB20" s="3895">
        <v>1870</v>
      </c>
      <c r="AC20" s="3895" t="s">
        <v>3688</v>
      </c>
      <c r="AE20" s="3895" t="s">
        <v>3444</v>
      </c>
      <c r="AF20" s="3895" t="s">
        <v>3456</v>
      </c>
      <c r="AG20" s="3895" t="s">
        <v>3445</v>
      </c>
      <c r="AI20" s="3895" t="s">
        <v>3446</v>
      </c>
      <c r="AJ20" s="3895">
        <v>37621</v>
      </c>
      <c r="AK20" s="3895">
        <v>8</v>
      </c>
      <c r="AL20" s="3895">
        <v>67641700</v>
      </c>
      <c r="AN20" s="3895" t="s">
        <v>3447</v>
      </c>
      <c r="AO20" s="3895" t="s">
        <v>3451</v>
      </c>
      <c r="AP20" s="3895" t="s">
        <v>3448</v>
      </c>
      <c r="AQ20" s="3895" t="s">
        <v>3449</v>
      </c>
      <c r="AW20" s="3895" t="s">
        <v>3450</v>
      </c>
      <c r="AX20" s="3895" t="s">
        <v>2510</v>
      </c>
      <c r="AY20" s="3897" t="s">
        <v>3695</v>
      </c>
      <c r="AZ20" s="3895" t="s">
        <v>3535</v>
      </c>
      <c r="BA20" s="3895" t="s">
        <v>3539</v>
      </c>
      <c r="BB20" s="3897" t="s">
        <v>3594</v>
      </c>
      <c r="BC20" s="3895" t="s">
        <v>3540</v>
      </c>
      <c r="BD20" s="3922">
        <v>100062</v>
      </c>
      <c r="BE20" s="3895" t="s">
        <v>3451</v>
      </c>
      <c r="BF20" s="3923">
        <v>2.7</v>
      </c>
      <c r="BG20" s="3920">
        <v>37607</v>
      </c>
      <c r="BH20" s="3895" t="s">
        <v>3429</v>
      </c>
      <c r="BI20" s="3895" t="s">
        <v>3448</v>
      </c>
      <c r="BJ20" s="3953">
        <v>37834</v>
      </c>
      <c r="BK20" s="3953"/>
      <c r="BL20" s="3895" t="s">
        <v>3452</v>
      </c>
      <c r="BP20" s="3907"/>
      <c r="BQ20" s="3907"/>
      <c r="BR20" s="3907"/>
    </row>
    <row r="21" spans="1:253" s="3895" customFormat="1" ht="12" hidden="1">
      <c r="A21" s="3895" t="s">
        <v>3696</v>
      </c>
      <c r="B21" s="3895" t="s">
        <v>3697</v>
      </c>
      <c r="C21" s="3895" t="s">
        <v>3698</v>
      </c>
      <c r="D21" s="3895" t="s">
        <v>3699</v>
      </c>
      <c r="E21" s="3895" t="s">
        <v>3532</v>
      </c>
      <c r="F21" s="3895" t="s">
        <v>3533</v>
      </c>
      <c r="H21" s="3895" t="s">
        <v>3677</v>
      </c>
      <c r="I21" s="3895" t="s">
        <v>3700</v>
      </c>
      <c r="J21" s="3895" t="s">
        <v>3701</v>
      </c>
      <c r="K21" s="3895" t="s">
        <v>3535</v>
      </c>
      <c r="L21" s="3895">
        <v>54.16</v>
      </c>
      <c r="M21" s="3895">
        <v>21</v>
      </c>
      <c r="N21" s="3895" t="s">
        <v>3702</v>
      </c>
      <c r="O21" s="3895">
        <v>41.94</v>
      </c>
      <c r="P21" s="3895" t="s">
        <v>3454</v>
      </c>
      <c r="Q21" s="3895">
        <v>300588</v>
      </c>
      <c r="R21" s="3895">
        <v>5550</v>
      </c>
      <c r="S21" s="3895">
        <v>29.78</v>
      </c>
      <c r="T21" s="3895">
        <v>297800</v>
      </c>
      <c r="U21" s="3895">
        <v>5500</v>
      </c>
      <c r="V21" s="3895">
        <v>0.05</v>
      </c>
      <c r="W21" s="3895">
        <v>28.29</v>
      </c>
      <c r="X21" s="3895">
        <v>282900</v>
      </c>
      <c r="Y21" s="3895">
        <v>2003</v>
      </c>
      <c r="Z21" s="3895">
        <v>8</v>
      </c>
      <c r="AA21" s="3895">
        <v>5</v>
      </c>
      <c r="AB21" s="3895">
        <v>1485</v>
      </c>
      <c r="AC21" s="3895" t="s">
        <v>3688</v>
      </c>
      <c r="AE21" s="3895" t="s">
        <v>3444</v>
      </c>
      <c r="AF21" s="3895" t="s">
        <v>3456</v>
      </c>
      <c r="AG21" s="3895" t="s">
        <v>3445</v>
      </c>
      <c r="AI21" s="3895" t="s">
        <v>3446</v>
      </c>
      <c r="AJ21" s="3895">
        <v>37560</v>
      </c>
      <c r="AK21" s="3895">
        <v>8</v>
      </c>
      <c r="AL21" s="3895">
        <v>67641700</v>
      </c>
      <c r="AN21" s="3895" t="s">
        <v>3447</v>
      </c>
      <c r="AO21" s="3895" t="s">
        <v>3451</v>
      </c>
      <c r="AP21" s="3895" t="s">
        <v>3448</v>
      </c>
      <c r="AQ21" s="3895" t="s">
        <v>3449</v>
      </c>
      <c r="AW21" s="3895" t="s">
        <v>3450</v>
      </c>
      <c r="AX21" s="3895" t="s">
        <v>2510</v>
      </c>
      <c r="AY21" s="3897" t="s">
        <v>3703</v>
      </c>
      <c r="AZ21" s="3895" t="s">
        <v>3535</v>
      </c>
      <c r="BA21" s="3895" t="s">
        <v>3539</v>
      </c>
      <c r="BB21" s="3897" t="s">
        <v>3594</v>
      </c>
      <c r="BC21" s="3895" t="s">
        <v>3540</v>
      </c>
      <c r="BD21" s="3922">
        <v>100062</v>
      </c>
      <c r="BE21" s="3895" t="s">
        <v>3451</v>
      </c>
      <c r="BF21" s="3923">
        <v>2.7</v>
      </c>
      <c r="BG21" s="3920">
        <v>37555</v>
      </c>
      <c r="BH21" s="3895" t="s">
        <v>3429</v>
      </c>
      <c r="BI21" s="3895" t="s">
        <v>3448</v>
      </c>
      <c r="BJ21" s="3953">
        <v>37834</v>
      </c>
      <c r="BK21" s="3953"/>
      <c r="BL21" s="3895" t="s">
        <v>3452</v>
      </c>
      <c r="BP21" s="3907"/>
      <c r="BQ21" s="3907"/>
      <c r="BR21" s="3907"/>
    </row>
    <row r="22" spans="1:253" s="3895" customFormat="1" ht="12" hidden="1">
      <c r="A22" s="3895" t="s">
        <v>3704</v>
      </c>
      <c r="B22" s="3895" t="s">
        <v>3705</v>
      </c>
      <c r="C22" s="3895" t="s">
        <v>3706</v>
      </c>
      <c r="D22" s="3895" t="s">
        <v>3707</v>
      </c>
      <c r="E22" s="3895" t="s">
        <v>3532</v>
      </c>
      <c r="F22" s="3895" t="s">
        <v>3533</v>
      </c>
      <c r="H22" s="3895" t="s">
        <v>3677</v>
      </c>
      <c r="I22" s="3895" t="s">
        <v>3700</v>
      </c>
      <c r="J22" s="3895" t="s">
        <v>3708</v>
      </c>
      <c r="K22" s="3895" t="s">
        <v>3535</v>
      </c>
      <c r="L22" s="3895">
        <v>83.41</v>
      </c>
      <c r="M22" s="3895">
        <v>21</v>
      </c>
      <c r="N22" s="3895" t="s">
        <v>3462</v>
      </c>
      <c r="O22" s="3895">
        <v>64.59</v>
      </c>
      <c r="P22" s="3895" t="s">
        <v>3454</v>
      </c>
      <c r="Q22" s="3895">
        <v>463759.6</v>
      </c>
      <c r="R22" s="3895">
        <v>5560</v>
      </c>
      <c r="S22" s="3895">
        <v>45.92</v>
      </c>
      <c r="T22" s="3895">
        <v>459200</v>
      </c>
      <c r="U22" s="3895">
        <v>5506</v>
      </c>
      <c r="V22" s="3895">
        <v>0.05</v>
      </c>
      <c r="W22" s="3895">
        <v>43.62</v>
      </c>
      <c r="X22" s="3895">
        <v>436200</v>
      </c>
      <c r="Y22" s="3895">
        <v>2003</v>
      </c>
      <c r="Z22" s="3895">
        <v>8</v>
      </c>
      <c r="AA22" s="3895">
        <v>15</v>
      </c>
      <c r="AB22" s="3895">
        <v>2295</v>
      </c>
      <c r="AC22" s="3895" t="s">
        <v>3680</v>
      </c>
      <c r="AE22" s="3895" t="s">
        <v>3444</v>
      </c>
      <c r="AF22" s="3895" t="s">
        <v>3456</v>
      </c>
      <c r="AG22" s="3895" t="s">
        <v>3445</v>
      </c>
      <c r="AI22" s="3895" t="s">
        <v>3446</v>
      </c>
      <c r="AJ22" s="3895">
        <v>37621</v>
      </c>
      <c r="AK22" s="3895">
        <v>8</v>
      </c>
      <c r="AL22" s="3895">
        <v>67641700</v>
      </c>
      <c r="AN22" s="3895" t="s">
        <v>3453</v>
      </c>
      <c r="AO22" s="3895" t="s">
        <v>3451</v>
      </c>
      <c r="AP22" s="3895" t="s">
        <v>3448</v>
      </c>
      <c r="AQ22" s="3895" t="s">
        <v>3449</v>
      </c>
      <c r="AW22" s="3895" t="s">
        <v>3450</v>
      </c>
      <c r="AX22" s="3895" t="s">
        <v>2510</v>
      </c>
      <c r="AY22" s="3897" t="s">
        <v>3709</v>
      </c>
      <c r="AZ22" s="3895" t="s">
        <v>3535</v>
      </c>
      <c r="BA22" s="3895" t="s">
        <v>3539</v>
      </c>
      <c r="BB22" s="3897" t="s">
        <v>3594</v>
      </c>
      <c r="BC22" s="3895" t="s">
        <v>3540</v>
      </c>
      <c r="BD22" s="3922">
        <v>100062</v>
      </c>
      <c r="BE22" s="3895" t="s">
        <v>3451</v>
      </c>
      <c r="BF22" s="3923">
        <v>2.7</v>
      </c>
      <c r="BG22" s="3920">
        <v>37607</v>
      </c>
      <c r="BH22" s="3895" t="s">
        <v>3429</v>
      </c>
      <c r="BI22" s="3895" t="s">
        <v>3448</v>
      </c>
      <c r="BJ22" s="3953">
        <v>37846</v>
      </c>
      <c r="BK22" s="3953"/>
      <c r="BL22" s="3895" t="s">
        <v>3452</v>
      </c>
      <c r="BP22" s="3907"/>
      <c r="BQ22" s="3907"/>
      <c r="BR22" s="3907"/>
    </row>
    <row r="23" spans="1:253" s="3895" customFormat="1" ht="12" hidden="1">
      <c r="A23" s="3895" t="s">
        <v>3710</v>
      </c>
      <c r="B23" s="3895" t="s">
        <v>3711</v>
      </c>
      <c r="C23" s="3895" t="s">
        <v>3712</v>
      </c>
      <c r="D23" s="3895" t="s">
        <v>3713</v>
      </c>
      <c r="E23" s="3895" t="s">
        <v>3532</v>
      </c>
      <c r="F23" s="3895" t="s">
        <v>3533</v>
      </c>
      <c r="H23" s="3895" t="s">
        <v>3556</v>
      </c>
      <c r="I23" s="3895" t="s">
        <v>3574</v>
      </c>
      <c r="J23" s="3895" t="s">
        <v>3714</v>
      </c>
      <c r="K23" s="3895" t="s">
        <v>3535</v>
      </c>
      <c r="L23" s="3895">
        <v>82.16</v>
      </c>
      <c r="M23" s="3895">
        <v>6</v>
      </c>
      <c r="N23" s="3895" t="s">
        <v>3462</v>
      </c>
      <c r="O23" s="3895">
        <v>64.19</v>
      </c>
      <c r="P23" s="3895" t="s">
        <v>3454</v>
      </c>
      <c r="Q23" s="3895">
        <v>389191.92</v>
      </c>
      <c r="R23" s="3895">
        <v>4737</v>
      </c>
      <c r="S23" s="3895">
        <v>38.520000000000003</v>
      </c>
      <c r="T23" s="3895">
        <v>385200</v>
      </c>
      <c r="U23" s="3895">
        <v>4689</v>
      </c>
      <c r="V23" s="3895">
        <v>0.05</v>
      </c>
      <c r="W23" s="3895">
        <v>36.590000000000003</v>
      </c>
      <c r="X23" s="3895">
        <v>365900</v>
      </c>
      <c r="Y23" s="3895">
        <v>2003</v>
      </c>
      <c r="Z23" s="3895">
        <v>8</v>
      </c>
      <c r="AA23" s="3895">
        <v>18</v>
      </c>
      <c r="AB23" s="3895">
        <v>1925</v>
      </c>
      <c r="AC23" s="3895" t="s">
        <v>3680</v>
      </c>
      <c r="AE23" s="3895" t="s">
        <v>3444</v>
      </c>
      <c r="AF23" s="3895" t="s">
        <v>3456</v>
      </c>
      <c r="AG23" s="3895" t="s">
        <v>3445</v>
      </c>
      <c r="AI23" s="3895" t="s">
        <v>3446</v>
      </c>
      <c r="AJ23" s="3895">
        <v>37560</v>
      </c>
      <c r="AK23" s="3895">
        <v>8</v>
      </c>
      <c r="AL23" s="3895">
        <v>67641700</v>
      </c>
      <c r="AN23" s="3895" t="s">
        <v>3455</v>
      </c>
      <c r="AO23" s="3895" t="s">
        <v>3451</v>
      </c>
      <c r="AP23" s="3895" t="s">
        <v>3448</v>
      </c>
      <c r="AQ23" s="3895" t="s">
        <v>3449</v>
      </c>
      <c r="AW23" s="3895" t="s">
        <v>3450</v>
      </c>
      <c r="AX23" s="3895" t="s">
        <v>2510</v>
      </c>
      <c r="AY23" s="3897" t="s">
        <v>3715</v>
      </c>
      <c r="AZ23" s="3895" t="s">
        <v>3535</v>
      </c>
      <c r="BA23" s="3895" t="s">
        <v>3539</v>
      </c>
      <c r="BB23" s="3897" t="s">
        <v>3594</v>
      </c>
      <c r="BC23" s="3895" t="s">
        <v>3540</v>
      </c>
      <c r="BD23" s="3922">
        <v>100062</v>
      </c>
      <c r="BE23" s="3895" t="s">
        <v>3451</v>
      </c>
      <c r="BF23" s="3923">
        <v>2.7</v>
      </c>
      <c r="BG23" s="3920">
        <v>37546</v>
      </c>
      <c r="BH23" s="3895" t="s">
        <v>3429</v>
      </c>
      <c r="BI23" s="3895" t="s">
        <v>3448</v>
      </c>
      <c r="BJ23" s="3953">
        <v>37832</v>
      </c>
      <c r="BK23" s="3953"/>
      <c r="BL23" s="3895" t="s">
        <v>3452</v>
      </c>
      <c r="BP23" s="3907"/>
      <c r="BQ23" s="3907"/>
      <c r="BR23" s="3907"/>
    </row>
    <row r="24" spans="1:253" s="3895" customFormat="1" ht="12" hidden="1">
      <c r="A24" s="3895" t="s">
        <v>3716</v>
      </c>
      <c r="B24" s="3895" t="s">
        <v>3717</v>
      </c>
      <c r="C24" s="3895" t="s">
        <v>3718</v>
      </c>
      <c r="D24" s="3895" t="s">
        <v>3719</v>
      </c>
      <c r="E24" s="3895" t="s">
        <v>3532</v>
      </c>
      <c r="F24" s="3895" t="s">
        <v>3533</v>
      </c>
      <c r="H24" s="3895" t="s">
        <v>3677</v>
      </c>
      <c r="I24" s="3895" t="s">
        <v>3720</v>
      </c>
      <c r="J24" s="3895" t="s">
        <v>3721</v>
      </c>
      <c r="K24" s="3895" t="s">
        <v>3535</v>
      </c>
      <c r="L24" s="3895">
        <v>77.75</v>
      </c>
      <c r="M24" s="3895">
        <v>13</v>
      </c>
      <c r="N24" s="3895" t="s">
        <v>3462</v>
      </c>
      <c r="O24" s="3895">
        <v>60.21</v>
      </c>
      <c r="P24" s="3895" t="s">
        <v>3454</v>
      </c>
      <c r="Q24" s="3895">
        <v>410442.25</v>
      </c>
      <c r="R24" s="3895">
        <v>5279</v>
      </c>
      <c r="S24" s="3895">
        <v>40.64</v>
      </c>
      <c r="T24" s="3895">
        <v>406400</v>
      </c>
      <c r="U24" s="3895">
        <v>5228</v>
      </c>
      <c r="V24" s="3895">
        <v>0.05</v>
      </c>
      <c r="W24" s="3895">
        <v>38.6</v>
      </c>
      <c r="X24" s="3895">
        <v>386000</v>
      </c>
      <c r="Y24" s="3895">
        <v>2003</v>
      </c>
      <c r="Z24" s="3895">
        <v>8</v>
      </c>
      <c r="AA24" s="3895">
        <v>18</v>
      </c>
      <c r="AB24" s="3895">
        <v>2030</v>
      </c>
      <c r="AC24" s="3895" t="s">
        <v>3688</v>
      </c>
      <c r="AE24" s="3895" t="s">
        <v>3444</v>
      </c>
      <c r="AF24" s="3895" t="s">
        <v>3456</v>
      </c>
      <c r="AG24" s="3895" t="s">
        <v>3445</v>
      </c>
      <c r="AI24" s="3895" t="s">
        <v>3446</v>
      </c>
      <c r="AJ24" s="3895">
        <v>37621</v>
      </c>
      <c r="AK24" s="3895">
        <v>8</v>
      </c>
      <c r="AL24" s="3895">
        <v>67641700</v>
      </c>
      <c r="AN24" s="3895" t="s">
        <v>3455</v>
      </c>
      <c r="AO24" s="3895" t="s">
        <v>3451</v>
      </c>
      <c r="AP24" s="3895" t="s">
        <v>3448</v>
      </c>
      <c r="AQ24" s="3895" t="s">
        <v>3449</v>
      </c>
      <c r="AW24" s="3895" t="s">
        <v>3450</v>
      </c>
      <c r="AX24" s="3895" t="s">
        <v>2510</v>
      </c>
      <c r="AY24" s="3897" t="s">
        <v>3722</v>
      </c>
      <c r="AZ24" s="3895" t="s">
        <v>3535</v>
      </c>
      <c r="BA24" s="3895" t="s">
        <v>3539</v>
      </c>
      <c r="BB24" s="3897" t="s">
        <v>3594</v>
      </c>
      <c r="BC24" s="3895" t="s">
        <v>3540</v>
      </c>
      <c r="BD24" s="3922">
        <v>100062</v>
      </c>
      <c r="BE24" s="3895" t="s">
        <v>3451</v>
      </c>
      <c r="BF24" s="3923">
        <v>2.7</v>
      </c>
      <c r="BG24" s="3920">
        <v>37607</v>
      </c>
      <c r="BH24" s="3895" t="s">
        <v>3429</v>
      </c>
      <c r="BI24" s="3895" t="s">
        <v>3448</v>
      </c>
      <c r="BJ24" s="3953">
        <v>37848</v>
      </c>
      <c r="BK24" s="3953"/>
      <c r="BL24" s="3895" t="s">
        <v>3452</v>
      </c>
      <c r="BP24" s="3907"/>
      <c r="BQ24" s="3907"/>
      <c r="BR24" s="3907"/>
    </row>
    <row r="25" spans="1:253" s="3895" customFormat="1" ht="12" hidden="1">
      <c r="A25" s="3895" t="s">
        <v>3723</v>
      </c>
      <c r="B25" s="3895" t="s">
        <v>3724</v>
      </c>
      <c r="C25" s="3895" t="s">
        <v>3725</v>
      </c>
      <c r="D25" s="3895" t="s">
        <v>3726</v>
      </c>
      <c r="E25" s="3895" t="s">
        <v>3532</v>
      </c>
      <c r="F25" s="3895" t="s">
        <v>3533</v>
      </c>
      <c r="H25" s="3895" t="s">
        <v>3677</v>
      </c>
      <c r="I25" s="3895" t="s">
        <v>3727</v>
      </c>
      <c r="J25" s="3895" t="s">
        <v>3728</v>
      </c>
      <c r="K25" s="3895" t="s">
        <v>3535</v>
      </c>
      <c r="L25" s="3895">
        <v>83.41</v>
      </c>
      <c r="M25" s="3895">
        <v>19</v>
      </c>
      <c r="N25" s="3895" t="s">
        <v>3462</v>
      </c>
      <c r="O25" s="3895">
        <v>64.59</v>
      </c>
      <c r="P25" s="3895" t="s">
        <v>3454</v>
      </c>
      <c r="Q25" s="3895">
        <v>460506.61</v>
      </c>
      <c r="R25" s="3895">
        <v>5521</v>
      </c>
      <c r="S25" s="3895">
        <v>45.62</v>
      </c>
      <c r="T25" s="3895">
        <v>456200</v>
      </c>
      <c r="U25" s="3895">
        <v>5470</v>
      </c>
      <c r="V25" s="3895">
        <v>0.05</v>
      </c>
      <c r="W25" s="3895">
        <v>43.33</v>
      </c>
      <c r="X25" s="3895">
        <v>433300</v>
      </c>
      <c r="Y25" s="3895">
        <v>2003</v>
      </c>
      <c r="Z25" s="3895">
        <v>8</v>
      </c>
      <c r="AA25" s="3895">
        <v>19</v>
      </c>
      <c r="AB25" s="3895">
        <v>2280</v>
      </c>
      <c r="AC25" s="3895" t="s">
        <v>3729</v>
      </c>
      <c r="AE25" s="3895" t="s">
        <v>3444</v>
      </c>
      <c r="AF25" s="3895" t="s">
        <v>3456</v>
      </c>
      <c r="AG25" s="3895" t="s">
        <v>3445</v>
      </c>
      <c r="AI25" s="3895" t="s">
        <v>3446</v>
      </c>
      <c r="AJ25" s="3895">
        <v>37621</v>
      </c>
      <c r="AK25" s="3895">
        <v>8</v>
      </c>
      <c r="AL25" s="3895">
        <v>67641700</v>
      </c>
      <c r="AN25" s="3895" t="s">
        <v>3455</v>
      </c>
      <c r="AO25" s="3895" t="s">
        <v>3451</v>
      </c>
      <c r="AP25" s="3895" t="s">
        <v>3448</v>
      </c>
      <c r="AQ25" s="3895" t="s">
        <v>3449</v>
      </c>
      <c r="AW25" s="3895" t="s">
        <v>3450</v>
      </c>
      <c r="AX25" s="3895" t="s">
        <v>3451</v>
      </c>
      <c r="AY25" s="3897" t="s">
        <v>3730</v>
      </c>
      <c r="AZ25" s="3895" t="s">
        <v>3535</v>
      </c>
      <c r="BA25" s="3895" t="s">
        <v>3539</v>
      </c>
      <c r="BB25" s="3897" t="s">
        <v>3594</v>
      </c>
      <c r="BC25" s="3895" t="s">
        <v>3540</v>
      </c>
      <c r="BD25" s="3922">
        <v>100062</v>
      </c>
      <c r="BE25" s="3895" t="s">
        <v>3451</v>
      </c>
      <c r="BF25" s="3923">
        <v>2.7</v>
      </c>
      <c r="BG25" s="3920">
        <v>37610</v>
      </c>
      <c r="BH25" s="3895" t="s">
        <v>3429</v>
      </c>
      <c r="BI25" s="3895" t="s">
        <v>3448</v>
      </c>
      <c r="BJ25" s="3953">
        <v>37846</v>
      </c>
      <c r="BK25" s="3953"/>
      <c r="BL25" s="3895" t="s">
        <v>3452</v>
      </c>
      <c r="BP25" s="3907"/>
      <c r="BQ25" s="3907"/>
      <c r="BR25" s="3907"/>
    </row>
    <row r="26" spans="1:253" s="3895" customFormat="1" ht="12" hidden="1">
      <c r="A26" s="3895" t="s">
        <v>3731</v>
      </c>
      <c r="B26" s="3895" t="s">
        <v>3732</v>
      </c>
      <c r="C26" s="3895">
        <v>110104710103004</v>
      </c>
      <c r="D26" s="3895">
        <v>13911266025</v>
      </c>
      <c r="E26" s="3895" t="s">
        <v>3532</v>
      </c>
      <c r="F26" s="3895" t="s">
        <v>3733</v>
      </c>
      <c r="H26" s="3895" t="s">
        <v>3734</v>
      </c>
      <c r="I26" s="3895" t="s">
        <v>3735</v>
      </c>
      <c r="J26" s="3895" t="s">
        <v>3567</v>
      </c>
      <c r="K26" s="3895" t="s">
        <v>3736</v>
      </c>
      <c r="L26" s="3895">
        <v>106.06</v>
      </c>
      <c r="M26" s="3895">
        <v>4</v>
      </c>
      <c r="N26" s="3895" t="s">
        <v>3464</v>
      </c>
      <c r="O26" s="3895">
        <v>89.14</v>
      </c>
      <c r="P26" s="3895" t="s">
        <v>3454</v>
      </c>
      <c r="Q26" s="3895">
        <v>584390.6</v>
      </c>
      <c r="R26" s="3895">
        <v>5510</v>
      </c>
      <c r="S26" s="3895">
        <v>57.74</v>
      </c>
      <c r="T26" s="3895">
        <v>577400</v>
      </c>
      <c r="U26" s="3895">
        <v>5445</v>
      </c>
      <c r="V26" s="3895">
        <v>0.1</v>
      </c>
      <c r="W26" s="3895">
        <v>51.96</v>
      </c>
      <c r="X26" s="3895">
        <v>519600</v>
      </c>
      <c r="Y26" s="3895">
        <v>2003</v>
      </c>
      <c r="Z26" s="3895">
        <v>8</v>
      </c>
      <c r="AA26" s="3895">
        <v>20</v>
      </c>
      <c r="AB26" s="3895">
        <v>2885</v>
      </c>
      <c r="AC26" s="3895" t="s">
        <v>3729</v>
      </c>
      <c r="AE26" s="3895" t="s">
        <v>3444</v>
      </c>
      <c r="AF26" s="3895" t="s">
        <v>3737</v>
      </c>
      <c r="AG26" s="3895" t="s">
        <v>3445</v>
      </c>
      <c r="AI26" s="3895" t="s">
        <v>3446</v>
      </c>
      <c r="AJ26" s="3895">
        <v>38117</v>
      </c>
      <c r="AK26" s="3895">
        <v>8</v>
      </c>
      <c r="AL26" s="3895">
        <v>67641700</v>
      </c>
      <c r="AM26" s="3895" t="s">
        <v>3451</v>
      </c>
      <c r="AN26" s="3895" t="s">
        <v>3455</v>
      </c>
      <c r="AO26" s="3895" t="s">
        <v>3451</v>
      </c>
      <c r="AP26" s="3895" t="s">
        <v>3448</v>
      </c>
      <c r="AQ26" s="3895" t="s">
        <v>3449</v>
      </c>
      <c r="AU26" s="3895" t="s">
        <v>3451</v>
      </c>
      <c r="AV26" s="3895" t="s">
        <v>3451</v>
      </c>
      <c r="AW26" s="3895" t="s">
        <v>3450</v>
      </c>
      <c r="AX26" s="3895" t="s">
        <v>2510</v>
      </c>
      <c r="AY26" s="3897" t="s">
        <v>3738</v>
      </c>
      <c r="AZ26" s="3895" t="s">
        <v>3736</v>
      </c>
      <c r="BA26" s="3895" t="s">
        <v>3739</v>
      </c>
      <c r="BB26" s="3897" t="s">
        <v>3740</v>
      </c>
      <c r="BC26" s="3895" t="s">
        <v>3741</v>
      </c>
      <c r="BD26" s="3922">
        <v>100022</v>
      </c>
      <c r="BE26" s="3895">
        <v>67358462</v>
      </c>
      <c r="BF26" s="3923">
        <v>2.7</v>
      </c>
      <c r="BG26" s="3920">
        <v>37845</v>
      </c>
      <c r="BI26" s="3895" t="s">
        <v>3448</v>
      </c>
      <c r="BJ26" s="3953">
        <v>37852</v>
      </c>
      <c r="BK26" s="3953"/>
      <c r="BL26" s="3895" t="s">
        <v>3452</v>
      </c>
      <c r="BP26" s="3907"/>
      <c r="BQ26" s="3907"/>
      <c r="BR26" s="3907"/>
    </row>
    <row r="27" spans="1:253" s="3895" customFormat="1" ht="12" hidden="1">
      <c r="A27" s="3895" t="s">
        <v>3742</v>
      </c>
      <c r="B27" s="3895" t="s">
        <v>3743</v>
      </c>
      <c r="C27" s="3895" t="s">
        <v>3744</v>
      </c>
      <c r="D27" s="3895" t="s">
        <v>3745</v>
      </c>
      <c r="E27" s="3895" t="s">
        <v>3532</v>
      </c>
      <c r="F27" s="3895" t="s">
        <v>3533</v>
      </c>
      <c r="H27" s="3895" t="s">
        <v>3677</v>
      </c>
      <c r="I27" s="3895" t="s">
        <v>3746</v>
      </c>
      <c r="J27" s="3895" t="s">
        <v>3747</v>
      </c>
      <c r="K27" s="3895" t="s">
        <v>3535</v>
      </c>
      <c r="L27" s="3895">
        <v>53.46</v>
      </c>
      <c r="M27" s="3895">
        <v>15</v>
      </c>
      <c r="N27" s="3895" t="s">
        <v>3702</v>
      </c>
      <c r="O27" s="3895">
        <v>41.77</v>
      </c>
      <c r="P27" s="3895" t="s">
        <v>3454</v>
      </c>
      <c r="Q27" s="3895">
        <v>301086.71999999997</v>
      </c>
      <c r="R27" s="3895">
        <v>5632</v>
      </c>
      <c r="S27" s="3895">
        <v>30.05</v>
      </c>
      <c r="T27" s="3895">
        <v>300500</v>
      </c>
      <c r="U27" s="3895">
        <v>5622</v>
      </c>
      <c r="V27" s="3895">
        <v>0.05</v>
      </c>
      <c r="W27" s="3895">
        <v>28.54</v>
      </c>
      <c r="X27" s="3895">
        <v>285400</v>
      </c>
      <c r="Y27" s="3895">
        <v>2003</v>
      </c>
      <c r="Z27" s="3895">
        <v>8</v>
      </c>
      <c r="AA27" s="3895">
        <v>21</v>
      </c>
      <c r="AB27" s="3895">
        <v>1500</v>
      </c>
      <c r="AC27" s="3895" t="s">
        <v>3559</v>
      </c>
      <c r="AE27" s="3895" t="s">
        <v>3444</v>
      </c>
      <c r="AF27" s="3895" t="s">
        <v>3456</v>
      </c>
      <c r="AG27" s="3895" t="s">
        <v>3445</v>
      </c>
      <c r="AI27" s="3895" t="s">
        <v>3446</v>
      </c>
      <c r="AJ27" s="3895">
        <v>37621</v>
      </c>
      <c r="AK27" s="3895">
        <v>8</v>
      </c>
      <c r="AL27" s="3895">
        <v>67641700</v>
      </c>
      <c r="AN27" s="3895" t="s">
        <v>3455</v>
      </c>
      <c r="AO27" s="3895" t="s">
        <v>3451</v>
      </c>
      <c r="AP27" s="3895" t="s">
        <v>3448</v>
      </c>
      <c r="AQ27" s="3895" t="s">
        <v>3449</v>
      </c>
      <c r="AW27" s="3895" t="s">
        <v>3450</v>
      </c>
      <c r="AX27" s="3895" t="s">
        <v>3451</v>
      </c>
      <c r="AY27" s="3897" t="s">
        <v>3748</v>
      </c>
      <c r="AZ27" s="3895" t="s">
        <v>3535</v>
      </c>
      <c r="BA27" s="3895" t="s">
        <v>3539</v>
      </c>
      <c r="BB27" s="3897" t="s">
        <v>3594</v>
      </c>
      <c r="BC27" s="3895" t="s">
        <v>3540</v>
      </c>
      <c r="BD27" s="3922">
        <v>100062</v>
      </c>
      <c r="BE27" s="3895" t="s">
        <v>3451</v>
      </c>
      <c r="BF27" s="3923">
        <v>2.7</v>
      </c>
      <c r="BG27" s="3920">
        <v>37605</v>
      </c>
      <c r="BH27" s="3895" t="s">
        <v>3429</v>
      </c>
      <c r="BI27" s="3895" t="s">
        <v>3448</v>
      </c>
      <c r="BJ27" s="3953">
        <v>37852</v>
      </c>
      <c r="BK27" s="3953"/>
      <c r="BL27" s="3895" t="s">
        <v>3452</v>
      </c>
      <c r="BP27" s="3907"/>
      <c r="BQ27" s="3907"/>
      <c r="BR27" s="3907"/>
    </row>
    <row r="28" spans="1:253" s="3895" customFormat="1" ht="12" hidden="1">
      <c r="A28" s="3895" t="s">
        <v>3749</v>
      </c>
      <c r="B28" s="3895" t="s">
        <v>3750</v>
      </c>
      <c r="C28" s="3895" t="s">
        <v>3751</v>
      </c>
      <c r="D28" s="3895" t="s">
        <v>3752</v>
      </c>
      <c r="E28" s="3895" t="s">
        <v>3532</v>
      </c>
      <c r="F28" s="3895" t="s">
        <v>3533</v>
      </c>
      <c r="H28" s="3895" t="s">
        <v>3556</v>
      </c>
      <c r="I28" s="3895" t="s">
        <v>3753</v>
      </c>
      <c r="J28" s="3895" t="s">
        <v>3754</v>
      </c>
      <c r="K28" s="3895" t="s">
        <v>3535</v>
      </c>
      <c r="L28" s="3895">
        <v>82.16</v>
      </c>
      <c r="M28" s="3895">
        <v>23</v>
      </c>
      <c r="N28" s="3895" t="s">
        <v>3462</v>
      </c>
      <c r="O28" s="3895">
        <v>64.19</v>
      </c>
      <c r="P28" s="3895" t="s">
        <v>3454</v>
      </c>
      <c r="Q28" s="3895">
        <v>461574.88</v>
      </c>
      <c r="R28" s="3895">
        <v>5618</v>
      </c>
      <c r="S28" s="3895">
        <v>45.78</v>
      </c>
      <c r="T28" s="3895">
        <v>457800</v>
      </c>
      <c r="U28" s="3895">
        <v>5573</v>
      </c>
      <c r="V28" s="3895">
        <v>0.05</v>
      </c>
      <c r="W28" s="3895">
        <v>43.49</v>
      </c>
      <c r="X28" s="3895">
        <v>434900</v>
      </c>
      <c r="Y28" s="3895">
        <v>2003</v>
      </c>
      <c r="Z28" s="3895">
        <v>8</v>
      </c>
      <c r="AA28" s="3895">
        <v>21</v>
      </c>
      <c r="AB28" s="3895">
        <v>2285</v>
      </c>
      <c r="AC28" s="3895" t="s">
        <v>3559</v>
      </c>
      <c r="AE28" s="3895" t="s">
        <v>3444</v>
      </c>
      <c r="AF28" s="3895" t="s">
        <v>3456</v>
      </c>
      <c r="AG28" s="3895" t="s">
        <v>3445</v>
      </c>
      <c r="AI28" s="3895" t="s">
        <v>3446</v>
      </c>
      <c r="AJ28" s="3895">
        <v>37560</v>
      </c>
      <c r="AK28" s="3895">
        <v>8</v>
      </c>
      <c r="AL28" s="3895">
        <v>67641700</v>
      </c>
      <c r="AN28" s="3895" t="s">
        <v>3455</v>
      </c>
      <c r="AO28" s="3895" t="s">
        <v>3451</v>
      </c>
      <c r="AP28" s="3895" t="s">
        <v>3448</v>
      </c>
      <c r="AQ28" s="3895" t="s">
        <v>3449</v>
      </c>
      <c r="AW28" s="3895" t="s">
        <v>3450</v>
      </c>
      <c r="AX28" s="3895" t="s">
        <v>3451</v>
      </c>
      <c r="AY28" s="3897" t="s">
        <v>3755</v>
      </c>
      <c r="AZ28" s="3895" t="s">
        <v>3535</v>
      </c>
      <c r="BA28" s="3895" t="s">
        <v>3539</v>
      </c>
      <c r="BB28" s="3897" t="s">
        <v>3594</v>
      </c>
      <c r="BC28" s="3895" t="s">
        <v>3540</v>
      </c>
      <c r="BD28" s="3922">
        <v>100062</v>
      </c>
      <c r="BE28" s="3895" t="s">
        <v>3451</v>
      </c>
      <c r="BF28" s="3923">
        <v>2.7</v>
      </c>
      <c r="BG28" s="3920">
        <v>37556</v>
      </c>
      <c r="BH28" s="3895" t="s">
        <v>3429</v>
      </c>
      <c r="BI28" s="3895" t="s">
        <v>3448</v>
      </c>
      <c r="BJ28" s="3953">
        <v>37852</v>
      </c>
      <c r="BK28" s="3953"/>
      <c r="BL28" s="3895" t="s">
        <v>3452</v>
      </c>
      <c r="BP28" s="3907"/>
      <c r="BQ28" s="3907"/>
      <c r="BR28" s="3907"/>
    </row>
    <row r="29" spans="1:253" s="3895" customFormat="1" ht="12" hidden="1">
      <c r="A29" s="3895" t="s">
        <v>3756</v>
      </c>
      <c r="B29" s="3895" t="s">
        <v>3757</v>
      </c>
      <c r="C29" s="3895" t="s">
        <v>3758</v>
      </c>
      <c r="D29" s="3895" t="s">
        <v>3759</v>
      </c>
      <c r="E29" s="3895" t="s">
        <v>3532</v>
      </c>
      <c r="F29" s="3895" t="s">
        <v>3533</v>
      </c>
      <c r="H29" s="3895" t="s">
        <v>3556</v>
      </c>
      <c r="I29" s="3895" t="s">
        <v>3760</v>
      </c>
      <c r="J29" s="3895" t="s">
        <v>3761</v>
      </c>
      <c r="K29" s="3895" t="s">
        <v>3535</v>
      </c>
      <c r="L29" s="3895">
        <v>82.16</v>
      </c>
      <c r="M29" s="3895">
        <v>17</v>
      </c>
      <c r="N29" s="3895" t="s">
        <v>3462</v>
      </c>
      <c r="O29" s="3895">
        <v>64.19</v>
      </c>
      <c r="P29" s="3895" t="s">
        <v>3454</v>
      </c>
      <c r="Q29" s="3895">
        <v>449333.04</v>
      </c>
      <c r="R29" s="3895">
        <v>5469</v>
      </c>
      <c r="S29" s="3895">
        <v>44.51</v>
      </c>
      <c r="T29" s="3895">
        <v>445100</v>
      </c>
      <c r="U29" s="3895">
        <v>5418</v>
      </c>
      <c r="V29" s="3895">
        <v>0.05</v>
      </c>
      <c r="W29" s="3895">
        <v>42.28</v>
      </c>
      <c r="X29" s="3895">
        <v>422800</v>
      </c>
      <c r="Y29" s="3895">
        <v>2003</v>
      </c>
      <c r="Z29" s="3895">
        <v>8</v>
      </c>
      <c r="AA29" s="3895">
        <v>22</v>
      </c>
      <c r="AB29" s="3895">
        <v>2225</v>
      </c>
      <c r="AC29" s="3895" t="s">
        <v>3688</v>
      </c>
      <c r="AE29" s="3895" t="s">
        <v>3444</v>
      </c>
      <c r="AF29" s="3895" t="s">
        <v>3456</v>
      </c>
      <c r="AG29" s="3895" t="s">
        <v>3445</v>
      </c>
      <c r="AI29" s="3895" t="s">
        <v>3446</v>
      </c>
      <c r="AJ29" s="3895">
        <v>37621</v>
      </c>
      <c r="AK29" s="3895">
        <v>8</v>
      </c>
      <c r="AL29" s="3895">
        <v>67641700</v>
      </c>
      <c r="AN29" s="3895" t="s">
        <v>3455</v>
      </c>
      <c r="AO29" s="3895" t="s">
        <v>3451</v>
      </c>
      <c r="AP29" s="3895" t="s">
        <v>3448</v>
      </c>
      <c r="AQ29" s="3895" t="s">
        <v>3449</v>
      </c>
      <c r="AW29" s="3895" t="s">
        <v>3450</v>
      </c>
      <c r="AX29" s="3895" t="s">
        <v>3451</v>
      </c>
      <c r="AY29" s="3897" t="s">
        <v>3762</v>
      </c>
      <c r="AZ29" s="3895" t="s">
        <v>3535</v>
      </c>
      <c r="BA29" s="3895" t="s">
        <v>3539</v>
      </c>
      <c r="BB29" s="3897" t="s">
        <v>3594</v>
      </c>
      <c r="BC29" s="3895" t="s">
        <v>3540</v>
      </c>
      <c r="BD29" s="3922">
        <v>100062</v>
      </c>
      <c r="BE29" s="3895" t="s">
        <v>3451</v>
      </c>
      <c r="BF29" s="3923">
        <v>2.7</v>
      </c>
      <c r="BG29" s="3920">
        <v>37607</v>
      </c>
      <c r="BH29" s="3895" t="s">
        <v>3429</v>
      </c>
      <c r="BI29" s="3895" t="s">
        <v>3448</v>
      </c>
      <c r="BJ29" s="3953">
        <v>37854</v>
      </c>
      <c r="BK29" s="3953"/>
      <c r="BL29" s="3895" t="s">
        <v>3452</v>
      </c>
      <c r="BP29" s="3907"/>
      <c r="BQ29" s="3907"/>
      <c r="BR29" s="3907"/>
    </row>
    <row r="30" spans="1:253" s="3895" customFormat="1" ht="12" hidden="1">
      <c r="A30" s="3895" t="s">
        <v>3763</v>
      </c>
      <c r="B30" s="3895" t="s">
        <v>3764</v>
      </c>
      <c r="C30" s="3895" t="s">
        <v>3765</v>
      </c>
      <c r="D30" s="3895">
        <v>13651029125</v>
      </c>
      <c r="E30" s="3895" t="s">
        <v>3532</v>
      </c>
      <c r="F30" s="3895" t="s">
        <v>3733</v>
      </c>
      <c r="H30" s="3895" t="s">
        <v>3766</v>
      </c>
      <c r="I30" s="3895" t="s">
        <v>3566</v>
      </c>
      <c r="J30" s="3895" t="s">
        <v>3767</v>
      </c>
      <c r="K30" s="3895" t="s">
        <v>3736</v>
      </c>
      <c r="L30" s="3895">
        <v>105.89</v>
      </c>
      <c r="M30" s="3895">
        <v>7</v>
      </c>
      <c r="N30" s="3895" t="s">
        <v>3464</v>
      </c>
      <c r="O30" s="3895">
        <v>89</v>
      </c>
      <c r="P30" s="3895" t="s">
        <v>3454</v>
      </c>
      <c r="Q30" s="3895">
        <v>568629.30000000005</v>
      </c>
      <c r="R30" s="3895">
        <v>5370</v>
      </c>
      <c r="S30" s="3895">
        <v>56.33</v>
      </c>
      <c r="T30" s="3895">
        <v>563300</v>
      </c>
      <c r="U30" s="3895">
        <v>5320</v>
      </c>
      <c r="V30" s="3895">
        <v>0.1</v>
      </c>
      <c r="W30" s="3895">
        <v>50.69</v>
      </c>
      <c r="X30" s="3895">
        <v>506900</v>
      </c>
      <c r="Y30" s="3895">
        <v>2003</v>
      </c>
      <c r="Z30" s="3895">
        <v>9</v>
      </c>
      <c r="AA30" s="3895">
        <v>1</v>
      </c>
      <c r="AB30" s="3895">
        <v>2815</v>
      </c>
      <c r="AC30" s="3895" t="s">
        <v>3688</v>
      </c>
      <c r="AE30" s="3895" t="s">
        <v>3444</v>
      </c>
      <c r="AF30" s="3895" t="s">
        <v>3737</v>
      </c>
      <c r="AG30" s="3895" t="s">
        <v>3445</v>
      </c>
      <c r="AI30" s="3895" t="s">
        <v>3446</v>
      </c>
      <c r="AJ30" s="3895">
        <v>38117</v>
      </c>
      <c r="AK30" s="3895">
        <v>9</v>
      </c>
      <c r="AL30" s="3895">
        <v>67641700</v>
      </c>
      <c r="AM30" s="3895" t="s">
        <v>3451</v>
      </c>
      <c r="AN30" s="3895" t="s">
        <v>3467</v>
      </c>
      <c r="AO30" s="3895" t="s">
        <v>3768</v>
      </c>
      <c r="AP30" s="3895" t="s">
        <v>3448</v>
      </c>
      <c r="AQ30" s="3895" t="s">
        <v>3449</v>
      </c>
      <c r="AU30" s="3895" t="s">
        <v>3451</v>
      </c>
      <c r="AV30" s="3895" t="s">
        <v>3451</v>
      </c>
      <c r="AW30" s="3895" t="s">
        <v>3450</v>
      </c>
      <c r="AX30" s="3895" t="s">
        <v>3451</v>
      </c>
      <c r="AY30" s="3897" t="s">
        <v>3769</v>
      </c>
      <c r="AZ30" s="3895" t="s">
        <v>3736</v>
      </c>
      <c r="BA30" s="3895" t="s">
        <v>3739</v>
      </c>
      <c r="BB30" s="3897" t="s">
        <v>3740</v>
      </c>
      <c r="BC30" s="3895" t="s">
        <v>3741</v>
      </c>
      <c r="BD30" s="3922">
        <v>100022</v>
      </c>
      <c r="BE30" s="3895">
        <v>67358462</v>
      </c>
      <c r="BF30" s="3923">
        <v>2.7</v>
      </c>
      <c r="BG30" s="3920">
        <v>37845</v>
      </c>
      <c r="BI30" s="3895" t="s">
        <v>3448</v>
      </c>
      <c r="BJ30" s="3953">
        <v>37861</v>
      </c>
      <c r="BK30" s="3953"/>
      <c r="BL30" s="3895" t="s">
        <v>3452</v>
      </c>
      <c r="BP30" s="3907"/>
      <c r="BQ30" s="3907"/>
      <c r="BR30" s="3907"/>
    </row>
    <row r="31" spans="1:253" s="3895" customFormat="1" ht="12" hidden="1">
      <c r="A31" s="3895" t="s">
        <v>3770</v>
      </c>
      <c r="B31" s="3895" t="s">
        <v>3771</v>
      </c>
      <c r="C31" s="3895" t="s">
        <v>3772</v>
      </c>
      <c r="D31" s="3895">
        <v>13611266931</v>
      </c>
      <c r="E31" s="3895" t="s">
        <v>3532</v>
      </c>
      <c r="F31" s="3895" t="s">
        <v>3733</v>
      </c>
      <c r="H31" s="3895" t="s">
        <v>3773</v>
      </c>
      <c r="I31" s="3895" t="s">
        <v>3774</v>
      </c>
      <c r="J31" s="3895" t="s">
        <v>3775</v>
      </c>
      <c r="K31" s="3895" t="s">
        <v>3736</v>
      </c>
      <c r="L31" s="3895">
        <v>132.68</v>
      </c>
      <c r="M31" s="3895">
        <v>8</v>
      </c>
      <c r="N31" s="3895" t="s">
        <v>3776</v>
      </c>
      <c r="O31" s="3895">
        <v>107.31</v>
      </c>
      <c r="P31" s="3895" t="s">
        <v>3454</v>
      </c>
      <c r="Q31" s="3895">
        <v>611654.80000000005</v>
      </c>
      <c r="R31" s="3895">
        <v>4610</v>
      </c>
      <c r="S31" s="3895">
        <v>60.54</v>
      </c>
      <c r="T31" s="3895">
        <v>605400</v>
      </c>
      <c r="U31" s="3895">
        <v>4563</v>
      </c>
      <c r="V31" s="3895">
        <v>0.1</v>
      </c>
      <c r="W31" s="3895">
        <v>54.48</v>
      </c>
      <c r="X31" s="3895">
        <v>544800</v>
      </c>
      <c r="Y31" s="3895">
        <v>2003</v>
      </c>
      <c r="Z31" s="3895">
        <v>8</v>
      </c>
      <c r="AA31" s="3895">
        <v>26</v>
      </c>
      <c r="AB31" s="3895">
        <v>3025</v>
      </c>
      <c r="AC31" s="3895" t="s">
        <v>3680</v>
      </c>
      <c r="AE31" s="3895" t="s">
        <v>3444</v>
      </c>
      <c r="AF31" s="3895" t="s">
        <v>3737</v>
      </c>
      <c r="AG31" s="3895" t="s">
        <v>3445</v>
      </c>
      <c r="AI31" s="3895" t="s">
        <v>3446</v>
      </c>
      <c r="AJ31" s="3895">
        <v>38168</v>
      </c>
      <c r="AK31" s="3895">
        <v>8</v>
      </c>
      <c r="AL31" s="3895">
        <v>67641700</v>
      </c>
      <c r="AM31" s="3895" t="s">
        <v>3451</v>
      </c>
      <c r="AN31" s="3895" t="s">
        <v>3466</v>
      </c>
      <c r="AO31" s="3895" t="s">
        <v>3451</v>
      </c>
      <c r="AP31" s="3895" t="s">
        <v>3448</v>
      </c>
      <c r="AQ31" s="3895" t="s">
        <v>3449</v>
      </c>
      <c r="AU31" s="3895" t="s">
        <v>3451</v>
      </c>
      <c r="AV31" s="3895" t="s">
        <v>3451</v>
      </c>
      <c r="AW31" s="3895" t="s">
        <v>3450</v>
      </c>
      <c r="AX31" s="3895" t="s">
        <v>3451</v>
      </c>
      <c r="AY31" s="3897" t="s">
        <v>3777</v>
      </c>
      <c r="AZ31" s="3895" t="s">
        <v>3736</v>
      </c>
      <c r="BA31" s="3895" t="s">
        <v>3739</v>
      </c>
      <c r="BB31" s="3897" t="s">
        <v>3740</v>
      </c>
      <c r="BC31" s="3895" t="s">
        <v>3741</v>
      </c>
      <c r="BD31" s="3922">
        <v>100022</v>
      </c>
      <c r="BE31" s="3895">
        <v>67358462</v>
      </c>
      <c r="BF31" s="3923">
        <v>2.7</v>
      </c>
      <c r="BG31" s="3920">
        <v>37845</v>
      </c>
      <c r="BI31" s="3895" t="s">
        <v>3448</v>
      </c>
      <c r="BJ31" s="3953">
        <v>37839</v>
      </c>
      <c r="BK31" s="3953"/>
      <c r="BL31" s="3895" t="s">
        <v>3452</v>
      </c>
      <c r="BP31" s="3907"/>
      <c r="BQ31" s="3907"/>
      <c r="BR31" s="3907"/>
    </row>
    <row r="32" spans="1:253" s="3895" customFormat="1" ht="12" hidden="1">
      <c r="A32" s="3895" t="s">
        <v>3778</v>
      </c>
      <c r="B32" s="3895" t="s">
        <v>3779</v>
      </c>
      <c r="C32" s="3895" t="s">
        <v>3780</v>
      </c>
      <c r="D32" s="3895" t="s">
        <v>3781</v>
      </c>
      <c r="E32" s="3895" t="s">
        <v>3532</v>
      </c>
      <c r="F32" s="3895" t="s">
        <v>3533</v>
      </c>
      <c r="H32" s="3895" t="s">
        <v>3677</v>
      </c>
      <c r="I32" s="3895" t="s">
        <v>3686</v>
      </c>
      <c r="J32" s="3895" t="s">
        <v>3782</v>
      </c>
      <c r="K32" s="3895" t="s">
        <v>3535</v>
      </c>
      <c r="L32" s="3895">
        <v>113.32</v>
      </c>
      <c r="M32" s="3895">
        <v>9</v>
      </c>
      <c r="N32" s="3895" t="s">
        <v>3783</v>
      </c>
      <c r="O32" s="3895">
        <v>87.76</v>
      </c>
      <c r="P32" s="3895" t="s">
        <v>3454</v>
      </c>
      <c r="Q32" s="3895">
        <v>513226.28</v>
      </c>
      <c r="R32" s="3895">
        <v>4529</v>
      </c>
      <c r="S32" s="3895">
        <v>50.76</v>
      </c>
      <c r="T32" s="3895">
        <v>507600</v>
      </c>
      <c r="U32" s="3895">
        <v>4480</v>
      </c>
      <c r="V32" s="3895">
        <v>0.05</v>
      </c>
      <c r="W32" s="3895">
        <v>48.22</v>
      </c>
      <c r="X32" s="3895">
        <v>482200</v>
      </c>
      <c r="Y32" s="3895">
        <v>2003</v>
      </c>
      <c r="Z32" s="3895">
        <v>8</v>
      </c>
      <c r="AA32" s="3895">
        <v>27</v>
      </c>
      <c r="AB32" s="3895">
        <v>2535</v>
      </c>
      <c r="AC32" s="3895" t="s">
        <v>3784</v>
      </c>
      <c r="AE32" s="3895" t="s">
        <v>3444</v>
      </c>
      <c r="AF32" s="3895" t="s">
        <v>3456</v>
      </c>
      <c r="AG32" s="3895" t="s">
        <v>3445</v>
      </c>
      <c r="AI32" s="3895" t="s">
        <v>3446</v>
      </c>
      <c r="AJ32" s="3895">
        <v>37560</v>
      </c>
      <c r="AK32" s="3895">
        <v>8</v>
      </c>
      <c r="AL32" s="3895">
        <v>67641700</v>
      </c>
      <c r="AN32" s="3895" t="s">
        <v>3466</v>
      </c>
      <c r="AO32" s="3895" t="s">
        <v>3451</v>
      </c>
      <c r="AP32" s="3895" t="s">
        <v>3448</v>
      </c>
      <c r="AQ32" s="3895" t="s">
        <v>3449</v>
      </c>
      <c r="AW32" s="3895" t="s">
        <v>3450</v>
      </c>
      <c r="AX32" s="3895" t="s">
        <v>3451</v>
      </c>
      <c r="AY32" s="3897" t="s">
        <v>3785</v>
      </c>
      <c r="AZ32" s="3895" t="s">
        <v>3535</v>
      </c>
      <c r="BA32" s="3895" t="s">
        <v>3539</v>
      </c>
      <c r="BB32" s="3897" t="s">
        <v>3594</v>
      </c>
      <c r="BC32" s="3895" t="s">
        <v>3540</v>
      </c>
      <c r="BD32" s="3922">
        <v>100062</v>
      </c>
      <c r="BE32" s="3895" t="s">
        <v>3451</v>
      </c>
      <c r="BF32" s="3923">
        <v>2.7</v>
      </c>
      <c r="BG32" s="3920">
        <v>37536</v>
      </c>
      <c r="BH32" s="3895" t="s">
        <v>3429</v>
      </c>
      <c r="BI32" s="3895" t="s">
        <v>3448</v>
      </c>
      <c r="BJ32" s="3953">
        <v>37858</v>
      </c>
      <c r="BK32" s="3953"/>
      <c r="BL32" s="3895" t="s">
        <v>3452</v>
      </c>
      <c r="BP32" s="3907"/>
      <c r="BQ32" s="3907"/>
      <c r="BR32" s="3907"/>
    </row>
    <row r="33" spans="1:73" s="3895" customFormat="1" ht="12" hidden="1">
      <c r="A33" s="3895" t="s">
        <v>3786</v>
      </c>
      <c r="B33" s="3895" t="s">
        <v>3787</v>
      </c>
      <c r="C33" s="3895" t="s">
        <v>3788</v>
      </c>
      <c r="D33" s="3895" t="s">
        <v>3789</v>
      </c>
      <c r="E33" s="3895" t="s">
        <v>3532</v>
      </c>
      <c r="F33" s="3895" t="s">
        <v>3533</v>
      </c>
      <c r="H33" s="3895" t="s">
        <v>3556</v>
      </c>
      <c r="I33" s="3895" t="s">
        <v>3790</v>
      </c>
      <c r="J33" s="3895" t="s">
        <v>3791</v>
      </c>
      <c r="K33" s="3895" t="s">
        <v>3535</v>
      </c>
      <c r="L33" s="3895">
        <v>85.88</v>
      </c>
      <c r="M33" s="3895">
        <v>14</v>
      </c>
      <c r="N33" s="3895" t="s">
        <v>3462</v>
      </c>
      <c r="O33" s="3895">
        <v>67.099999999999994</v>
      </c>
      <c r="P33" s="3895" t="s">
        <v>3454</v>
      </c>
      <c r="Q33" s="3895">
        <v>491663</v>
      </c>
      <c r="R33" s="3895">
        <v>5725</v>
      </c>
      <c r="S33" s="3895">
        <v>48.71</v>
      </c>
      <c r="T33" s="3895">
        <v>487100</v>
      </c>
      <c r="U33" s="3895">
        <v>5672</v>
      </c>
      <c r="V33" s="3895">
        <v>0.05</v>
      </c>
      <c r="W33" s="3895">
        <v>46.27</v>
      </c>
      <c r="X33" s="3895">
        <v>462700</v>
      </c>
      <c r="Y33" s="3895">
        <v>2003</v>
      </c>
      <c r="Z33" s="3895">
        <v>8</v>
      </c>
      <c r="AA33" s="3895">
        <v>27</v>
      </c>
      <c r="AB33" s="3895">
        <v>2435</v>
      </c>
      <c r="AC33" s="3895" t="s">
        <v>3680</v>
      </c>
      <c r="AE33" s="3895" t="s">
        <v>3444</v>
      </c>
      <c r="AF33" s="3895" t="s">
        <v>3456</v>
      </c>
      <c r="AG33" s="3895" t="s">
        <v>3445</v>
      </c>
      <c r="AI33" s="3895" t="s">
        <v>3446</v>
      </c>
      <c r="AJ33" s="3895">
        <v>37560</v>
      </c>
      <c r="AK33" s="3895">
        <v>8</v>
      </c>
      <c r="AL33" s="3895">
        <v>67641700</v>
      </c>
      <c r="AN33" s="3895" t="s">
        <v>3466</v>
      </c>
      <c r="AO33" s="3895" t="s">
        <v>3451</v>
      </c>
      <c r="AP33" s="3895" t="s">
        <v>3448</v>
      </c>
      <c r="AQ33" s="3895" t="s">
        <v>3449</v>
      </c>
      <c r="AW33" s="3895" t="s">
        <v>3450</v>
      </c>
      <c r="AX33" s="3895" t="s">
        <v>3451</v>
      </c>
      <c r="AY33" s="3897" t="s">
        <v>3792</v>
      </c>
      <c r="AZ33" s="3895" t="s">
        <v>3535</v>
      </c>
      <c r="BA33" s="3895" t="s">
        <v>3539</v>
      </c>
      <c r="BB33" s="3897" t="s">
        <v>3594</v>
      </c>
      <c r="BC33" s="3895" t="s">
        <v>3540</v>
      </c>
      <c r="BD33" s="3922">
        <v>100062</v>
      </c>
      <c r="BE33" s="3895" t="s">
        <v>3451</v>
      </c>
      <c r="BF33" s="3923">
        <v>2.7</v>
      </c>
      <c r="BG33" s="3920">
        <v>37549</v>
      </c>
      <c r="BH33" s="3895" t="s">
        <v>3429</v>
      </c>
      <c r="BI33" s="3895" t="s">
        <v>3448</v>
      </c>
      <c r="BJ33" s="3953">
        <v>37858</v>
      </c>
      <c r="BK33" s="3953"/>
      <c r="BL33" s="3895" t="s">
        <v>3452</v>
      </c>
      <c r="BP33" s="3907"/>
      <c r="BQ33" s="3907"/>
      <c r="BR33" s="3907"/>
    </row>
    <row r="34" spans="1:73" s="3907" customFormat="1" ht="12" hidden="1">
      <c r="A34" s="3894" t="s">
        <v>3793</v>
      </c>
      <c r="B34" s="3895" t="s">
        <v>3794</v>
      </c>
      <c r="C34" s="3897" t="s">
        <v>3795</v>
      </c>
      <c r="D34" s="3897" t="s">
        <v>3796</v>
      </c>
      <c r="E34" s="3895" t="s">
        <v>3532</v>
      </c>
      <c r="F34" s="3895" t="s">
        <v>3733</v>
      </c>
      <c r="G34" s="3895"/>
      <c r="H34" s="3895" t="s">
        <v>3797</v>
      </c>
      <c r="I34" s="3895" t="s">
        <v>3798</v>
      </c>
      <c r="J34" s="3897" t="s">
        <v>3601</v>
      </c>
      <c r="K34" s="3895" t="s">
        <v>3736</v>
      </c>
      <c r="L34" s="3895">
        <v>100.92</v>
      </c>
      <c r="M34" s="3895">
        <v>7</v>
      </c>
      <c r="N34" s="3895" t="s">
        <v>3462</v>
      </c>
      <c r="O34" s="3895">
        <v>81.319999999999993</v>
      </c>
      <c r="P34" s="3895" t="s">
        <v>3454</v>
      </c>
      <c r="Q34" s="3899">
        <v>498544.8</v>
      </c>
      <c r="R34" s="3895">
        <v>4940</v>
      </c>
      <c r="S34" s="3901">
        <v>49.34</v>
      </c>
      <c r="T34" s="3943">
        <v>493400.00000000006</v>
      </c>
      <c r="U34" s="3895">
        <v>4890</v>
      </c>
      <c r="V34" s="3917">
        <v>0.1</v>
      </c>
      <c r="W34" s="3904">
        <v>44.4</v>
      </c>
      <c r="X34" s="3905">
        <v>444000</v>
      </c>
      <c r="Y34" s="3907">
        <v>2003</v>
      </c>
      <c r="Z34" s="3907">
        <v>9</v>
      </c>
      <c r="AA34" s="3895">
        <v>10</v>
      </c>
      <c r="AB34" s="3908">
        <v>2465</v>
      </c>
      <c r="AC34" s="3895" t="s">
        <v>3799</v>
      </c>
      <c r="AD34" s="3894"/>
      <c r="AE34" s="3907" t="s">
        <v>3444</v>
      </c>
      <c r="AF34" s="3895" t="s">
        <v>3737</v>
      </c>
      <c r="AG34" s="3909" t="s">
        <v>3445</v>
      </c>
      <c r="AH34" s="3894"/>
      <c r="AI34" s="3895" t="s">
        <v>3446</v>
      </c>
      <c r="AJ34" s="3910">
        <v>38113</v>
      </c>
      <c r="AK34" s="3925">
        <v>9</v>
      </c>
      <c r="AL34" s="3907">
        <v>67641700</v>
      </c>
      <c r="AM34" s="3907" t="s">
        <v>3451</v>
      </c>
      <c r="AN34" s="3907" t="s">
        <v>3447</v>
      </c>
      <c r="AO34" s="3907" t="s">
        <v>3451</v>
      </c>
      <c r="AP34" s="3907" t="s">
        <v>3448</v>
      </c>
      <c r="AQ34" s="3907" t="s">
        <v>3449</v>
      </c>
      <c r="AU34" s="3907" t="s">
        <v>3451</v>
      </c>
      <c r="AV34" s="3907" t="s">
        <v>3451</v>
      </c>
      <c r="AW34" s="3907" t="s">
        <v>3450</v>
      </c>
      <c r="AX34" s="3907" t="s">
        <v>3451</v>
      </c>
      <c r="AY34" s="3912" t="s">
        <v>3800</v>
      </c>
      <c r="AZ34" s="3907" t="s">
        <v>3736</v>
      </c>
      <c r="BA34" s="3907" t="s">
        <v>3739</v>
      </c>
      <c r="BB34" s="3912" t="s">
        <v>3740</v>
      </c>
      <c r="BC34" s="3907" t="s">
        <v>3741</v>
      </c>
      <c r="BD34" s="3913">
        <v>100022</v>
      </c>
      <c r="BE34" s="3907">
        <v>67358462</v>
      </c>
      <c r="BF34" s="3914">
        <v>2.7</v>
      </c>
      <c r="BG34" s="3915">
        <v>37845</v>
      </c>
      <c r="BI34" s="3907" t="s">
        <v>3448</v>
      </c>
      <c r="BJ34" s="3924">
        <v>37859</v>
      </c>
      <c r="BK34" s="3915"/>
      <c r="BL34" s="3895" t="s">
        <v>3452</v>
      </c>
      <c r="BS34" s="3895"/>
      <c r="BT34" s="3895"/>
      <c r="BU34" s="3895"/>
    </row>
    <row r="35" spans="1:73" s="3907" customFormat="1" ht="12" hidden="1">
      <c r="A35" s="3894" t="s">
        <v>3801</v>
      </c>
      <c r="B35" s="3895" t="s">
        <v>3802</v>
      </c>
      <c r="C35" s="3897" t="s">
        <v>3803</v>
      </c>
      <c r="D35" s="3897" t="s">
        <v>3804</v>
      </c>
      <c r="E35" s="3895" t="s">
        <v>3532</v>
      </c>
      <c r="F35" s="3898" t="s">
        <v>3733</v>
      </c>
      <c r="G35" s="3895"/>
      <c r="H35" s="3895" t="s">
        <v>3805</v>
      </c>
      <c r="I35" s="3895" t="s">
        <v>3806</v>
      </c>
      <c r="J35" s="3897" t="s">
        <v>3807</v>
      </c>
      <c r="K35" s="3895" t="s">
        <v>3736</v>
      </c>
      <c r="L35" s="3895">
        <v>132.68</v>
      </c>
      <c r="M35" s="3895">
        <v>6</v>
      </c>
      <c r="N35" s="3895" t="s">
        <v>3808</v>
      </c>
      <c r="O35" s="3895">
        <v>107.31</v>
      </c>
      <c r="P35" s="3895" t="s">
        <v>3454</v>
      </c>
      <c r="Q35" s="3899">
        <v>581138.4</v>
      </c>
      <c r="R35" s="3895">
        <v>4380</v>
      </c>
      <c r="S35" s="3901">
        <v>57.53</v>
      </c>
      <c r="T35" s="3943">
        <v>575300</v>
      </c>
      <c r="U35" s="3935">
        <v>4336</v>
      </c>
      <c r="V35" s="3936">
        <v>0.1</v>
      </c>
      <c r="W35" s="3904">
        <v>51.77</v>
      </c>
      <c r="X35" s="3905">
        <v>517700.00000000006</v>
      </c>
      <c r="Y35" s="3954">
        <v>2003</v>
      </c>
      <c r="Z35" s="3907">
        <v>9</v>
      </c>
      <c r="AA35" s="3895">
        <v>5</v>
      </c>
      <c r="AB35" s="3908">
        <v>2875</v>
      </c>
      <c r="AC35" s="3895" t="s">
        <v>3549</v>
      </c>
      <c r="AD35" s="3894"/>
      <c r="AE35" s="3907" t="s">
        <v>3444</v>
      </c>
      <c r="AF35" s="3895" t="s">
        <v>3737</v>
      </c>
      <c r="AG35" s="3909" t="s">
        <v>3445</v>
      </c>
      <c r="AH35" s="3894"/>
      <c r="AI35" s="3895" t="s">
        <v>3446</v>
      </c>
      <c r="AJ35" s="3910">
        <v>38168</v>
      </c>
      <c r="AK35" s="3925">
        <v>9</v>
      </c>
      <c r="AL35" s="3907">
        <v>67641700</v>
      </c>
      <c r="AM35" s="3907" t="s">
        <v>3451</v>
      </c>
      <c r="AN35" s="3907" t="s">
        <v>3467</v>
      </c>
      <c r="AO35" s="3907" t="s">
        <v>3451</v>
      </c>
      <c r="AP35" s="3907" t="s">
        <v>3448</v>
      </c>
      <c r="AQ35" s="3907" t="s">
        <v>3449</v>
      </c>
      <c r="AU35" s="3907" t="s">
        <v>3451</v>
      </c>
      <c r="AV35" s="3907" t="s">
        <v>3451</v>
      </c>
      <c r="AW35" s="3907" t="s">
        <v>3450</v>
      </c>
      <c r="AX35" s="3907" t="s">
        <v>3451</v>
      </c>
      <c r="AY35" s="3912" t="s">
        <v>3809</v>
      </c>
      <c r="AZ35" s="3907" t="s">
        <v>3736</v>
      </c>
      <c r="BA35" s="3907" t="s">
        <v>3739</v>
      </c>
      <c r="BB35" s="3912" t="s">
        <v>3740</v>
      </c>
      <c r="BC35" s="3907" t="s">
        <v>3741</v>
      </c>
      <c r="BD35" s="3913">
        <v>100022</v>
      </c>
      <c r="BE35" s="3907">
        <v>67358462</v>
      </c>
      <c r="BF35" s="3914">
        <v>2.7</v>
      </c>
      <c r="BG35" s="3915">
        <v>37844</v>
      </c>
      <c r="BI35" s="3907" t="s">
        <v>3448</v>
      </c>
      <c r="BJ35" s="3924">
        <v>37861</v>
      </c>
      <c r="BK35" s="3915"/>
      <c r="BL35" s="3895" t="s">
        <v>3452</v>
      </c>
      <c r="BS35" s="3895"/>
      <c r="BT35" s="3895"/>
      <c r="BU35" s="3895"/>
    </row>
    <row r="36" spans="1:73" s="3907" customFormat="1" ht="12" hidden="1">
      <c r="A36" s="3894" t="s">
        <v>3810</v>
      </c>
      <c r="B36" s="3895" t="s">
        <v>3811</v>
      </c>
      <c r="C36" s="3897" t="s">
        <v>3812</v>
      </c>
      <c r="D36" s="3897">
        <v>13901088535</v>
      </c>
      <c r="E36" s="3895" t="s">
        <v>3532</v>
      </c>
      <c r="F36" s="3955" t="s">
        <v>3733</v>
      </c>
      <c r="G36" s="3895"/>
      <c r="H36" s="3895" t="s">
        <v>3813</v>
      </c>
      <c r="I36" s="3895" t="s">
        <v>3814</v>
      </c>
      <c r="J36" s="3897" t="s">
        <v>3815</v>
      </c>
      <c r="K36" s="3895" t="s">
        <v>3736</v>
      </c>
      <c r="L36" s="3895">
        <v>102.84</v>
      </c>
      <c r="M36" s="3895">
        <v>9</v>
      </c>
      <c r="N36" s="3895" t="s">
        <v>3464</v>
      </c>
      <c r="O36" s="3895">
        <v>82.87</v>
      </c>
      <c r="P36" s="3895" t="s">
        <v>3454</v>
      </c>
      <c r="Q36" s="3899">
        <v>525512.4</v>
      </c>
      <c r="R36" s="3895">
        <v>5110</v>
      </c>
      <c r="S36" s="3901">
        <v>52.03</v>
      </c>
      <c r="T36" s="3943">
        <v>520300</v>
      </c>
      <c r="U36" s="3895">
        <v>5060</v>
      </c>
      <c r="V36" s="3917">
        <v>0.1</v>
      </c>
      <c r="W36" s="3904">
        <v>46.82</v>
      </c>
      <c r="X36" s="3905">
        <v>468200</v>
      </c>
      <c r="Y36" s="3907">
        <v>2003</v>
      </c>
      <c r="Z36" s="3907">
        <v>9</v>
      </c>
      <c r="AA36" s="3907">
        <v>2</v>
      </c>
      <c r="AB36" s="3894">
        <v>2600</v>
      </c>
      <c r="AC36" s="3895" t="s">
        <v>3816</v>
      </c>
      <c r="AD36" s="3894"/>
      <c r="AE36" s="3907" t="s">
        <v>3444</v>
      </c>
      <c r="AF36" s="3895" t="s">
        <v>3737</v>
      </c>
      <c r="AG36" s="3909" t="s">
        <v>3445</v>
      </c>
      <c r="AH36" s="3894"/>
      <c r="AI36" s="3895" t="s">
        <v>3446</v>
      </c>
      <c r="AJ36" s="3910">
        <v>38113</v>
      </c>
      <c r="AK36" s="3911">
        <v>9</v>
      </c>
      <c r="AL36" s="3907">
        <v>67641700</v>
      </c>
      <c r="AM36" s="3907" t="s">
        <v>3451</v>
      </c>
      <c r="AN36" s="3907" t="s">
        <v>3467</v>
      </c>
      <c r="AO36" s="3907" t="s">
        <v>3451</v>
      </c>
      <c r="AP36" s="3907" t="s">
        <v>3448</v>
      </c>
      <c r="AQ36" s="3907" t="s">
        <v>3449</v>
      </c>
      <c r="AU36" s="3907" t="s">
        <v>3451</v>
      </c>
      <c r="AV36" s="3907" t="s">
        <v>3451</v>
      </c>
      <c r="AW36" s="3907" t="s">
        <v>3450</v>
      </c>
      <c r="AX36" s="3907" t="s">
        <v>3451</v>
      </c>
      <c r="AY36" s="3912" t="s">
        <v>3817</v>
      </c>
      <c r="AZ36" s="3907" t="s">
        <v>3736</v>
      </c>
      <c r="BA36" s="3907" t="s">
        <v>3739</v>
      </c>
      <c r="BB36" s="3912" t="s">
        <v>3740</v>
      </c>
      <c r="BC36" s="3907" t="s">
        <v>3741</v>
      </c>
      <c r="BD36" s="3913">
        <v>100022</v>
      </c>
      <c r="BE36" s="3907">
        <v>67358462</v>
      </c>
      <c r="BF36" s="3914">
        <v>2.7</v>
      </c>
      <c r="BG36" s="3915">
        <v>37848</v>
      </c>
      <c r="BI36" s="3907" t="s">
        <v>3448</v>
      </c>
      <c r="BJ36" s="3924">
        <v>37865</v>
      </c>
      <c r="BK36" s="3915"/>
      <c r="BL36" s="3895" t="s">
        <v>3452</v>
      </c>
      <c r="BS36" s="3895"/>
      <c r="BT36" s="3895"/>
      <c r="BU36" s="3895"/>
    </row>
    <row r="37" spans="1:73" s="3982" customFormat="1" ht="12">
      <c r="A37" s="3984" t="s">
        <v>3818</v>
      </c>
      <c r="B37" s="3980" t="s">
        <v>3819</v>
      </c>
      <c r="C37" s="3972" t="s">
        <v>3820</v>
      </c>
      <c r="D37" s="3972" t="s">
        <v>3821</v>
      </c>
      <c r="E37" s="3980" t="s">
        <v>3532</v>
      </c>
      <c r="F37" s="3980" t="s">
        <v>4028</v>
      </c>
      <c r="G37" s="3980"/>
      <c r="H37" s="3980" t="s">
        <v>3822</v>
      </c>
      <c r="I37" s="3980" t="s">
        <v>3823</v>
      </c>
      <c r="J37" s="3972" t="s">
        <v>3824</v>
      </c>
      <c r="K37" s="3980" t="s">
        <v>3736</v>
      </c>
      <c r="L37" s="3980">
        <v>113.01</v>
      </c>
      <c r="M37" s="3980">
        <v>5</v>
      </c>
      <c r="N37" s="3980" t="s">
        <v>3776</v>
      </c>
      <c r="O37" s="3980">
        <v>91.4</v>
      </c>
      <c r="P37" s="3980" t="s">
        <v>3454</v>
      </c>
      <c r="Q37" s="3985">
        <v>498374.10000000003</v>
      </c>
      <c r="R37" s="3980">
        <v>4410</v>
      </c>
      <c r="S37" s="3975">
        <v>49.27</v>
      </c>
      <c r="T37" s="3976">
        <v>492700.00000000006</v>
      </c>
      <c r="U37" s="3980">
        <v>4360</v>
      </c>
      <c r="V37" s="3986">
        <v>0.1</v>
      </c>
      <c r="W37" s="3977">
        <v>44.34</v>
      </c>
      <c r="X37" s="3987">
        <v>443400.00000000006</v>
      </c>
      <c r="Y37" s="3982">
        <v>2003</v>
      </c>
      <c r="Z37" s="3982">
        <v>9</v>
      </c>
      <c r="AA37" s="3982">
        <v>5</v>
      </c>
      <c r="AB37" s="3978">
        <v>2460</v>
      </c>
      <c r="AC37" s="3980" t="s">
        <v>3729</v>
      </c>
      <c r="AD37" s="3984"/>
      <c r="AE37" s="3982" t="s">
        <v>3444</v>
      </c>
      <c r="AF37" s="3980" t="s">
        <v>3737</v>
      </c>
      <c r="AG37" s="3988" t="s">
        <v>3445</v>
      </c>
      <c r="AH37" s="3984"/>
      <c r="AI37" s="3980" t="s">
        <v>3446</v>
      </c>
      <c r="AJ37" s="3989">
        <v>38168</v>
      </c>
      <c r="AK37" s="3981">
        <v>9</v>
      </c>
      <c r="AL37" s="3982">
        <v>67641700</v>
      </c>
      <c r="AM37" s="3982" t="s">
        <v>3451</v>
      </c>
      <c r="AN37" s="3982" t="s">
        <v>3467</v>
      </c>
      <c r="AO37" s="3982" t="s">
        <v>3451</v>
      </c>
      <c r="AP37" s="3982" t="s">
        <v>3448</v>
      </c>
      <c r="AQ37" s="3982" t="s">
        <v>3825</v>
      </c>
      <c r="AU37" s="3982" t="s">
        <v>3451</v>
      </c>
      <c r="AV37" s="3982" t="s">
        <v>3451</v>
      </c>
      <c r="AW37" s="3982" t="s">
        <v>3450</v>
      </c>
      <c r="AX37" s="3982" t="s">
        <v>3451</v>
      </c>
      <c r="AY37" s="3990" t="s">
        <v>3826</v>
      </c>
      <c r="AZ37" s="3982" t="s">
        <v>3736</v>
      </c>
      <c r="BA37" s="3982" t="s">
        <v>3739</v>
      </c>
      <c r="BB37" s="3990" t="s">
        <v>3740</v>
      </c>
      <c r="BC37" s="3982" t="s">
        <v>3741</v>
      </c>
      <c r="BD37" s="3991">
        <v>100022</v>
      </c>
      <c r="BE37" s="3982">
        <v>67358462</v>
      </c>
      <c r="BF37" s="3992">
        <v>2.7</v>
      </c>
      <c r="BG37" s="3983">
        <v>37845</v>
      </c>
      <c r="BI37" s="3982" t="s">
        <v>3448</v>
      </c>
      <c r="BJ37" s="3993">
        <v>37866</v>
      </c>
      <c r="BK37" s="3983"/>
      <c r="BL37" s="3980" t="s">
        <v>3452</v>
      </c>
      <c r="BS37" s="3980"/>
      <c r="BT37" s="3980"/>
      <c r="BU37" s="3980"/>
    </row>
    <row r="38" spans="1:73" s="3895" customFormat="1" ht="12">
      <c r="A38" s="3926" t="s">
        <v>3827</v>
      </c>
      <c r="B38" s="3895" t="s">
        <v>3828</v>
      </c>
      <c r="C38" s="3897" t="s">
        <v>3829</v>
      </c>
      <c r="D38" s="3895">
        <v>13683239370</v>
      </c>
      <c r="E38" s="3895" t="s">
        <v>3532</v>
      </c>
      <c r="F38" s="3895" t="s">
        <v>3830</v>
      </c>
      <c r="H38" s="3895" t="s">
        <v>3831</v>
      </c>
      <c r="I38" s="3926" t="s">
        <v>3591</v>
      </c>
      <c r="J38" s="3895" t="s">
        <v>3832</v>
      </c>
      <c r="K38" s="3895" t="s">
        <v>3736</v>
      </c>
      <c r="L38" s="3895">
        <v>102.7</v>
      </c>
      <c r="M38" s="3895">
        <v>9</v>
      </c>
      <c r="N38" s="3919" t="s">
        <v>3833</v>
      </c>
      <c r="O38" s="3895">
        <v>83.06</v>
      </c>
      <c r="P38" s="3895" t="s">
        <v>3454</v>
      </c>
      <c r="Q38" s="3942">
        <v>499122</v>
      </c>
      <c r="R38" s="3900">
        <v>4860</v>
      </c>
      <c r="S38" s="3901">
        <v>49.48</v>
      </c>
      <c r="T38" s="3956">
        <v>494799.99999999994</v>
      </c>
      <c r="U38" s="3900">
        <v>4818</v>
      </c>
      <c r="V38" s="3903">
        <v>0.1</v>
      </c>
      <c r="W38" s="3904">
        <v>44.53</v>
      </c>
      <c r="X38" s="3929">
        <v>445300</v>
      </c>
      <c r="Y38" s="3906">
        <v>2003</v>
      </c>
      <c r="Z38" s="3907">
        <v>9</v>
      </c>
      <c r="AA38" s="3895">
        <v>15</v>
      </c>
      <c r="AB38" s="3908">
        <v>2470</v>
      </c>
      <c r="AC38" s="3895" t="s">
        <v>3536</v>
      </c>
      <c r="AE38" s="3895" t="s">
        <v>3444</v>
      </c>
      <c r="AF38" s="3926" t="s">
        <v>3737</v>
      </c>
      <c r="AG38" s="3895" t="s">
        <v>3445</v>
      </c>
      <c r="AI38" s="3895" t="s">
        <v>3642</v>
      </c>
      <c r="AJ38" s="3920">
        <v>38168</v>
      </c>
      <c r="AK38" s="3925">
        <v>9</v>
      </c>
      <c r="AL38" s="3895">
        <v>67641700</v>
      </c>
      <c r="AM38" s="3895" t="s">
        <v>3451</v>
      </c>
      <c r="AN38" s="3930" t="s">
        <v>3834</v>
      </c>
      <c r="AO38" s="3895" t="s">
        <v>3451</v>
      </c>
      <c r="AP38" s="3895" t="s">
        <v>3448</v>
      </c>
      <c r="AQ38" s="3907" t="s">
        <v>3449</v>
      </c>
      <c r="AU38" s="3895" t="s">
        <v>3451</v>
      </c>
      <c r="AV38" s="3895" t="s">
        <v>3451</v>
      </c>
      <c r="AW38" s="3895" t="s">
        <v>3450</v>
      </c>
      <c r="AX38" s="3895" t="s">
        <v>3835</v>
      </c>
      <c r="AY38" s="3897" t="s">
        <v>3836</v>
      </c>
      <c r="AZ38" s="3895" t="s">
        <v>3736</v>
      </c>
      <c r="BA38" s="3895" t="s">
        <v>3739</v>
      </c>
      <c r="BB38" s="3897" t="s">
        <v>3740</v>
      </c>
      <c r="BC38" s="3895" t="s">
        <v>3741</v>
      </c>
      <c r="BD38" s="3922">
        <v>100022</v>
      </c>
      <c r="BE38" s="3895">
        <v>67358462</v>
      </c>
      <c r="BF38" s="3923">
        <v>2.7</v>
      </c>
      <c r="BG38" s="3920">
        <v>37841</v>
      </c>
      <c r="BI38" s="3895" t="s">
        <v>3448</v>
      </c>
      <c r="BJ38" s="3953">
        <v>37851</v>
      </c>
      <c r="BK38" s="3920"/>
      <c r="BL38" s="3895" t="s">
        <v>3452</v>
      </c>
      <c r="BM38" s="3907"/>
      <c r="BN38" s="3907"/>
      <c r="BO38" s="3907"/>
      <c r="BP38" s="3907"/>
      <c r="BQ38" s="3907"/>
      <c r="BR38" s="3907"/>
    </row>
    <row r="39" spans="1:73" s="3895" customFormat="1" ht="12">
      <c r="A39" s="3895" t="s">
        <v>3837</v>
      </c>
      <c r="B39" s="3895" t="s">
        <v>3838</v>
      </c>
      <c r="C39" s="3897" t="s">
        <v>3839</v>
      </c>
      <c r="D39" s="3957">
        <v>13611186606</v>
      </c>
      <c r="E39" s="3895" t="s">
        <v>3532</v>
      </c>
      <c r="F39" s="3895" t="s">
        <v>3733</v>
      </c>
      <c r="H39" s="3926" t="s">
        <v>3813</v>
      </c>
      <c r="I39" s="3926" t="s">
        <v>3566</v>
      </c>
      <c r="J39" s="3926" t="s">
        <v>3721</v>
      </c>
      <c r="K39" s="3895" t="s">
        <v>3736</v>
      </c>
      <c r="L39" s="3900">
        <v>99.27</v>
      </c>
      <c r="M39" s="3900">
        <v>13</v>
      </c>
      <c r="N39" s="3895" t="s">
        <v>3840</v>
      </c>
      <c r="O39" s="3900">
        <v>79.989999999999995</v>
      </c>
      <c r="P39" s="3895" t="s">
        <v>3454</v>
      </c>
      <c r="Q39" s="3899">
        <v>513225.9</v>
      </c>
      <c r="R39" s="3895">
        <v>5170</v>
      </c>
      <c r="S39" s="3901">
        <v>50.82</v>
      </c>
      <c r="T39" s="3956">
        <v>508200</v>
      </c>
      <c r="U39" s="3895">
        <v>5120</v>
      </c>
      <c r="V39" s="3917">
        <v>0.1</v>
      </c>
      <c r="W39" s="3904">
        <v>45.73</v>
      </c>
      <c r="X39" s="3956">
        <v>457300</v>
      </c>
      <c r="Y39" s="3895">
        <v>2003</v>
      </c>
      <c r="Z39" s="3895">
        <v>9</v>
      </c>
      <c r="AA39" s="3907">
        <v>24</v>
      </c>
      <c r="AB39" s="3908">
        <v>2540</v>
      </c>
      <c r="AC39" s="3958" t="s">
        <v>3465</v>
      </c>
      <c r="AE39" s="3930" t="s">
        <v>3444</v>
      </c>
      <c r="AF39" s="3895" t="s">
        <v>3737</v>
      </c>
      <c r="AG39" s="3895" t="s">
        <v>3445</v>
      </c>
      <c r="AI39" s="3895" t="s">
        <v>3446</v>
      </c>
      <c r="AJ39" s="3920">
        <v>38113</v>
      </c>
      <c r="AK39" s="3959">
        <v>9</v>
      </c>
      <c r="AL39" s="3900">
        <v>67641700</v>
      </c>
      <c r="AM39" s="3895" t="s">
        <v>3451</v>
      </c>
      <c r="AN39" s="3921" t="s">
        <v>3455</v>
      </c>
      <c r="AO39" s="3907" t="s">
        <v>3451</v>
      </c>
      <c r="AP39" s="3930" t="s">
        <v>3448</v>
      </c>
      <c r="AQ39" s="3930" t="s">
        <v>3449</v>
      </c>
      <c r="AU39" s="3895" t="s">
        <v>3451</v>
      </c>
      <c r="AV39" s="3931" t="s">
        <v>3451</v>
      </c>
      <c r="AW39" s="3895" t="s">
        <v>3450</v>
      </c>
      <c r="AX39" s="3919" t="s">
        <v>3451</v>
      </c>
      <c r="AY39" s="3926" t="s">
        <v>3841</v>
      </c>
      <c r="AZ39" s="3895" t="s">
        <v>3736</v>
      </c>
      <c r="BA39" s="3895" t="s">
        <v>3842</v>
      </c>
      <c r="BB39" s="3895" t="s">
        <v>3740</v>
      </c>
      <c r="BC39" s="3895" t="s">
        <v>3741</v>
      </c>
      <c r="BD39" s="3895">
        <v>100023</v>
      </c>
      <c r="BE39" s="3895">
        <v>87350088</v>
      </c>
      <c r="BF39" s="3932">
        <v>2.85</v>
      </c>
      <c r="BG39" s="3920">
        <v>37848</v>
      </c>
      <c r="BI39" s="3907" t="s">
        <v>3463</v>
      </c>
      <c r="BJ39" s="3920">
        <v>37882</v>
      </c>
      <c r="BK39" s="3920"/>
      <c r="BL39" s="3907" t="s">
        <v>3452</v>
      </c>
      <c r="BM39" s="3907"/>
      <c r="BN39" s="3907"/>
      <c r="BO39" s="3907"/>
      <c r="BP39" s="3907"/>
      <c r="BQ39" s="3907"/>
      <c r="BR39" s="3907"/>
    </row>
    <row r="40" spans="1:73" s="3907" customFormat="1" ht="12">
      <c r="A40" s="3894" t="s">
        <v>3843</v>
      </c>
      <c r="B40" s="3895" t="s">
        <v>3844</v>
      </c>
      <c r="C40" s="3897" t="s">
        <v>3845</v>
      </c>
      <c r="D40" s="3897" t="s">
        <v>3846</v>
      </c>
      <c r="E40" s="3895" t="s">
        <v>3532</v>
      </c>
      <c r="F40" s="3955" t="s">
        <v>3533</v>
      </c>
      <c r="G40" s="3895"/>
      <c r="H40" s="3895" t="s">
        <v>3847</v>
      </c>
      <c r="I40" s="3895" t="s">
        <v>3848</v>
      </c>
      <c r="J40" s="3897" t="s">
        <v>3849</v>
      </c>
      <c r="K40" s="3895" t="s">
        <v>3535</v>
      </c>
      <c r="L40" s="3895">
        <v>77.069999999999993</v>
      </c>
      <c r="M40" s="3895">
        <v>13</v>
      </c>
      <c r="N40" s="3895" t="s">
        <v>3462</v>
      </c>
      <c r="O40" s="3895">
        <v>59.68</v>
      </c>
      <c r="P40" s="3895" t="s">
        <v>3454</v>
      </c>
      <c r="Q40" s="3907">
        <v>400532.79</v>
      </c>
      <c r="R40" s="3895">
        <v>5197</v>
      </c>
      <c r="S40" s="3907">
        <v>39.67</v>
      </c>
      <c r="T40" s="3960">
        <v>396700</v>
      </c>
      <c r="U40" s="3895">
        <v>5148</v>
      </c>
      <c r="V40" s="3917">
        <v>0.05</v>
      </c>
      <c r="W40" s="3907">
        <v>37.68</v>
      </c>
      <c r="X40" s="3956">
        <v>376800</v>
      </c>
      <c r="Y40" s="3907">
        <v>2003</v>
      </c>
      <c r="Z40" s="3907">
        <v>10</v>
      </c>
      <c r="AA40" s="3907">
        <v>20</v>
      </c>
      <c r="AB40" s="3907">
        <v>1980</v>
      </c>
      <c r="AC40" s="3895" t="s">
        <v>3850</v>
      </c>
      <c r="AD40" s="3894"/>
      <c r="AE40" s="3907" t="s">
        <v>3444</v>
      </c>
      <c r="AF40" s="3895" t="s">
        <v>3456</v>
      </c>
      <c r="AG40" s="3909" t="s">
        <v>3445</v>
      </c>
      <c r="AH40" s="3894"/>
      <c r="AI40" s="3895" t="s">
        <v>3446</v>
      </c>
      <c r="AJ40" s="3910">
        <v>37560</v>
      </c>
      <c r="AK40" s="3925" t="s">
        <v>3851</v>
      </c>
      <c r="AL40" s="3907">
        <v>67641700</v>
      </c>
      <c r="AN40" s="3907" t="s">
        <v>3586</v>
      </c>
      <c r="AO40" s="3907" t="s">
        <v>3451</v>
      </c>
      <c r="AP40" s="3907" t="s">
        <v>3448</v>
      </c>
      <c r="AQ40" s="3907" t="s">
        <v>3449</v>
      </c>
      <c r="AW40" s="3907" t="s">
        <v>3450</v>
      </c>
      <c r="AX40" s="3907" t="s">
        <v>3451</v>
      </c>
      <c r="AY40" s="3912" t="s">
        <v>3852</v>
      </c>
      <c r="AZ40" s="3907" t="s">
        <v>3535</v>
      </c>
      <c r="BA40" s="3907" t="s">
        <v>3539</v>
      </c>
      <c r="BB40" s="3912" t="s">
        <v>3594</v>
      </c>
      <c r="BC40" s="3907" t="s">
        <v>3540</v>
      </c>
      <c r="BD40" s="3913">
        <v>100062</v>
      </c>
      <c r="BE40" s="3907" t="s">
        <v>3451</v>
      </c>
      <c r="BF40" s="3914">
        <v>2.7</v>
      </c>
      <c r="BG40" s="3915">
        <v>37597</v>
      </c>
      <c r="BH40" s="3907" t="s">
        <v>3429</v>
      </c>
      <c r="BI40" s="3907" t="s">
        <v>3853</v>
      </c>
      <c r="BJ40" s="3924">
        <v>37911</v>
      </c>
      <c r="BK40" s="3924"/>
      <c r="BL40" s="3895" t="s">
        <v>3452</v>
      </c>
    </row>
    <row r="41" spans="1:73" s="3895" customFormat="1" ht="12">
      <c r="A41" s="3926" t="s">
        <v>3854</v>
      </c>
      <c r="B41" s="3895" t="s">
        <v>3855</v>
      </c>
      <c r="C41" s="3897" t="s">
        <v>3856</v>
      </c>
      <c r="D41" s="3895">
        <v>13161279756</v>
      </c>
      <c r="E41" s="3895" t="s">
        <v>3532</v>
      </c>
      <c r="F41" s="3895" t="s">
        <v>3733</v>
      </c>
      <c r="H41" s="3926" t="s">
        <v>3857</v>
      </c>
      <c r="I41" s="3926" t="s">
        <v>3858</v>
      </c>
      <c r="J41" s="3926" t="s">
        <v>3859</v>
      </c>
      <c r="K41" s="3895" t="s">
        <v>3736</v>
      </c>
      <c r="L41" s="3900">
        <v>125.96</v>
      </c>
      <c r="M41" s="3900">
        <v>4</v>
      </c>
      <c r="N41" s="3895" t="s">
        <v>3638</v>
      </c>
      <c r="O41" s="3900">
        <v>105.87</v>
      </c>
      <c r="P41" s="3895" t="s">
        <v>3454</v>
      </c>
      <c r="Q41" s="3899">
        <v>687741.6</v>
      </c>
      <c r="R41" s="3895">
        <v>5460</v>
      </c>
      <c r="S41" s="3901">
        <v>68.09</v>
      </c>
      <c r="T41" s="3943">
        <v>680900</v>
      </c>
      <c r="U41" s="3895">
        <v>5406</v>
      </c>
      <c r="V41" s="3917">
        <v>0.1</v>
      </c>
      <c r="W41" s="3904">
        <v>61.28</v>
      </c>
      <c r="X41" s="3918">
        <v>612800</v>
      </c>
      <c r="Y41" s="3907">
        <v>2003</v>
      </c>
      <c r="Z41" s="3907">
        <v>10</v>
      </c>
      <c r="AA41" s="3895">
        <v>22</v>
      </c>
      <c r="AB41" s="3908">
        <v>3400</v>
      </c>
      <c r="AC41" s="3919" t="s">
        <v>3860</v>
      </c>
      <c r="AE41" s="3930" t="s">
        <v>3444</v>
      </c>
      <c r="AF41" s="3926" t="s">
        <v>3861</v>
      </c>
      <c r="AG41" s="3895" t="s">
        <v>3445</v>
      </c>
      <c r="AI41" s="3930" t="s">
        <v>3446</v>
      </c>
      <c r="AJ41" s="3920">
        <v>38117</v>
      </c>
      <c r="AK41" s="3925" t="s">
        <v>3862</v>
      </c>
      <c r="AL41" s="3907">
        <v>67641700</v>
      </c>
      <c r="AM41" s="3907"/>
      <c r="AN41" s="3930" t="s">
        <v>3453</v>
      </c>
      <c r="AO41" s="3895" t="s">
        <v>3451</v>
      </c>
      <c r="AP41" s="3930" t="s">
        <v>3448</v>
      </c>
      <c r="AQ41" s="3930" t="s">
        <v>3449</v>
      </c>
      <c r="AU41" s="3895" t="s">
        <v>3451</v>
      </c>
      <c r="AV41" s="3931" t="s">
        <v>3451</v>
      </c>
      <c r="AW41" s="3895" t="s">
        <v>3450</v>
      </c>
      <c r="AX41" s="3895" t="s">
        <v>3451</v>
      </c>
      <c r="AY41" s="3900">
        <v>540073</v>
      </c>
      <c r="AZ41" s="3895" t="s">
        <v>3736</v>
      </c>
      <c r="BA41" s="3895" t="s">
        <v>3842</v>
      </c>
      <c r="BB41" s="3895" t="s">
        <v>3740</v>
      </c>
      <c r="BC41" s="3895" t="s">
        <v>3741</v>
      </c>
      <c r="BD41" s="3895">
        <v>100023</v>
      </c>
      <c r="BE41" s="3895">
        <v>87350088</v>
      </c>
      <c r="BF41" s="3932">
        <v>2.85</v>
      </c>
      <c r="BG41" s="3920">
        <v>37848</v>
      </c>
      <c r="BI41" s="3907" t="s">
        <v>3448</v>
      </c>
      <c r="BJ41" s="3924">
        <v>37915</v>
      </c>
      <c r="BL41" s="3895" t="s">
        <v>3452</v>
      </c>
      <c r="BP41" s="3907"/>
      <c r="BQ41" s="3907"/>
      <c r="BR41" s="3907"/>
    </row>
    <row r="42" spans="1:73" s="3895" customFormat="1" ht="12">
      <c r="A42" s="3926" t="s">
        <v>3863</v>
      </c>
      <c r="B42" s="3895" t="s">
        <v>3864</v>
      </c>
      <c r="C42" s="3897" t="s">
        <v>3865</v>
      </c>
      <c r="D42" s="3895">
        <v>13671020312</v>
      </c>
      <c r="E42" s="3895" t="s">
        <v>3532</v>
      </c>
      <c r="F42" s="3895" t="s">
        <v>3733</v>
      </c>
      <c r="H42" s="3926" t="s">
        <v>3866</v>
      </c>
      <c r="I42" s="3926" t="s">
        <v>3867</v>
      </c>
      <c r="J42" s="3926" t="s">
        <v>3868</v>
      </c>
      <c r="K42" s="3895" t="s">
        <v>3736</v>
      </c>
      <c r="L42" s="3900">
        <v>102.7</v>
      </c>
      <c r="M42" s="3900">
        <v>16</v>
      </c>
      <c r="N42" s="3895" t="s">
        <v>3869</v>
      </c>
      <c r="O42" s="3900">
        <v>83.06</v>
      </c>
      <c r="P42" s="3895" t="s">
        <v>3454</v>
      </c>
      <c r="Q42" s="3899">
        <v>493987</v>
      </c>
      <c r="R42" s="3895">
        <v>4810</v>
      </c>
      <c r="S42" s="3901">
        <v>48.89</v>
      </c>
      <c r="T42" s="3943">
        <v>488900</v>
      </c>
      <c r="U42" s="3895">
        <v>4761</v>
      </c>
      <c r="V42" s="3917">
        <v>0.1</v>
      </c>
      <c r="W42" s="3904">
        <v>44</v>
      </c>
      <c r="X42" s="3918">
        <v>440000</v>
      </c>
      <c r="Y42" s="3907">
        <v>2003</v>
      </c>
      <c r="Z42" s="3907">
        <v>10</v>
      </c>
      <c r="AA42" s="3895">
        <v>22</v>
      </c>
      <c r="AB42" s="3908">
        <v>2440</v>
      </c>
      <c r="AC42" s="3919" t="s">
        <v>3870</v>
      </c>
      <c r="AE42" s="3930" t="s">
        <v>3444</v>
      </c>
      <c r="AF42" s="3895" t="s">
        <v>3737</v>
      </c>
      <c r="AG42" s="3895" t="s">
        <v>3445</v>
      </c>
      <c r="AI42" s="3930" t="s">
        <v>3446</v>
      </c>
      <c r="AJ42" s="3920">
        <v>38168</v>
      </c>
      <c r="AK42" s="3925" t="s">
        <v>3871</v>
      </c>
      <c r="AL42" s="3907">
        <v>67641700</v>
      </c>
      <c r="AM42" s="3907"/>
      <c r="AN42" s="3930" t="s">
        <v>3453</v>
      </c>
      <c r="AO42" s="3895" t="s">
        <v>3451</v>
      </c>
      <c r="AP42" s="3930" t="s">
        <v>3448</v>
      </c>
      <c r="AQ42" s="3930" t="s">
        <v>3449</v>
      </c>
      <c r="AU42" s="3895" t="s">
        <v>3451</v>
      </c>
      <c r="AV42" s="3931" t="s">
        <v>3451</v>
      </c>
      <c r="AW42" s="3895" t="s">
        <v>3450</v>
      </c>
      <c r="AX42" s="3895" t="s">
        <v>3451</v>
      </c>
      <c r="AY42" s="3900">
        <v>546097</v>
      </c>
      <c r="AZ42" s="3895" t="s">
        <v>3736</v>
      </c>
      <c r="BA42" s="3895" t="s">
        <v>3842</v>
      </c>
      <c r="BB42" s="3895" t="s">
        <v>3740</v>
      </c>
      <c r="BC42" s="3895" t="s">
        <v>3741</v>
      </c>
      <c r="BD42" s="3895">
        <v>100023</v>
      </c>
      <c r="BE42" s="3895">
        <v>87350088</v>
      </c>
      <c r="BF42" s="3932">
        <v>2.85</v>
      </c>
      <c r="BG42" s="3920">
        <v>37846</v>
      </c>
      <c r="BI42" s="3907" t="s">
        <v>3448</v>
      </c>
      <c r="BJ42" s="3924">
        <v>37914</v>
      </c>
      <c r="BL42" s="3895" t="s">
        <v>3452</v>
      </c>
      <c r="BP42" s="3907"/>
      <c r="BQ42" s="3907"/>
      <c r="BR42" s="3907"/>
    </row>
    <row r="43" spans="1:73" s="3907" customFormat="1" ht="12">
      <c r="A43" s="3894" t="s">
        <v>3872</v>
      </c>
      <c r="B43" s="3895" t="s">
        <v>3873</v>
      </c>
      <c r="C43" s="3897" t="s">
        <v>3874</v>
      </c>
      <c r="D43" s="3897" t="s">
        <v>3875</v>
      </c>
      <c r="E43" s="3895" t="s">
        <v>3532</v>
      </c>
      <c r="F43" s="3955" t="s">
        <v>3733</v>
      </c>
      <c r="G43" s="3895"/>
      <c r="H43" s="3895" t="s">
        <v>3876</v>
      </c>
      <c r="I43" s="3895" t="s">
        <v>3877</v>
      </c>
      <c r="J43" s="3897" t="s">
        <v>3601</v>
      </c>
      <c r="K43" s="3895" t="s">
        <v>3736</v>
      </c>
      <c r="L43" s="3895">
        <v>96.61</v>
      </c>
      <c r="M43" s="3895">
        <v>7</v>
      </c>
      <c r="N43" s="3895" t="s">
        <v>3878</v>
      </c>
      <c r="O43" s="3895">
        <v>77.849999999999994</v>
      </c>
      <c r="P43" s="3895" t="s">
        <v>3454</v>
      </c>
      <c r="Q43" s="3928">
        <v>512999.1</v>
      </c>
      <c r="R43" s="3895">
        <v>5310</v>
      </c>
      <c r="S43" s="3901">
        <v>50.78</v>
      </c>
      <c r="T43" s="3943">
        <v>507800</v>
      </c>
      <c r="U43" s="3895">
        <v>5257</v>
      </c>
      <c r="V43" s="3917">
        <v>0.1</v>
      </c>
      <c r="W43" s="3904">
        <v>45.7</v>
      </c>
      <c r="X43" s="3929">
        <v>457000</v>
      </c>
      <c r="Y43" s="3907">
        <v>2003</v>
      </c>
      <c r="Z43" s="3907">
        <v>10</v>
      </c>
      <c r="AA43" s="3907">
        <v>23</v>
      </c>
      <c r="AB43" s="3908">
        <v>2535</v>
      </c>
      <c r="AC43" s="3895" t="s">
        <v>3879</v>
      </c>
      <c r="AD43" s="3894"/>
      <c r="AE43" s="3907" t="s">
        <v>3444</v>
      </c>
      <c r="AF43" s="3895" t="s">
        <v>3737</v>
      </c>
      <c r="AG43" s="3909" t="s">
        <v>3445</v>
      </c>
      <c r="AH43" s="3894"/>
      <c r="AI43" s="3895" t="s">
        <v>3446</v>
      </c>
      <c r="AJ43" s="3910">
        <v>38113</v>
      </c>
      <c r="AK43" s="3925" t="s">
        <v>3862</v>
      </c>
      <c r="AL43" s="3907">
        <v>67641700</v>
      </c>
      <c r="AM43" s="3907" t="s">
        <v>3451</v>
      </c>
      <c r="AN43" s="3907" t="s">
        <v>3586</v>
      </c>
      <c r="AP43" s="3907" t="s">
        <v>3448</v>
      </c>
      <c r="AQ43" s="3907" t="s">
        <v>3449</v>
      </c>
      <c r="AU43" s="3907" t="s">
        <v>3451</v>
      </c>
      <c r="AV43" s="3907" t="s">
        <v>3451</v>
      </c>
      <c r="AW43" s="3907" t="s">
        <v>3450</v>
      </c>
      <c r="AX43" s="3907" t="s">
        <v>3451</v>
      </c>
      <c r="AY43" s="3912" t="s">
        <v>3880</v>
      </c>
      <c r="AZ43" s="3907" t="s">
        <v>3736</v>
      </c>
      <c r="BA43" s="3907" t="s">
        <v>3739</v>
      </c>
      <c r="BB43" s="3912" t="s">
        <v>3740</v>
      </c>
      <c r="BC43" s="3907" t="s">
        <v>3741</v>
      </c>
      <c r="BD43" s="3913">
        <v>100023</v>
      </c>
      <c r="BE43" s="3907">
        <v>67350088</v>
      </c>
      <c r="BF43" s="3914">
        <v>2.85</v>
      </c>
      <c r="BG43" s="3915">
        <v>37867</v>
      </c>
      <c r="BI43" s="3895" t="s">
        <v>3853</v>
      </c>
      <c r="BJ43" s="3924">
        <v>37911</v>
      </c>
      <c r="BK43" s="3924"/>
      <c r="BL43" s="3895" t="s">
        <v>3452</v>
      </c>
    </row>
    <row r="44" spans="1:73" s="3895" customFormat="1" ht="12">
      <c r="A44" s="3926" t="s">
        <v>3881</v>
      </c>
      <c r="B44" s="3895" t="s">
        <v>3882</v>
      </c>
      <c r="C44" s="3897" t="s">
        <v>3883</v>
      </c>
      <c r="D44" s="3895">
        <v>13911680982</v>
      </c>
      <c r="E44" s="3895" t="s">
        <v>3532</v>
      </c>
      <c r="F44" s="3895" t="s">
        <v>3733</v>
      </c>
      <c r="H44" s="3926" t="s">
        <v>3797</v>
      </c>
      <c r="I44" s="3895" t="s">
        <v>3884</v>
      </c>
      <c r="J44" s="3926" t="s">
        <v>3885</v>
      </c>
      <c r="K44" s="3895" t="s">
        <v>3736</v>
      </c>
      <c r="L44" s="3900">
        <v>100.92</v>
      </c>
      <c r="M44" s="3900">
        <v>8</v>
      </c>
      <c r="N44" s="3938" t="s">
        <v>3886</v>
      </c>
      <c r="O44" s="3900">
        <v>81.319999999999993</v>
      </c>
      <c r="P44" s="3895" t="s">
        <v>3454</v>
      </c>
      <c r="Q44" s="3899">
        <v>518728.8</v>
      </c>
      <c r="R44" s="3895">
        <v>5140</v>
      </c>
      <c r="S44" s="3901">
        <v>51.36</v>
      </c>
      <c r="T44" s="3943">
        <v>513600</v>
      </c>
      <c r="U44" s="3895">
        <v>5090</v>
      </c>
      <c r="V44" s="3917">
        <v>0.1</v>
      </c>
      <c r="W44" s="3904">
        <v>46.22</v>
      </c>
      <c r="X44" s="3918">
        <v>462200</v>
      </c>
      <c r="Y44" s="3907">
        <v>2003</v>
      </c>
      <c r="Z44" s="3907">
        <v>10</v>
      </c>
      <c r="AA44" s="3895">
        <v>28</v>
      </c>
      <c r="AB44" s="3908">
        <v>2565</v>
      </c>
      <c r="AC44" s="3919" t="s">
        <v>3887</v>
      </c>
      <c r="AE44" s="3930" t="s">
        <v>3444</v>
      </c>
      <c r="AF44" s="3895" t="s">
        <v>3737</v>
      </c>
      <c r="AG44" s="3895" t="s">
        <v>3445</v>
      </c>
      <c r="AI44" s="3930" t="s">
        <v>3446</v>
      </c>
      <c r="AJ44" s="3920">
        <v>38113</v>
      </c>
      <c r="AK44" s="3925" t="s">
        <v>3862</v>
      </c>
      <c r="AL44" s="3907">
        <v>67641700</v>
      </c>
      <c r="AM44" s="3907"/>
      <c r="AN44" s="3930" t="s">
        <v>3455</v>
      </c>
      <c r="AO44" s="3895" t="s">
        <v>3451</v>
      </c>
      <c r="AP44" s="3930" t="s">
        <v>3448</v>
      </c>
      <c r="AQ44" s="3930" t="s">
        <v>3449</v>
      </c>
      <c r="AU44" s="3895" t="s">
        <v>3451</v>
      </c>
      <c r="AV44" s="3931" t="s">
        <v>3451</v>
      </c>
      <c r="AW44" s="3895" t="s">
        <v>3450</v>
      </c>
      <c r="AX44" s="3895" t="s">
        <v>3451</v>
      </c>
      <c r="AY44" s="3900">
        <v>543535</v>
      </c>
      <c r="AZ44" s="3895" t="s">
        <v>3736</v>
      </c>
      <c r="BA44" s="3895" t="s">
        <v>3842</v>
      </c>
      <c r="BB44" s="3895" t="s">
        <v>3740</v>
      </c>
      <c r="BC44" s="3895" t="s">
        <v>3741</v>
      </c>
      <c r="BD44" s="3895">
        <v>100023</v>
      </c>
      <c r="BE44" s="3895">
        <v>87350088</v>
      </c>
      <c r="BF44" s="3932">
        <v>2.85</v>
      </c>
      <c r="BG44" s="3920">
        <v>37856</v>
      </c>
      <c r="BI44" s="3907" t="s">
        <v>3448</v>
      </c>
      <c r="BJ44" s="3924">
        <v>37921</v>
      </c>
      <c r="BL44" s="3895" t="s">
        <v>3452</v>
      </c>
      <c r="BP44" s="3907"/>
      <c r="BQ44" s="3907"/>
      <c r="BR44" s="3907"/>
    </row>
    <row r="45" spans="1:73" s="3895" customFormat="1" ht="12">
      <c r="A45" s="3926" t="s">
        <v>3888</v>
      </c>
      <c r="B45" s="3895" t="s">
        <v>3889</v>
      </c>
      <c r="C45" s="3897" t="s">
        <v>3890</v>
      </c>
      <c r="D45" s="3895" t="s">
        <v>3891</v>
      </c>
      <c r="E45" s="3895" t="s">
        <v>3532</v>
      </c>
      <c r="F45" s="3895" t="s">
        <v>3733</v>
      </c>
      <c r="H45" s="3926" t="s">
        <v>3892</v>
      </c>
      <c r="I45" s="3895" t="s">
        <v>3893</v>
      </c>
      <c r="J45" s="3926" t="s">
        <v>3894</v>
      </c>
      <c r="K45" s="3895" t="s">
        <v>3736</v>
      </c>
      <c r="L45" s="3900">
        <v>133.4</v>
      </c>
      <c r="M45" s="3900">
        <v>14</v>
      </c>
      <c r="N45" s="3926" t="s">
        <v>3895</v>
      </c>
      <c r="O45" s="3900">
        <v>107.89</v>
      </c>
      <c r="P45" s="3895" t="s">
        <v>3454</v>
      </c>
      <c r="Q45" s="3899">
        <v>609504.6</v>
      </c>
      <c r="R45" s="3895">
        <v>4569</v>
      </c>
      <c r="S45" s="3901">
        <v>60.29</v>
      </c>
      <c r="T45" s="3943">
        <v>602900</v>
      </c>
      <c r="U45" s="3895">
        <v>4520</v>
      </c>
      <c r="V45" s="3917">
        <v>0.1</v>
      </c>
      <c r="W45" s="3904">
        <v>54.26</v>
      </c>
      <c r="X45" s="3918">
        <v>542600</v>
      </c>
      <c r="Y45" s="3907">
        <v>2003</v>
      </c>
      <c r="Z45" s="3907">
        <v>11</v>
      </c>
      <c r="AA45" s="3895">
        <v>7</v>
      </c>
      <c r="AB45" s="3908">
        <v>3010</v>
      </c>
      <c r="AC45" s="3919" t="s">
        <v>3896</v>
      </c>
      <c r="AE45" s="3930" t="s">
        <v>3444</v>
      </c>
      <c r="AF45" s="3895" t="s">
        <v>3737</v>
      </c>
      <c r="AG45" s="3930" t="s">
        <v>3445</v>
      </c>
      <c r="AI45" s="3930" t="s">
        <v>3446</v>
      </c>
      <c r="AJ45" s="3920">
        <v>38168</v>
      </c>
      <c r="AK45" s="3961" t="s">
        <v>3897</v>
      </c>
      <c r="AL45" s="3907">
        <v>67641700</v>
      </c>
      <c r="AM45" s="3907"/>
      <c r="AN45" s="3930" t="s">
        <v>3898</v>
      </c>
      <c r="AO45" s="3895" t="s">
        <v>3451</v>
      </c>
      <c r="AP45" s="3930" t="s">
        <v>3448</v>
      </c>
      <c r="AQ45" s="3930" t="s">
        <v>3449</v>
      </c>
      <c r="AU45" s="3895" t="s">
        <v>3451</v>
      </c>
      <c r="AV45" s="3931" t="s">
        <v>3451</v>
      </c>
      <c r="AW45" s="3895" t="s">
        <v>3450</v>
      </c>
      <c r="AX45" s="3895" t="s">
        <v>3451</v>
      </c>
      <c r="AY45" s="3900">
        <v>543566</v>
      </c>
      <c r="AZ45" s="3895" t="s">
        <v>3736</v>
      </c>
      <c r="BA45" s="3895" t="s">
        <v>3842</v>
      </c>
      <c r="BB45" s="3895" t="s">
        <v>3740</v>
      </c>
      <c r="BC45" s="3895" t="s">
        <v>3741</v>
      </c>
      <c r="BD45" s="3895">
        <v>100023</v>
      </c>
      <c r="BE45" s="3895">
        <v>87350088</v>
      </c>
      <c r="BF45" s="3932">
        <v>2.85</v>
      </c>
      <c r="BG45" s="3920">
        <v>37842</v>
      </c>
      <c r="BI45" s="3907" t="s">
        <v>3899</v>
      </c>
      <c r="BJ45" s="3924">
        <v>37929</v>
      </c>
      <c r="BL45" s="3895" t="s">
        <v>3452</v>
      </c>
      <c r="BP45" s="3907"/>
      <c r="BQ45" s="3907"/>
      <c r="BR45" s="3907"/>
    </row>
    <row r="46" spans="1:73" s="3895" customFormat="1" ht="12">
      <c r="A46" s="3962" t="s">
        <v>3900</v>
      </c>
      <c r="B46" s="3895" t="s">
        <v>3901</v>
      </c>
      <c r="C46" s="3897" t="s">
        <v>3902</v>
      </c>
      <c r="D46" s="3895">
        <v>13910111799</v>
      </c>
      <c r="E46" s="3895" t="s">
        <v>3532</v>
      </c>
      <c r="F46" s="3895" t="s">
        <v>3733</v>
      </c>
      <c r="H46" s="3926" t="s">
        <v>3903</v>
      </c>
      <c r="I46" s="3895" t="s">
        <v>3904</v>
      </c>
      <c r="J46" s="3926" t="s">
        <v>3905</v>
      </c>
      <c r="K46" s="3895" t="s">
        <v>3736</v>
      </c>
      <c r="L46" s="3900">
        <v>102.99</v>
      </c>
      <c r="M46" s="3900">
        <v>14</v>
      </c>
      <c r="N46" s="3895" t="s">
        <v>3464</v>
      </c>
      <c r="O46" s="3900">
        <v>83.06</v>
      </c>
      <c r="P46" s="3895" t="s">
        <v>3454</v>
      </c>
      <c r="Q46" s="3899">
        <v>518039.69999999995</v>
      </c>
      <c r="R46" s="3895">
        <v>5030</v>
      </c>
      <c r="S46" s="3901">
        <v>51.28</v>
      </c>
      <c r="T46" s="3943">
        <v>512800</v>
      </c>
      <c r="U46" s="3895">
        <v>4980</v>
      </c>
      <c r="V46" s="3917">
        <v>0.1</v>
      </c>
      <c r="W46" s="3904">
        <v>46.15</v>
      </c>
      <c r="X46" s="3918">
        <v>461500</v>
      </c>
      <c r="Y46" s="3907">
        <v>2003</v>
      </c>
      <c r="Z46" s="3907">
        <v>11</v>
      </c>
      <c r="AA46" s="3907">
        <v>13</v>
      </c>
      <c r="AB46" s="3908">
        <v>2560</v>
      </c>
      <c r="AC46" s="3919" t="s">
        <v>3906</v>
      </c>
      <c r="AE46" s="3930" t="s">
        <v>3444</v>
      </c>
      <c r="AF46" s="3895" t="s">
        <v>3737</v>
      </c>
      <c r="AG46" s="3930" t="s">
        <v>3445</v>
      </c>
      <c r="AI46" s="3930" t="s">
        <v>3446</v>
      </c>
      <c r="AJ46" s="3920">
        <v>38176</v>
      </c>
      <c r="AK46" s="3959" t="s">
        <v>3907</v>
      </c>
      <c r="AL46" s="3907">
        <v>67641700</v>
      </c>
      <c r="AM46" s="3907"/>
      <c r="AN46" s="3930" t="s">
        <v>3447</v>
      </c>
      <c r="AO46" s="3895" t="s">
        <v>3451</v>
      </c>
      <c r="AP46" s="3930" t="s">
        <v>3448</v>
      </c>
      <c r="AQ46" s="3930" t="s">
        <v>3449</v>
      </c>
      <c r="AU46" s="3895" t="s">
        <v>3451</v>
      </c>
      <c r="AV46" s="3931" t="s">
        <v>3451</v>
      </c>
      <c r="AW46" s="3895" t="s">
        <v>3450</v>
      </c>
      <c r="AX46" s="3895" t="s">
        <v>3451</v>
      </c>
      <c r="AY46" s="3900">
        <v>554264</v>
      </c>
      <c r="AZ46" s="3895" t="s">
        <v>3736</v>
      </c>
      <c r="BA46" s="3895" t="s">
        <v>3842</v>
      </c>
      <c r="BB46" s="3895" t="s">
        <v>3740</v>
      </c>
      <c r="BC46" s="3895" t="s">
        <v>3741</v>
      </c>
      <c r="BD46" s="3895">
        <v>100023</v>
      </c>
      <c r="BE46" s="3895">
        <v>87350088</v>
      </c>
      <c r="BF46" s="3932">
        <v>2.85</v>
      </c>
      <c r="BG46" s="3920">
        <v>37875</v>
      </c>
      <c r="BI46" s="3907" t="s">
        <v>3448</v>
      </c>
      <c r="BJ46" s="3924">
        <v>37932</v>
      </c>
      <c r="BL46" s="3895" t="s">
        <v>3452</v>
      </c>
      <c r="BP46" s="3907"/>
      <c r="BQ46" s="3907"/>
      <c r="BR46" s="3907"/>
    </row>
    <row r="47" spans="1:73" s="3895" customFormat="1" ht="12">
      <c r="A47" s="3962" t="s">
        <v>3908</v>
      </c>
      <c r="B47" s="3895" t="s">
        <v>3909</v>
      </c>
      <c r="C47" s="3897" t="s">
        <v>3910</v>
      </c>
      <c r="D47" s="3895" t="s">
        <v>3911</v>
      </c>
      <c r="E47" s="3895" t="s">
        <v>3532</v>
      </c>
      <c r="F47" s="3895" t="s">
        <v>3733</v>
      </c>
      <c r="H47" s="3926" t="s">
        <v>3912</v>
      </c>
      <c r="I47" s="3895" t="s">
        <v>3913</v>
      </c>
      <c r="J47" s="3926" t="s">
        <v>3914</v>
      </c>
      <c r="K47" s="3895" t="s">
        <v>3736</v>
      </c>
      <c r="L47" s="3900">
        <v>113.33</v>
      </c>
      <c r="M47" s="3900">
        <v>8</v>
      </c>
      <c r="N47" s="3895" t="s">
        <v>3638</v>
      </c>
      <c r="O47" s="3900">
        <v>91.4</v>
      </c>
      <c r="P47" s="3895" t="s">
        <v>3454</v>
      </c>
      <c r="Q47" s="3899">
        <v>511118.3</v>
      </c>
      <c r="R47" s="3895">
        <v>4510</v>
      </c>
      <c r="S47" s="3901">
        <v>50.6</v>
      </c>
      <c r="T47" s="3943">
        <v>506000</v>
      </c>
      <c r="U47" s="3895">
        <v>4465</v>
      </c>
      <c r="V47" s="3917">
        <v>0.1</v>
      </c>
      <c r="W47" s="3904">
        <v>45.54</v>
      </c>
      <c r="X47" s="3918">
        <v>455400</v>
      </c>
      <c r="Y47" s="3907">
        <v>2003</v>
      </c>
      <c r="Z47" s="3907">
        <v>11</v>
      </c>
      <c r="AA47" s="3907">
        <v>13</v>
      </c>
      <c r="AB47" s="3908">
        <v>2530</v>
      </c>
      <c r="AC47" s="3919" t="s">
        <v>3915</v>
      </c>
      <c r="AE47" s="3930" t="s">
        <v>3444</v>
      </c>
      <c r="AF47" s="3895" t="s">
        <v>3737</v>
      </c>
      <c r="AG47" s="3930" t="s">
        <v>3445</v>
      </c>
      <c r="AI47" s="3930" t="s">
        <v>3446</v>
      </c>
      <c r="AJ47" s="3920">
        <v>38176</v>
      </c>
      <c r="AK47" s="3959" t="s">
        <v>3916</v>
      </c>
      <c r="AL47" s="3907">
        <v>67641700</v>
      </c>
      <c r="AM47" s="3907"/>
      <c r="AN47" s="3930" t="s">
        <v>3447</v>
      </c>
      <c r="AO47" s="3895" t="s">
        <v>3451</v>
      </c>
      <c r="AP47" s="3930" t="s">
        <v>3448</v>
      </c>
      <c r="AQ47" s="3930" t="s">
        <v>3449</v>
      </c>
      <c r="AU47" s="3895" t="s">
        <v>3451</v>
      </c>
      <c r="AV47" s="3931" t="s">
        <v>3451</v>
      </c>
      <c r="AW47" s="3895" t="s">
        <v>3450</v>
      </c>
      <c r="AX47" s="3895" t="s">
        <v>3451</v>
      </c>
      <c r="AY47" s="3900">
        <v>553485</v>
      </c>
      <c r="AZ47" s="3895" t="s">
        <v>3736</v>
      </c>
      <c r="BA47" s="3895" t="s">
        <v>3842</v>
      </c>
      <c r="BB47" s="3895" t="s">
        <v>3740</v>
      </c>
      <c r="BC47" s="3895" t="s">
        <v>3741</v>
      </c>
      <c r="BD47" s="3895">
        <v>100023</v>
      </c>
      <c r="BE47" s="3895">
        <v>87350088</v>
      </c>
      <c r="BF47" s="3932">
        <v>2.85</v>
      </c>
      <c r="BG47" s="3920">
        <v>37869</v>
      </c>
      <c r="BI47" s="3907" t="s">
        <v>3448</v>
      </c>
      <c r="BJ47" s="3924">
        <v>37932</v>
      </c>
      <c r="BL47" s="3895" t="s">
        <v>3452</v>
      </c>
      <c r="BP47" s="3907"/>
      <c r="BQ47" s="3907"/>
      <c r="BR47" s="3907"/>
    </row>
    <row r="48" spans="1:73" s="3964" customFormat="1" ht="12">
      <c r="A48" s="3962" t="s">
        <v>3917</v>
      </c>
      <c r="B48" s="3895" t="s">
        <v>3918</v>
      </c>
      <c r="C48" s="3897" t="s">
        <v>3919</v>
      </c>
      <c r="D48" s="3895">
        <v>13501172081</v>
      </c>
      <c r="E48" s="3895" t="s">
        <v>3532</v>
      </c>
      <c r="F48" s="3895" t="s">
        <v>3733</v>
      </c>
      <c r="G48" s="3895"/>
      <c r="H48" s="3926" t="s">
        <v>3797</v>
      </c>
      <c r="I48" s="3895" t="s">
        <v>3798</v>
      </c>
      <c r="J48" s="3926" t="s">
        <v>3920</v>
      </c>
      <c r="K48" s="3895" t="s">
        <v>3736</v>
      </c>
      <c r="L48" s="3900">
        <v>103.58</v>
      </c>
      <c r="M48" s="3900">
        <v>13</v>
      </c>
      <c r="N48" s="3926" t="s">
        <v>3921</v>
      </c>
      <c r="O48" s="3900">
        <v>83.46</v>
      </c>
      <c r="P48" s="3895" t="s">
        <v>3454</v>
      </c>
      <c r="Q48" s="3899">
        <v>517900</v>
      </c>
      <c r="R48" s="3895">
        <v>5000</v>
      </c>
      <c r="S48" s="3901">
        <v>51.27</v>
      </c>
      <c r="T48" s="3943">
        <v>512700.00000000006</v>
      </c>
      <c r="U48" s="3895">
        <v>4950</v>
      </c>
      <c r="V48" s="3917">
        <v>0.1</v>
      </c>
      <c r="W48" s="3904">
        <v>46.14</v>
      </c>
      <c r="X48" s="3918">
        <v>461400</v>
      </c>
      <c r="Y48" s="3907">
        <v>2003</v>
      </c>
      <c r="Z48" s="3907">
        <v>11</v>
      </c>
      <c r="AA48" s="3895">
        <v>26</v>
      </c>
      <c r="AB48" s="3908">
        <v>2560</v>
      </c>
      <c r="AC48" s="3919" t="s">
        <v>3922</v>
      </c>
      <c r="AD48" s="3895"/>
      <c r="AE48" s="3930" t="s">
        <v>3444</v>
      </c>
      <c r="AF48" s="3895" t="s">
        <v>3861</v>
      </c>
      <c r="AG48" s="3895" t="s">
        <v>3445</v>
      </c>
      <c r="AH48" s="3895"/>
      <c r="AI48" s="3930" t="s">
        <v>3446</v>
      </c>
      <c r="AJ48" s="3920">
        <v>38113</v>
      </c>
      <c r="AK48" s="3963" t="s">
        <v>3916</v>
      </c>
      <c r="AL48" s="3907">
        <v>67641700</v>
      </c>
      <c r="AM48" s="3907"/>
      <c r="AN48" s="3921" t="s">
        <v>3455</v>
      </c>
      <c r="AO48" s="3895" t="s">
        <v>3451</v>
      </c>
      <c r="AP48" s="3930" t="s">
        <v>3448</v>
      </c>
      <c r="AQ48" s="3930" t="s">
        <v>3449</v>
      </c>
      <c r="AR48" s="3895"/>
      <c r="AS48" s="3895"/>
      <c r="AT48" s="3895"/>
      <c r="AU48" s="3895" t="s">
        <v>3451</v>
      </c>
      <c r="AV48" s="3931" t="s">
        <v>3451</v>
      </c>
      <c r="AW48" s="3895" t="s">
        <v>3450</v>
      </c>
      <c r="AX48" s="3895" t="s">
        <v>3451</v>
      </c>
      <c r="AY48" s="3900">
        <v>543591</v>
      </c>
      <c r="AZ48" s="3895" t="s">
        <v>3736</v>
      </c>
      <c r="BA48" s="3895" t="s">
        <v>3842</v>
      </c>
      <c r="BB48" s="3895" t="s">
        <v>3740</v>
      </c>
      <c r="BC48" s="3895" t="s">
        <v>3741</v>
      </c>
      <c r="BD48" s="3895">
        <v>100023</v>
      </c>
      <c r="BE48" s="3895">
        <v>87350088</v>
      </c>
      <c r="BF48" s="3932">
        <v>2.85</v>
      </c>
      <c r="BG48" s="3920">
        <v>37848</v>
      </c>
      <c r="BH48" s="3895"/>
      <c r="BI48" s="3907" t="s">
        <v>3448</v>
      </c>
      <c r="BJ48" s="3920">
        <v>37949</v>
      </c>
      <c r="BK48" s="3895"/>
      <c r="BL48" s="3895" t="s">
        <v>3452</v>
      </c>
      <c r="BM48" s="3895"/>
      <c r="BN48" s="3895"/>
      <c r="BO48" s="3895"/>
      <c r="BP48" s="3907"/>
      <c r="BQ48" s="3907"/>
      <c r="BR48" s="3907"/>
    </row>
    <row r="49" spans="1:70" s="3980" customFormat="1" ht="12">
      <c r="A49" s="3973" t="s">
        <v>3923</v>
      </c>
      <c r="B49" s="3980" t="s">
        <v>3924</v>
      </c>
      <c r="C49" s="3972" t="s">
        <v>3925</v>
      </c>
      <c r="D49" s="3980">
        <v>13611182257</v>
      </c>
      <c r="E49" s="3980" t="s">
        <v>3532</v>
      </c>
      <c r="F49" s="3980" t="s">
        <v>3733</v>
      </c>
      <c r="H49" s="3973" t="s">
        <v>3912</v>
      </c>
      <c r="I49" s="3980" t="s">
        <v>3913</v>
      </c>
      <c r="J49" s="3973" t="s">
        <v>3926</v>
      </c>
      <c r="K49" s="3980" t="s">
        <v>3736</v>
      </c>
      <c r="L49" s="3974">
        <v>113.33</v>
      </c>
      <c r="M49" s="3974">
        <v>8</v>
      </c>
      <c r="N49" s="3973" t="s">
        <v>3927</v>
      </c>
      <c r="O49" s="3974">
        <v>91.4</v>
      </c>
      <c r="P49" s="3980" t="s">
        <v>3454</v>
      </c>
      <c r="Q49" s="3985">
        <v>508851.7</v>
      </c>
      <c r="R49" s="3980">
        <v>4490</v>
      </c>
      <c r="S49" s="3975">
        <v>50.37</v>
      </c>
      <c r="T49" s="3976">
        <v>503700</v>
      </c>
      <c r="U49" s="3980">
        <v>4445</v>
      </c>
      <c r="V49" s="3986">
        <v>0.1</v>
      </c>
      <c r="W49" s="3977">
        <v>45.33</v>
      </c>
      <c r="X49" s="3994">
        <v>453300</v>
      </c>
      <c r="Y49" s="3982">
        <v>2003</v>
      </c>
      <c r="Z49" s="3982">
        <v>12</v>
      </c>
      <c r="AA49" s="3980">
        <v>10</v>
      </c>
      <c r="AB49" s="3978">
        <v>2515</v>
      </c>
      <c r="AC49" s="3971" t="s">
        <v>3896</v>
      </c>
      <c r="AE49" s="3979" t="s">
        <v>3444</v>
      </c>
      <c r="AF49" s="3980" t="s">
        <v>3928</v>
      </c>
      <c r="AG49" s="3980" t="s">
        <v>3445</v>
      </c>
      <c r="AI49" s="3979" t="s">
        <v>3446</v>
      </c>
      <c r="AJ49" s="3995">
        <v>38176</v>
      </c>
      <c r="AK49" s="3996" t="s">
        <v>3929</v>
      </c>
      <c r="AL49" s="3982">
        <v>67641700</v>
      </c>
      <c r="AM49" s="3982"/>
      <c r="AN49" s="3997" t="s">
        <v>3447</v>
      </c>
      <c r="AO49" s="3980" t="s">
        <v>3451</v>
      </c>
      <c r="AP49" s="3979" t="s">
        <v>3448</v>
      </c>
      <c r="AQ49" s="3979" t="s">
        <v>3449</v>
      </c>
      <c r="AU49" s="3980" t="s">
        <v>3451</v>
      </c>
      <c r="AV49" s="3998" t="s">
        <v>3451</v>
      </c>
      <c r="AW49" s="3980" t="s">
        <v>3450</v>
      </c>
      <c r="AX49" s="3980" t="s">
        <v>3451</v>
      </c>
      <c r="AY49" s="3974">
        <v>554254</v>
      </c>
      <c r="AZ49" s="3980" t="s">
        <v>3736</v>
      </c>
      <c r="BA49" s="3980" t="s">
        <v>3842</v>
      </c>
      <c r="BB49" s="3980" t="s">
        <v>3740</v>
      </c>
      <c r="BC49" s="3980" t="s">
        <v>3741</v>
      </c>
      <c r="BD49" s="3980">
        <v>100023</v>
      </c>
      <c r="BE49" s="3980">
        <v>87350088</v>
      </c>
      <c r="BF49" s="3999">
        <v>2.85</v>
      </c>
      <c r="BG49" s="3995">
        <v>37864</v>
      </c>
      <c r="BI49" s="3982" t="s">
        <v>3448</v>
      </c>
      <c r="BJ49" s="3995">
        <v>37959</v>
      </c>
      <c r="BL49" s="3980" t="s">
        <v>3452</v>
      </c>
      <c r="BP49" s="3982"/>
      <c r="BQ49" s="3982"/>
      <c r="BR49" s="3982"/>
    </row>
    <row r="50" spans="1:70" s="3895" customFormat="1" ht="12">
      <c r="A50" s="3894" t="s">
        <v>3930</v>
      </c>
      <c r="B50" s="3895" t="s">
        <v>3931</v>
      </c>
      <c r="C50" s="3897" t="s">
        <v>3932</v>
      </c>
      <c r="D50" s="3895" t="s">
        <v>3933</v>
      </c>
      <c r="E50" s="3895" t="s">
        <v>3532</v>
      </c>
      <c r="F50" s="3895" t="s">
        <v>3733</v>
      </c>
      <c r="H50" s="3926" t="s">
        <v>3903</v>
      </c>
      <c r="I50" s="3895" t="s">
        <v>3934</v>
      </c>
      <c r="J50" s="3926" t="s">
        <v>3935</v>
      </c>
      <c r="K50" s="3895" t="s">
        <v>3736</v>
      </c>
      <c r="L50" s="3900">
        <v>113.33</v>
      </c>
      <c r="M50" s="3900">
        <v>12</v>
      </c>
      <c r="N50" s="3926" t="s">
        <v>3895</v>
      </c>
      <c r="O50" s="3900">
        <v>91.4</v>
      </c>
      <c r="P50" s="3895" t="s">
        <v>3454</v>
      </c>
      <c r="Q50" s="3899">
        <v>519851.50980000006</v>
      </c>
      <c r="R50" s="3895">
        <v>4587.0600000000004</v>
      </c>
      <c r="S50" s="3901">
        <v>51.47</v>
      </c>
      <c r="T50" s="3943">
        <v>514700</v>
      </c>
      <c r="U50" s="3895">
        <v>4542</v>
      </c>
      <c r="V50" s="3917">
        <v>0.1</v>
      </c>
      <c r="W50" s="3904">
        <v>46.32</v>
      </c>
      <c r="X50" s="3918">
        <v>463200</v>
      </c>
      <c r="Y50" s="3907">
        <v>2003</v>
      </c>
      <c r="Z50" s="3907">
        <v>12</v>
      </c>
      <c r="AA50" s="3895">
        <v>19</v>
      </c>
      <c r="AB50" s="3908">
        <v>2570</v>
      </c>
      <c r="AC50" s="3919" t="s">
        <v>3936</v>
      </c>
      <c r="AE50" s="3930" t="s">
        <v>3444</v>
      </c>
      <c r="AF50" s="3895" t="s">
        <v>3861</v>
      </c>
      <c r="AG50" s="3895" t="s">
        <v>3445</v>
      </c>
      <c r="AI50" s="3930" t="s">
        <v>3446</v>
      </c>
      <c r="AJ50" s="3920">
        <v>38176</v>
      </c>
      <c r="AK50" s="3963" t="s">
        <v>3937</v>
      </c>
      <c r="AL50" s="3907">
        <v>67641700</v>
      </c>
      <c r="AM50" s="3907"/>
      <c r="AN50" s="3921" t="s">
        <v>3453</v>
      </c>
      <c r="AO50" s="3895" t="s">
        <v>3451</v>
      </c>
      <c r="AP50" s="3930" t="s">
        <v>3448</v>
      </c>
      <c r="AQ50" s="3930" t="s">
        <v>3449</v>
      </c>
      <c r="AU50" s="3895" t="s">
        <v>3451</v>
      </c>
      <c r="AV50" s="3931" t="s">
        <v>3451</v>
      </c>
      <c r="AW50" s="3895" t="s">
        <v>3450</v>
      </c>
      <c r="AX50" s="3895" t="s">
        <v>3451</v>
      </c>
      <c r="AY50" s="3900">
        <v>559484</v>
      </c>
      <c r="AZ50" s="3895" t="s">
        <v>3736</v>
      </c>
      <c r="BA50" s="3895" t="s">
        <v>3842</v>
      </c>
      <c r="BB50" s="3895" t="s">
        <v>3740</v>
      </c>
      <c r="BC50" s="3895" t="s">
        <v>3741</v>
      </c>
      <c r="BD50" s="3895">
        <v>100023</v>
      </c>
      <c r="BE50" s="3895">
        <v>87350088</v>
      </c>
      <c r="BF50" s="3932">
        <v>2.85</v>
      </c>
      <c r="BG50" s="3920">
        <v>37939</v>
      </c>
      <c r="BI50" s="3907" t="s">
        <v>3448</v>
      </c>
      <c r="BJ50" s="3924">
        <v>37973</v>
      </c>
      <c r="BL50" s="3895" t="s">
        <v>3452</v>
      </c>
      <c r="BP50" s="3907"/>
      <c r="BQ50" s="3907"/>
      <c r="BR50" s="3907"/>
    </row>
    <row r="51" spans="1:70" s="3964" customFormat="1" ht="12">
      <c r="A51" s="3894" t="s">
        <v>3938</v>
      </c>
      <c r="B51" s="3895" t="s">
        <v>3939</v>
      </c>
      <c r="C51" s="3897" t="s">
        <v>3940</v>
      </c>
      <c r="D51" s="3895">
        <v>13511008715</v>
      </c>
      <c r="E51" s="3895" t="s">
        <v>3532</v>
      </c>
      <c r="F51" s="3895" t="s">
        <v>3733</v>
      </c>
      <c r="G51" s="3895"/>
      <c r="H51" s="3926" t="s">
        <v>3941</v>
      </c>
      <c r="I51" s="3926" t="s">
        <v>3621</v>
      </c>
      <c r="J51" s="3926" t="s">
        <v>3942</v>
      </c>
      <c r="K51" s="3895" t="s">
        <v>3736</v>
      </c>
      <c r="L51" s="3900">
        <v>125.09</v>
      </c>
      <c r="M51" s="3900">
        <v>7</v>
      </c>
      <c r="N51" s="3926" t="s">
        <v>3943</v>
      </c>
      <c r="O51" s="3900">
        <v>105.11</v>
      </c>
      <c r="P51" s="3895" t="s">
        <v>3454</v>
      </c>
      <c r="Q51" s="3899">
        <v>724271.1</v>
      </c>
      <c r="R51" s="3895">
        <v>5790</v>
      </c>
      <c r="S51" s="3901">
        <v>71.75</v>
      </c>
      <c r="T51" s="3943">
        <v>717500</v>
      </c>
      <c r="U51" s="3895">
        <v>5736</v>
      </c>
      <c r="V51" s="3917">
        <v>0.1</v>
      </c>
      <c r="W51" s="3904">
        <v>64.569999999999993</v>
      </c>
      <c r="X51" s="3918">
        <v>645699.99999999988</v>
      </c>
      <c r="Y51" s="3907">
        <v>2003</v>
      </c>
      <c r="Z51" s="3907">
        <v>12</v>
      </c>
      <c r="AA51" s="3895">
        <v>22</v>
      </c>
      <c r="AB51" s="3908">
        <v>3585</v>
      </c>
      <c r="AC51" s="3895" t="s">
        <v>3944</v>
      </c>
      <c r="AD51" s="3895"/>
      <c r="AE51" s="3930" t="s">
        <v>3444</v>
      </c>
      <c r="AF51" s="3895" t="s">
        <v>3861</v>
      </c>
      <c r="AG51" s="3895" t="s">
        <v>3445</v>
      </c>
      <c r="AH51" s="3895"/>
      <c r="AI51" s="3930" t="s">
        <v>3446</v>
      </c>
      <c r="AJ51" s="3920">
        <v>38127</v>
      </c>
      <c r="AK51" s="3963" t="s">
        <v>3945</v>
      </c>
      <c r="AL51" s="3907">
        <v>67641700</v>
      </c>
      <c r="AM51" s="3907"/>
      <c r="AN51" s="3921" t="s">
        <v>3455</v>
      </c>
      <c r="AO51" s="3895" t="s">
        <v>3451</v>
      </c>
      <c r="AP51" s="3930" t="s">
        <v>3448</v>
      </c>
      <c r="AQ51" s="3930" t="s">
        <v>3449</v>
      </c>
      <c r="AR51" s="3895"/>
      <c r="AS51" s="3895"/>
      <c r="AT51" s="3895"/>
      <c r="AU51" s="3895" t="s">
        <v>3451</v>
      </c>
      <c r="AV51" s="3931" t="s">
        <v>3451</v>
      </c>
      <c r="AW51" s="3895" t="s">
        <v>3450</v>
      </c>
      <c r="AX51" s="3895" t="s">
        <v>3451</v>
      </c>
      <c r="AY51" s="3900">
        <v>546074</v>
      </c>
      <c r="AZ51" s="3895" t="s">
        <v>3736</v>
      </c>
      <c r="BA51" s="3895" t="s">
        <v>3842</v>
      </c>
      <c r="BB51" s="3895" t="s">
        <v>3740</v>
      </c>
      <c r="BC51" s="3895" t="s">
        <v>3741</v>
      </c>
      <c r="BD51" s="3895">
        <v>100023</v>
      </c>
      <c r="BE51" s="3895">
        <v>87350088</v>
      </c>
      <c r="BF51" s="3932">
        <v>2.85</v>
      </c>
      <c r="BG51" s="3920">
        <v>37856</v>
      </c>
      <c r="BH51" s="3895"/>
      <c r="BI51" s="3907" t="s">
        <v>3448</v>
      </c>
      <c r="BJ51" s="3924">
        <v>37973</v>
      </c>
      <c r="BK51" s="3895"/>
      <c r="BL51" s="3895" t="s">
        <v>3452</v>
      </c>
      <c r="BM51" s="3895"/>
      <c r="BN51" s="3895"/>
      <c r="BO51" s="3895"/>
      <c r="BP51" s="3907"/>
      <c r="BQ51" s="3907"/>
      <c r="BR51" s="3907"/>
    </row>
    <row r="52" spans="1:70" s="3895" customFormat="1" ht="12">
      <c r="A52" s="3894" t="s">
        <v>3946</v>
      </c>
      <c r="B52" s="3895" t="s">
        <v>3947</v>
      </c>
      <c r="C52" s="3897" t="s">
        <v>3948</v>
      </c>
      <c r="D52" s="3895">
        <v>13901287068</v>
      </c>
      <c r="E52" s="3895" t="s">
        <v>3532</v>
      </c>
      <c r="F52" s="3895" t="s">
        <v>3733</v>
      </c>
      <c r="H52" s="3926" t="s">
        <v>3949</v>
      </c>
      <c r="I52" s="3926" t="s">
        <v>3950</v>
      </c>
      <c r="J52" s="3926" t="s">
        <v>3951</v>
      </c>
      <c r="K52" s="3895" t="s">
        <v>3736</v>
      </c>
      <c r="L52" s="3900">
        <v>133.59</v>
      </c>
      <c r="M52" s="3900">
        <v>8</v>
      </c>
      <c r="N52" s="3895" t="s">
        <v>3952</v>
      </c>
      <c r="O52" s="3900">
        <v>107.31</v>
      </c>
      <c r="P52" s="3895" t="s">
        <v>3454</v>
      </c>
      <c r="Q52" s="3899">
        <v>631223.43720000004</v>
      </c>
      <c r="R52" s="3895">
        <v>4725.08</v>
      </c>
      <c r="S52" s="3901">
        <v>62.45</v>
      </c>
      <c r="T52" s="3943">
        <v>624500</v>
      </c>
      <c r="U52" s="3895">
        <v>4675</v>
      </c>
      <c r="V52" s="3917">
        <v>0.1</v>
      </c>
      <c r="W52" s="3904">
        <v>56.2</v>
      </c>
      <c r="X52" s="3918">
        <v>562000</v>
      </c>
      <c r="Y52" s="3907">
        <v>2003</v>
      </c>
      <c r="Z52" s="3907">
        <v>12</v>
      </c>
      <c r="AA52" s="3907">
        <v>23</v>
      </c>
      <c r="AB52" s="3908">
        <v>3120</v>
      </c>
      <c r="AC52" s="3895" t="s">
        <v>3944</v>
      </c>
      <c r="AE52" s="3930" t="s">
        <v>3444</v>
      </c>
      <c r="AF52" s="3895" t="s">
        <v>3928</v>
      </c>
      <c r="AG52" s="3895" t="s">
        <v>3445</v>
      </c>
      <c r="AI52" s="3930" t="s">
        <v>3446</v>
      </c>
      <c r="AJ52" s="3910">
        <v>38199</v>
      </c>
      <c r="AK52" s="3963" t="s">
        <v>3953</v>
      </c>
      <c r="AL52" s="3907">
        <v>67641700</v>
      </c>
      <c r="AM52" s="3907"/>
      <c r="AN52" s="3921" t="s">
        <v>3455</v>
      </c>
      <c r="AO52" s="3895" t="s">
        <v>3451</v>
      </c>
      <c r="AP52" s="3930" t="s">
        <v>3448</v>
      </c>
      <c r="AQ52" s="3930" t="s">
        <v>3449</v>
      </c>
      <c r="AU52" s="3895" t="s">
        <v>3451</v>
      </c>
      <c r="AV52" s="3931" t="s">
        <v>3451</v>
      </c>
      <c r="AW52" s="3895" t="s">
        <v>3450</v>
      </c>
      <c r="AX52" s="3895" t="s">
        <v>3451</v>
      </c>
      <c r="AY52" s="3900">
        <v>559356</v>
      </c>
      <c r="AZ52" s="3895" t="s">
        <v>3736</v>
      </c>
      <c r="BA52" s="3895" t="s">
        <v>3842</v>
      </c>
      <c r="BB52" s="3895" t="s">
        <v>3740</v>
      </c>
      <c r="BC52" s="3895" t="s">
        <v>3741</v>
      </c>
      <c r="BD52" s="3895">
        <v>100023</v>
      </c>
      <c r="BE52" s="3895">
        <v>87350088</v>
      </c>
      <c r="BF52" s="3932">
        <v>2.85</v>
      </c>
      <c r="BG52" s="3920">
        <v>37941</v>
      </c>
      <c r="BI52" s="3907" t="s">
        <v>3448</v>
      </c>
      <c r="BJ52" s="3924">
        <v>37977</v>
      </c>
      <c r="BL52" s="3895" t="s">
        <v>3452</v>
      </c>
      <c r="BP52" s="3907"/>
      <c r="BQ52" s="3907"/>
      <c r="BR52" s="3907"/>
    </row>
    <row r="53" spans="1:70" s="3895" customFormat="1" ht="12">
      <c r="A53" s="3894" t="s">
        <v>3954</v>
      </c>
      <c r="B53" s="3895" t="s">
        <v>3955</v>
      </c>
      <c r="C53" s="3897" t="s">
        <v>3956</v>
      </c>
      <c r="D53" s="3895">
        <v>13601114136</v>
      </c>
      <c r="E53" s="3895" t="s">
        <v>3532</v>
      </c>
      <c r="F53" s="3895" t="s">
        <v>3733</v>
      </c>
      <c r="H53" s="3926" t="s">
        <v>3957</v>
      </c>
      <c r="I53" s="3926" t="s">
        <v>3950</v>
      </c>
      <c r="J53" s="3926" t="s">
        <v>3958</v>
      </c>
      <c r="K53" s="3895" t="s">
        <v>3736</v>
      </c>
      <c r="L53" s="3900">
        <v>113.79</v>
      </c>
      <c r="M53" s="3900">
        <v>8</v>
      </c>
      <c r="N53" s="3895" t="s">
        <v>3638</v>
      </c>
      <c r="O53" s="3900">
        <v>91.4</v>
      </c>
      <c r="P53" s="3895" t="s">
        <v>3454</v>
      </c>
      <c r="Q53" s="3899">
        <v>516295.95330000005</v>
      </c>
      <c r="R53" s="3895">
        <v>4537.2700000000004</v>
      </c>
      <c r="S53" s="3901">
        <v>51.06</v>
      </c>
      <c r="T53" s="3943">
        <v>510600</v>
      </c>
      <c r="U53" s="3895">
        <v>4488</v>
      </c>
      <c r="V53" s="3917">
        <v>0.1</v>
      </c>
      <c r="W53" s="3904">
        <v>45.95</v>
      </c>
      <c r="X53" s="3918">
        <v>459500</v>
      </c>
      <c r="Y53" s="3907">
        <v>2003</v>
      </c>
      <c r="Z53" s="3907">
        <v>12</v>
      </c>
      <c r="AA53" s="3907">
        <v>23</v>
      </c>
      <c r="AB53" s="3908">
        <v>2550</v>
      </c>
      <c r="AC53" s="3895" t="s">
        <v>3944</v>
      </c>
      <c r="AE53" s="3930" t="s">
        <v>3444</v>
      </c>
      <c r="AF53" s="3895" t="s">
        <v>3861</v>
      </c>
      <c r="AG53" s="3895" t="s">
        <v>3445</v>
      </c>
      <c r="AI53" s="3930" t="s">
        <v>3446</v>
      </c>
      <c r="AJ53" s="3910">
        <v>38199</v>
      </c>
      <c r="AK53" s="3963" t="s">
        <v>3937</v>
      </c>
      <c r="AL53" s="3907">
        <v>67641700</v>
      </c>
      <c r="AM53" s="3907"/>
      <c r="AN53" s="3921" t="s">
        <v>3455</v>
      </c>
      <c r="AO53" s="3895" t="s">
        <v>3451</v>
      </c>
      <c r="AP53" s="3930" t="s">
        <v>3448</v>
      </c>
      <c r="AQ53" s="3930" t="s">
        <v>3449</v>
      </c>
      <c r="AU53" s="3895" t="s">
        <v>3451</v>
      </c>
      <c r="AV53" s="3931" t="s">
        <v>3451</v>
      </c>
      <c r="AW53" s="3895" t="s">
        <v>3450</v>
      </c>
      <c r="AX53" s="3895" t="s">
        <v>3451</v>
      </c>
      <c r="AY53" s="3900">
        <v>559447</v>
      </c>
      <c r="AZ53" s="3895" t="s">
        <v>3736</v>
      </c>
      <c r="BA53" s="3895" t="s">
        <v>3842</v>
      </c>
      <c r="BB53" s="3895" t="s">
        <v>3740</v>
      </c>
      <c r="BC53" s="3895" t="s">
        <v>3741</v>
      </c>
      <c r="BD53" s="3895">
        <v>100023</v>
      </c>
      <c r="BE53" s="3895">
        <v>87350088</v>
      </c>
      <c r="BF53" s="3932">
        <v>2.85</v>
      </c>
      <c r="BG53" s="3920">
        <v>37961</v>
      </c>
      <c r="BI53" s="3907" t="s">
        <v>3448</v>
      </c>
      <c r="BJ53" s="3924">
        <v>37974</v>
      </c>
      <c r="BL53" s="3895" t="s">
        <v>3452</v>
      </c>
      <c r="BP53" s="3907"/>
      <c r="BQ53" s="3907"/>
      <c r="BR53" s="3907"/>
    </row>
    <row r="54" spans="1:70" s="3895" customFormat="1" ht="12">
      <c r="A54" s="3894" t="s">
        <v>3959</v>
      </c>
      <c r="B54" s="3895" t="s">
        <v>3960</v>
      </c>
      <c r="C54" s="3897" t="s">
        <v>3961</v>
      </c>
      <c r="D54" s="3895" t="s">
        <v>3962</v>
      </c>
      <c r="E54" s="3895" t="s">
        <v>3532</v>
      </c>
      <c r="F54" s="3895" t="s">
        <v>3733</v>
      </c>
      <c r="H54" s="3926" t="s">
        <v>3866</v>
      </c>
      <c r="I54" s="3926" t="s">
        <v>3963</v>
      </c>
      <c r="J54" s="3926" t="s">
        <v>3964</v>
      </c>
      <c r="K54" s="3895" t="s">
        <v>3736</v>
      </c>
      <c r="L54" s="3900">
        <v>113.01</v>
      </c>
      <c r="M54" s="3900">
        <v>9</v>
      </c>
      <c r="N54" s="3895" t="s">
        <v>3638</v>
      </c>
      <c r="O54" s="3900">
        <v>91.4</v>
      </c>
      <c r="P54" s="3895" t="s">
        <v>3454</v>
      </c>
      <c r="Q54" s="3899">
        <v>509675.10000000003</v>
      </c>
      <c r="R54" s="3895">
        <v>4510</v>
      </c>
      <c r="S54" s="3901">
        <v>50.4</v>
      </c>
      <c r="T54" s="3943">
        <v>504000</v>
      </c>
      <c r="U54" s="3895">
        <v>4460</v>
      </c>
      <c r="V54" s="3917">
        <v>0.1</v>
      </c>
      <c r="W54" s="3904">
        <v>45.36</v>
      </c>
      <c r="X54" s="3918">
        <v>453600</v>
      </c>
      <c r="Y54" s="3907">
        <v>2003</v>
      </c>
      <c r="Z54" s="3907">
        <v>12</v>
      </c>
      <c r="AA54" s="3907">
        <v>23</v>
      </c>
      <c r="AB54" s="3908">
        <v>2520</v>
      </c>
      <c r="AC54" s="3895" t="s">
        <v>3965</v>
      </c>
      <c r="AE54" s="3930" t="s">
        <v>3444</v>
      </c>
      <c r="AF54" s="3895" t="s">
        <v>3966</v>
      </c>
      <c r="AG54" s="3895" t="s">
        <v>3445</v>
      </c>
      <c r="AI54" s="3930" t="s">
        <v>3446</v>
      </c>
      <c r="AJ54" s="3910">
        <v>38168</v>
      </c>
      <c r="AK54" s="3963" t="s">
        <v>3937</v>
      </c>
      <c r="AL54" s="3907">
        <v>67641700</v>
      </c>
      <c r="AM54" s="3907"/>
      <c r="AN54" s="3921" t="s">
        <v>3455</v>
      </c>
      <c r="AO54" s="3895" t="s">
        <v>3451</v>
      </c>
      <c r="AP54" s="3930" t="s">
        <v>3448</v>
      </c>
      <c r="AQ54" s="3930" t="s">
        <v>3449</v>
      </c>
      <c r="AU54" s="3895" t="s">
        <v>3451</v>
      </c>
      <c r="AV54" s="3931" t="s">
        <v>3451</v>
      </c>
      <c r="AW54" s="3895" t="s">
        <v>3450</v>
      </c>
      <c r="AX54" s="3895" t="s">
        <v>3451</v>
      </c>
      <c r="AY54" s="3900">
        <v>559492</v>
      </c>
      <c r="AZ54" s="3895" t="s">
        <v>3736</v>
      </c>
      <c r="BA54" s="3895" t="s">
        <v>3842</v>
      </c>
      <c r="BB54" s="3895" t="s">
        <v>3740</v>
      </c>
      <c r="BC54" s="3895" t="s">
        <v>3741</v>
      </c>
      <c r="BD54" s="3895">
        <v>100023</v>
      </c>
      <c r="BE54" s="3895">
        <v>87350088</v>
      </c>
      <c r="BF54" s="3932">
        <v>2.85</v>
      </c>
      <c r="BG54" s="3920">
        <v>37928</v>
      </c>
      <c r="BI54" s="3907" t="s">
        <v>3448</v>
      </c>
      <c r="BJ54" s="3924">
        <v>37977</v>
      </c>
      <c r="BL54" s="3895" t="s">
        <v>3452</v>
      </c>
      <c r="BP54" s="3907"/>
      <c r="BQ54" s="3907"/>
      <c r="BR54" s="3907"/>
    </row>
    <row r="55" spans="1:70" s="3895" customFormat="1" ht="12">
      <c r="A55" s="3894" t="s">
        <v>3967</v>
      </c>
      <c r="B55" s="3895" t="s">
        <v>3968</v>
      </c>
      <c r="C55" s="3897" t="s">
        <v>3969</v>
      </c>
      <c r="D55" s="3895">
        <v>13641025794</v>
      </c>
      <c r="E55" s="3895" t="s">
        <v>3532</v>
      </c>
      <c r="F55" s="3895" t="s">
        <v>3733</v>
      </c>
      <c r="H55" s="3926" t="s">
        <v>3970</v>
      </c>
      <c r="I55" s="3926" t="s">
        <v>3971</v>
      </c>
      <c r="J55" s="3926" t="s">
        <v>3972</v>
      </c>
      <c r="K55" s="3895" t="s">
        <v>3736</v>
      </c>
      <c r="L55" s="3900">
        <v>138.13999999999999</v>
      </c>
      <c r="M55" s="3900">
        <v>12</v>
      </c>
      <c r="N55" s="3895" t="s">
        <v>3973</v>
      </c>
      <c r="O55" s="3900">
        <v>111.31</v>
      </c>
      <c r="P55" s="3895" t="s">
        <v>3454</v>
      </c>
      <c r="Q55" s="3899">
        <v>705895.39999999991</v>
      </c>
      <c r="R55" s="3895">
        <v>5110</v>
      </c>
      <c r="S55" s="3901">
        <v>69.89</v>
      </c>
      <c r="T55" s="3943">
        <v>698900</v>
      </c>
      <c r="U55" s="3895">
        <v>5060</v>
      </c>
      <c r="V55" s="3917">
        <v>0.1</v>
      </c>
      <c r="W55" s="3904">
        <v>62.9</v>
      </c>
      <c r="X55" s="3918">
        <v>629000</v>
      </c>
      <c r="Y55" s="3907">
        <v>2003</v>
      </c>
      <c r="Z55" s="3907">
        <v>12</v>
      </c>
      <c r="AA55" s="3907">
        <v>25</v>
      </c>
      <c r="AB55" s="3908">
        <v>3490</v>
      </c>
      <c r="AC55" s="3895" t="s">
        <v>3974</v>
      </c>
      <c r="AE55" s="3930" t="s">
        <v>3444</v>
      </c>
      <c r="AF55" s="3895" t="s">
        <v>3928</v>
      </c>
      <c r="AG55" s="3895" t="s">
        <v>3445</v>
      </c>
      <c r="AI55" s="3930" t="s">
        <v>3446</v>
      </c>
      <c r="AJ55" s="3910">
        <v>38113</v>
      </c>
      <c r="AK55" s="3963" t="s">
        <v>3937</v>
      </c>
      <c r="AL55" s="3907">
        <v>67641700</v>
      </c>
      <c r="AM55" s="3907"/>
      <c r="AN55" s="3921" t="s">
        <v>3455</v>
      </c>
      <c r="AO55" s="3895" t="s">
        <v>3451</v>
      </c>
      <c r="AP55" s="3930" t="s">
        <v>3448</v>
      </c>
      <c r="AQ55" s="3930" t="s">
        <v>3449</v>
      </c>
      <c r="AU55" s="3895" t="s">
        <v>3451</v>
      </c>
      <c r="AV55" s="3931" t="s">
        <v>3451</v>
      </c>
      <c r="AW55" s="3895" t="s">
        <v>3450</v>
      </c>
      <c r="AX55" s="3895" t="s">
        <v>3451</v>
      </c>
      <c r="AY55" s="3900">
        <v>546094</v>
      </c>
      <c r="AZ55" s="3895" t="s">
        <v>3736</v>
      </c>
      <c r="BA55" s="3895" t="s">
        <v>3842</v>
      </c>
      <c r="BB55" s="3895" t="s">
        <v>3740</v>
      </c>
      <c r="BC55" s="3895" t="s">
        <v>3741</v>
      </c>
      <c r="BD55" s="3895">
        <v>100023</v>
      </c>
      <c r="BE55" s="3895">
        <v>87350088</v>
      </c>
      <c r="BF55" s="3932">
        <v>2.85</v>
      </c>
      <c r="BG55" s="3920">
        <v>37932</v>
      </c>
      <c r="BI55" s="3907" t="s">
        <v>3448</v>
      </c>
      <c r="BJ55" s="3920">
        <v>37979</v>
      </c>
      <c r="BL55" s="3895" t="s">
        <v>3452</v>
      </c>
      <c r="BP55" s="3907"/>
      <c r="BQ55" s="3907"/>
      <c r="BR55" s="3907"/>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7" t="s">
        <v>1770</v>
      </c>
      <c r="D4" s="3748"/>
      <c r="E4" s="3749" t="s">
        <v>1771</v>
      </c>
      <c r="F4" s="3750"/>
      <c r="G4" s="3747" t="s">
        <v>1772</v>
      </c>
      <c r="H4" s="3748"/>
      <c r="I4" s="3747" t="s">
        <v>1773</v>
      </c>
      <c r="J4" s="3748"/>
      <c r="K4" s="559" t="s">
        <v>1774</v>
      </c>
      <c r="L4" s="2715"/>
      <c r="M4" s="2716"/>
      <c r="N4" s="2716"/>
      <c r="O4" s="2716"/>
      <c r="P4" s="3751" t="s">
        <v>1775</v>
      </c>
      <c r="Q4" s="3752"/>
      <c r="R4" s="3732" t="s">
        <v>1771</v>
      </c>
      <c r="S4" s="3733"/>
      <c r="T4" s="3732" t="s">
        <v>1772</v>
      </c>
      <c r="U4" s="3733"/>
      <c r="V4" s="3759" t="s">
        <v>1773</v>
      </c>
      <c r="W4" s="3759"/>
      <c r="X4" s="1355"/>
      <c r="Y4" s="3732" t="s">
        <v>1775</v>
      </c>
      <c r="Z4" s="3733"/>
      <c r="AA4" s="3727" t="s">
        <v>1771</v>
      </c>
      <c r="AB4" s="3759" t="s">
        <v>1772</v>
      </c>
      <c r="AC4" s="3727" t="s">
        <v>1773</v>
      </c>
    </row>
    <row r="5" spans="1:29">
      <c r="A5" s="358"/>
      <c r="B5" s="359"/>
      <c r="C5" s="3777" t="s">
        <v>1673</v>
      </c>
      <c r="D5" s="3739"/>
      <c r="E5" s="3775" t="s">
        <v>1674</v>
      </c>
      <c r="F5" s="3776"/>
      <c r="G5" s="3777" t="s">
        <v>1675</v>
      </c>
      <c r="H5" s="3739"/>
      <c r="I5" s="3777" t="s">
        <v>1676</v>
      </c>
      <c r="J5" s="3739"/>
      <c r="K5" s="559"/>
      <c r="L5" s="2715"/>
      <c r="M5" s="2716"/>
      <c r="N5" s="2716"/>
      <c r="O5" s="2716"/>
      <c r="P5" s="3753"/>
      <c r="Q5" s="3754"/>
      <c r="R5" s="3734"/>
      <c r="S5" s="3735"/>
      <c r="T5" s="3734"/>
      <c r="U5" s="3735"/>
      <c r="V5" s="3759"/>
      <c r="W5" s="3759"/>
      <c r="X5" s="1355"/>
      <c r="Y5" s="3734"/>
      <c r="Z5" s="3735"/>
      <c r="AA5" s="3728"/>
      <c r="AB5" s="3759"/>
      <c r="AC5" s="3728"/>
    </row>
    <row r="6" spans="1:29" ht="15" thickBot="1">
      <c r="A6" s="360"/>
      <c r="B6" s="361"/>
      <c r="C6" s="3778" t="s">
        <v>1677</v>
      </c>
      <c r="D6" s="3741"/>
      <c r="E6" s="3779" t="s">
        <v>1677</v>
      </c>
      <c r="F6" s="3745"/>
      <c r="G6" s="3778" t="s">
        <v>1677</v>
      </c>
      <c r="H6" s="3741"/>
      <c r="I6" s="3778" t="s">
        <v>1677</v>
      </c>
      <c r="J6" s="3741"/>
      <c r="K6" s="559" t="s">
        <v>1678</v>
      </c>
      <c r="L6" s="2715"/>
      <c r="M6" s="2716"/>
      <c r="N6" s="2716"/>
      <c r="O6" s="2716"/>
      <c r="P6" s="3755"/>
      <c r="Q6" s="3756"/>
      <c r="R6" s="3734"/>
      <c r="S6" s="3735"/>
      <c r="T6" s="3757"/>
      <c r="U6" s="3758"/>
      <c r="V6" s="3759"/>
      <c r="W6" s="3759"/>
      <c r="X6" s="1355"/>
      <c r="Y6" s="3757"/>
      <c r="Z6" s="3758"/>
      <c r="AA6" s="3729"/>
      <c r="AB6" s="3759"/>
      <c r="AC6" s="3729"/>
    </row>
    <row r="7" spans="1:29" s="108" customFormat="1" ht="15" thickBot="1">
      <c r="A7" s="362" t="s">
        <v>1679</v>
      </c>
      <c r="B7" s="363"/>
      <c r="C7" s="364">
        <f>'数据-取费表'!B2</f>
        <v>38017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0" t="s">
        <v>1680</v>
      </c>
      <c r="Q7" s="3760"/>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6" t="s">
        <v>1686</v>
      </c>
      <c r="Q9" s="1343"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6"/>
      <c r="Q10" s="1343"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6"/>
      <c r="Q11" s="1343" t="str">
        <f t="shared" si="6"/>
        <v>容积率</v>
      </c>
      <c r="R11" s="701" t="s">
        <v>14</v>
      </c>
      <c r="S11" s="702" t="e">
        <f t="shared" si="0"/>
        <v>#N/A</v>
      </c>
      <c r="T11" s="701" t="s">
        <v>14</v>
      </c>
      <c r="U11" s="702" t="e">
        <f t="shared" si="1"/>
        <v>#N/A</v>
      </c>
      <c r="V11" s="701" t="s">
        <v>14</v>
      </c>
      <c r="W11" s="702" t="e">
        <f t="shared" si="2"/>
        <v>#N/A</v>
      </c>
      <c r="X11" s="703"/>
      <c r="Y11" s="36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6"/>
      <c r="Q12" s="1343">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6"/>
      <c r="Q13" s="1343">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6"/>
      <c r="Q14" s="1343">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3" t="s">
        <v>1691</v>
      </c>
      <c r="Q15" s="1352" t="str">
        <f t="shared" si="6"/>
        <v>商业繁华度</v>
      </c>
      <c r="R15" s="705" t="s">
        <v>14</v>
      </c>
      <c r="S15" s="706">
        <f t="shared" si="0"/>
        <v>100</v>
      </c>
      <c r="T15" s="705" t="s">
        <v>14</v>
      </c>
      <c r="U15" s="706">
        <f t="shared" si="1"/>
        <v>100</v>
      </c>
      <c r="V15" s="705" t="s">
        <v>14</v>
      </c>
      <c r="W15" s="706">
        <f t="shared" si="2"/>
        <v>100</v>
      </c>
      <c r="X15" s="1355"/>
      <c r="Y15" s="37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4"/>
      <c r="Q16" s="1352"/>
      <c r="R16" s="705"/>
      <c r="S16" s="706"/>
      <c r="T16" s="705"/>
      <c r="U16" s="706"/>
      <c r="V16" s="705"/>
      <c r="W16" s="706"/>
      <c r="X16" s="1355"/>
      <c r="Y16" s="37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4"/>
      <c r="Q17" s="1352" t="str">
        <f>B17</f>
        <v>交通便捷度</v>
      </c>
      <c r="R17" s="705" t="s">
        <v>14</v>
      </c>
      <c r="S17" s="706">
        <f>F17</f>
        <v>100</v>
      </c>
      <c r="T17" s="705" t="s">
        <v>14</v>
      </c>
      <c r="U17" s="706">
        <f>H17</f>
        <v>100</v>
      </c>
      <c r="V17" s="705" t="s">
        <v>14</v>
      </c>
      <c r="W17" s="706">
        <f>J17</f>
        <v>100</v>
      </c>
      <c r="X17" s="1355"/>
      <c r="Y17" s="37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4"/>
      <c r="Q18" s="1352"/>
      <c r="R18" s="705"/>
      <c r="S18" s="706"/>
      <c r="T18" s="705"/>
      <c r="U18" s="706"/>
      <c r="V18" s="705"/>
      <c r="W18" s="706"/>
      <c r="X18" s="1355"/>
      <c r="Y18" s="376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4"/>
      <c r="Q19" s="1352" t="str">
        <f>B19</f>
        <v>公共配套设施</v>
      </c>
      <c r="R19" s="705" t="s">
        <v>14</v>
      </c>
      <c r="S19" s="706">
        <f>F19</f>
        <v>100</v>
      </c>
      <c r="T19" s="705" t="s">
        <v>14</v>
      </c>
      <c r="U19" s="706">
        <f>H19</f>
        <v>100</v>
      </c>
      <c r="V19" s="705" t="s">
        <v>14</v>
      </c>
      <c r="W19" s="706">
        <f>J19</f>
        <v>100</v>
      </c>
      <c r="X19" s="1355"/>
      <c r="Y19" s="37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4"/>
      <c r="Q20" s="1352"/>
      <c r="R20" s="705"/>
      <c r="S20" s="706"/>
      <c r="T20" s="705"/>
      <c r="U20" s="706"/>
      <c r="V20" s="705"/>
      <c r="W20" s="706"/>
      <c r="X20" s="1355"/>
      <c r="Y20" s="376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4"/>
      <c r="Q21" s="1352" t="str">
        <f>B21</f>
        <v>基础设施水平</v>
      </c>
      <c r="R21" s="705" t="s">
        <v>14</v>
      </c>
      <c r="S21" s="706">
        <f>F21</f>
        <v>100</v>
      </c>
      <c r="T21" s="705" t="s">
        <v>14</v>
      </c>
      <c r="U21" s="706">
        <f>H21</f>
        <v>100</v>
      </c>
      <c r="V21" s="705" t="s">
        <v>14</v>
      </c>
      <c r="W21" s="706">
        <f>J21</f>
        <v>100</v>
      </c>
      <c r="X21" s="1355"/>
      <c r="Y21" s="37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4"/>
      <c r="Q22" s="1352"/>
      <c r="R22" s="705"/>
      <c r="S22" s="706"/>
      <c r="T22" s="705"/>
      <c r="U22" s="706"/>
      <c r="V22" s="705"/>
      <c r="W22" s="706"/>
      <c r="X22" s="1355"/>
      <c r="Y22" s="376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4"/>
      <c r="Q23" s="1352" t="str">
        <f>B23</f>
        <v>自然及人文环境</v>
      </c>
      <c r="R23" s="705" t="s">
        <v>14</v>
      </c>
      <c r="S23" s="706">
        <f>F23</f>
        <v>100</v>
      </c>
      <c r="T23" s="705" t="s">
        <v>14</v>
      </c>
      <c r="U23" s="706">
        <f>H23</f>
        <v>100</v>
      </c>
      <c r="V23" s="705" t="s">
        <v>14</v>
      </c>
      <c r="W23" s="706">
        <f>J23</f>
        <v>100</v>
      </c>
      <c r="X23" s="1355"/>
      <c r="Y23" s="37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4"/>
      <c r="Q24" s="1352"/>
      <c r="R24" s="705"/>
      <c r="S24" s="706"/>
      <c r="T24" s="705"/>
      <c r="U24" s="706"/>
      <c r="V24" s="705"/>
      <c r="W24" s="706"/>
      <c r="X24" s="1355"/>
      <c r="Y24" s="37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4"/>
      <c r="Q25" s="1352" t="str">
        <f t="shared" ref="Q25:Q46" si="11">B25</f>
        <v>临街状况</v>
      </c>
      <c r="R25" s="705" t="s">
        <v>14</v>
      </c>
      <c r="S25" s="706">
        <f>F25</f>
        <v>100</v>
      </c>
      <c r="T25" s="705" t="s">
        <v>14</v>
      </c>
      <c r="U25" s="706">
        <f>H25</f>
        <v>100</v>
      </c>
      <c r="V25" s="705" t="s">
        <v>14</v>
      </c>
      <c r="W25" s="706">
        <f>J25</f>
        <v>100</v>
      </c>
      <c r="X25" s="1355"/>
      <c r="Y25" s="37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4"/>
      <c r="Q26" s="1352" t="str">
        <f t="shared" si="11"/>
        <v>平面位置/可视性</v>
      </c>
      <c r="R26" s="705" t="s">
        <v>14</v>
      </c>
      <c r="S26" s="706">
        <f>F26</f>
        <v>100</v>
      </c>
      <c r="T26" s="705" t="s">
        <v>14</v>
      </c>
      <c r="U26" s="706">
        <f>H26</f>
        <v>100</v>
      </c>
      <c r="V26" s="705" t="s">
        <v>14</v>
      </c>
      <c r="W26" s="706">
        <f>J26</f>
        <v>100</v>
      </c>
      <c r="X26" s="1355"/>
      <c r="Y26" s="37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4"/>
      <c r="Q27" s="1343" t="str">
        <f t="shared" si="11"/>
        <v>人流量</v>
      </c>
      <c r="R27" s="701" t="s">
        <v>14</v>
      </c>
      <c r="S27" s="702">
        <f>F27</f>
        <v>100</v>
      </c>
      <c r="T27" s="701" t="s">
        <v>14</v>
      </c>
      <c r="U27" s="702">
        <f>H27</f>
        <v>100</v>
      </c>
      <c r="V27" s="701" t="s">
        <v>14</v>
      </c>
      <c r="W27" s="702">
        <f>J27</f>
        <v>100</v>
      </c>
      <c r="X27" s="703"/>
      <c r="Y27" s="37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4"/>
      <c r="Q29" s="1352">
        <f t="shared" si="11"/>
        <v>111</v>
      </c>
      <c r="R29" s="705" t="s">
        <v>14</v>
      </c>
      <c r="S29" s="706">
        <f t="shared" si="12"/>
        <v>100</v>
      </c>
      <c r="T29" s="705" t="s">
        <v>14</v>
      </c>
      <c r="U29" s="706">
        <f t="shared" si="13"/>
        <v>100</v>
      </c>
      <c r="V29" s="705" t="s">
        <v>14</v>
      </c>
      <c r="W29" s="706">
        <f t="shared" si="14"/>
        <v>100</v>
      </c>
      <c r="X29" s="1355"/>
      <c r="Y29" s="37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4"/>
      <c r="Q30" s="1352">
        <f t="shared" si="11"/>
        <v>111</v>
      </c>
      <c r="R30" s="705" t="s">
        <v>14</v>
      </c>
      <c r="S30" s="706">
        <f t="shared" si="12"/>
        <v>100</v>
      </c>
      <c r="T30" s="705" t="s">
        <v>14</v>
      </c>
      <c r="U30" s="706">
        <f t="shared" si="13"/>
        <v>100</v>
      </c>
      <c r="V30" s="705" t="s">
        <v>14</v>
      </c>
      <c r="W30" s="706">
        <f t="shared" si="14"/>
        <v>100</v>
      </c>
      <c r="X30" s="1355"/>
      <c r="Y30" s="376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4"/>
      <c r="Q31" s="1352">
        <f t="shared" si="11"/>
        <v>111</v>
      </c>
      <c r="R31" s="705" t="s">
        <v>14</v>
      </c>
      <c r="S31" s="706">
        <f t="shared" si="12"/>
        <v>100</v>
      </c>
      <c r="T31" s="705" t="s">
        <v>14</v>
      </c>
      <c r="U31" s="706">
        <f t="shared" si="13"/>
        <v>100</v>
      </c>
      <c r="V31" s="705" t="s">
        <v>14</v>
      </c>
      <c r="W31" s="706">
        <f t="shared" si="14"/>
        <v>100</v>
      </c>
      <c r="X31" s="1355"/>
      <c r="Y31" s="37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8" t="s">
        <v>1696</v>
      </c>
      <c r="Q32" s="1352" t="str">
        <f t="shared" si="11"/>
        <v>商业类型</v>
      </c>
      <c r="R32" s="705" t="s">
        <v>14</v>
      </c>
      <c r="S32" s="706">
        <f t="shared" si="12"/>
        <v>100</v>
      </c>
      <c r="T32" s="705" t="s">
        <v>14</v>
      </c>
      <c r="U32" s="706">
        <f t="shared" si="13"/>
        <v>100</v>
      </c>
      <c r="V32" s="705" t="s">
        <v>14</v>
      </c>
      <c r="W32" s="706">
        <f t="shared" si="14"/>
        <v>100</v>
      </c>
      <c r="X32" s="1355"/>
      <c r="Y32" s="37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9"/>
      <c r="Q33" s="707" t="str">
        <f t="shared" si="11"/>
        <v>项目建筑规模</v>
      </c>
      <c r="R33" s="708" t="s">
        <v>14</v>
      </c>
      <c r="S33" s="709" t="e">
        <f t="shared" si="12"/>
        <v>#N/A</v>
      </c>
      <c r="T33" s="708" t="s">
        <v>14</v>
      </c>
      <c r="U33" s="709" t="e">
        <f t="shared" si="13"/>
        <v>#N/A</v>
      </c>
      <c r="V33" s="708" t="s">
        <v>14</v>
      </c>
      <c r="W33" s="709" t="e">
        <f t="shared" si="14"/>
        <v>#N/A</v>
      </c>
      <c r="X33" s="710"/>
      <c r="Y33" s="37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9"/>
      <c r="Q34" s="1352" t="str">
        <f t="shared" si="11"/>
        <v>建筑结构</v>
      </c>
      <c r="R34" s="705" t="s">
        <v>14</v>
      </c>
      <c r="S34" s="706">
        <f t="shared" si="12"/>
        <v>100</v>
      </c>
      <c r="T34" s="705" t="s">
        <v>14</v>
      </c>
      <c r="U34" s="706">
        <f t="shared" si="13"/>
        <v>100</v>
      </c>
      <c r="V34" s="705" t="s">
        <v>14</v>
      </c>
      <c r="W34" s="706">
        <f t="shared" si="14"/>
        <v>100</v>
      </c>
      <c r="X34" s="1355"/>
      <c r="Y34" s="37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9"/>
      <c r="Q35" s="1352" t="str">
        <f t="shared" si="11"/>
        <v>公共部分装修</v>
      </c>
      <c r="R35" s="705" t="s">
        <v>14</v>
      </c>
      <c r="S35" s="706">
        <f t="shared" si="12"/>
        <v>100</v>
      </c>
      <c r="T35" s="705" t="s">
        <v>14</v>
      </c>
      <c r="U35" s="706">
        <f t="shared" si="13"/>
        <v>100</v>
      </c>
      <c r="V35" s="705" t="s">
        <v>14</v>
      </c>
      <c r="W35" s="706">
        <f t="shared" si="14"/>
        <v>100</v>
      </c>
      <c r="X35" s="1355"/>
      <c r="Y35" s="37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9"/>
      <c r="Q36" s="1352" t="str">
        <f t="shared" si="11"/>
        <v>成新度</v>
      </c>
      <c r="R36" s="705" t="s">
        <v>14</v>
      </c>
      <c r="S36" s="706" t="e">
        <f t="shared" si="12"/>
        <v>#N/A</v>
      </c>
      <c r="T36" s="705" t="s">
        <v>14</v>
      </c>
      <c r="U36" s="706" t="e">
        <f t="shared" si="13"/>
        <v>#N/A</v>
      </c>
      <c r="V36" s="705" t="s">
        <v>14</v>
      </c>
      <c r="W36" s="706" t="e">
        <f t="shared" si="14"/>
        <v>#N/A</v>
      </c>
      <c r="X36" s="1355"/>
      <c r="Y36" s="37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9"/>
      <c r="Q37" s="1343" t="str">
        <f t="shared" si="11"/>
        <v>市政基础设施</v>
      </c>
      <c r="R37" s="701" t="s">
        <v>14</v>
      </c>
      <c r="S37" s="702">
        <f t="shared" si="12"/>
        <v>100</v>
      </c>
      <c r="T37" s="701" t="s">
        <v>14</v>
      </c>
      <c r="U37" s="702">
        <f t="shared" si="13"/>
        <v>100</v>
      </c>
      <c r="V37" s="701" t="s">
        <v>14</v>
      </c>
      <c r="W37" s="702">
        <f t="shared" si="14"/>
        <v>100</v>
      </c>
      <c r="X37" s="703"/>
      <c r="Y37" s="37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9" t="s">
        <v>1696</v>
      </c>
      <c r="Q38" s="1352" t="str">
        <f t="shared" si="11"/>
        <v>业态</v>
      </c>
      <c r="R38" s="705" t="s">
        <v>14</v>
      </c>
      <c r="S38" s="706">
        <f t="shared" si="12"/>
        <v>100</v>
      </c>
      <c r="T38" s="705" t="s">
        <v>14</v>
      </c>
      <c r="U38" s="706">
        <f t="shared" si="13"/>
        <v>100</v>
      </c>
      <c r="V38" s="705" t="s">
        <v>14</v>
      </c>
      <c r="W38" s="706">
        <f t="shared" si="14"/>
        <v>100</v>
      </c>
      <c r="X38" s="1355"/>
      <c r="Y38" s="37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9"/>
      <c r="Q39" s="1352" t="str">
        <f t="shared" si="11"/>
        <v>层高</v>
      </c>
      <c r="R39" s="705" t="s">
        <v>14</v>
      </c>
      <c r="S39" s="706">
        <f t="shared" si="12"/>
        <v>100</v>
      </c>
      <c r="T39" s="705" t="s">
        <v>14</v>
      </c>
      <c r="U39" s="706">
        <f t="shared" si="13"/>
        <v>100</v>
      </c>
      <c r="V39" s="705" t="s">
        <v>14</v>
      </c>
      <c r="W39" s="706">
        <f t="shared" si="14"/>
        <v>100</v>
      </c>
      <c r="X39" s="1355"/>
      <c r="Y39" s="37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9"/>
      <c r="Q40" s="1352" t="str">
        <f t="shared" si="11"/>
        <v>单套建筑面积</v>
      </c>
      <c r="R40" s="705" t="s">
        <v>14</v>
      </c>
      <c r="S40" s="706">
        <f t="shared" si="12"/>
        <v>100</v>
      </c>
      <c r="T40" s="705" t="s">
        <v>14</v>
      </c>
      <c r="U40" s="706">
        <f t="shared" si="13"/>
        <v>100</v>
      </c>
      <c r="V40" s="705" t="s">
        <v>14</v>
      </c>
      <c r="W40" s="706">
        <f t="shared" si="14"/>
        <v>100</v>
      </c>
      <c r="X40" s="1355"/>
      <c r="Y40" s="37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9"/>
      <c r="Q41" s="707" t="str">
        <f t="shared" si="11"/>
        <v>进深比</v>
      </c>
      <c r="R41" s="708" t="s">
        <v>14</v>
      </c>
      <c r="S41" s="709">
        <f t="shared" si="12"/>
        <v>100</v>
      </c>
      <c r="T41" s="708" t="s">
        <v>14</v>
      </c>
      <c r="U41" s="709">
        <f t="shared" si="13"/>
        <v>100</v>
      </c>
      <c r="V41" s="708" t="s">
        <v>14</v>
      </c>
      <c r="W41" s="709">
        <f t="shared" si="14"/>
        <v>100</v>
      </c>
      <c r="X41" s="710"/>
      <c r="Y41" s="37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9"/>
      <c r="Q42" s="1352" t="str">
        <f t="shared" si="11"/>
        <v>内部装修</v>
      </c>
      <c r="R42" s="705" t="s">
        <v>14</v>
      </c>
      <c r="S42" s="706">
        <f t="shared" si="12"/>
        <v>100</v>
      </c>
      <c r="T42" s="705" t="s">
        <v>14</v>
      </c>
      <c r="U42" s="706">
        <f t="shared" si="13"/>
        <v>100</v>
      </c>
      <c r="V42" s="705" t="s">
        <v>14</v>
      </c>
      <c r="W42" s="706">
        <f t="shared" si="14"/>
        <v>100</v>
      </c>
      <c r="X42" s="1355"/>
      <c r="Y42" s="377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9"/>
      <c r="Q43" s="1352" t="str">
        <f t="shared" si="11"/>
        <v>内部装修维护情况</v>
      </c>
      <c r="R43" s="705" t="s">
        <v>14</v>
      </c>
      <c r="S43" s="706">
        <f t="shared" si="12"/>
        <v>100</v>
      </c>
      <c r="T43" s="705" t="s">
        <v>14</v>
      </c>
      <c r="U43" s="706">
        <f t="shared" si="13"/>
        <v>100</v>
      </c>
      <c r="V43" s="705" t="s">
        <v>14</v>
      </c>
      <c r="W43" s="706">
        <f t="shared" si="14"/>
        <v>100</v>
      </c>
      <c r="X43" s="1355"/>
      <c r="Y43" s="37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9"/>
      <c r="Q44" s="1343">
        <f t="shared" si="11"/>
        <v>111</v>
      </c>
      <c r="R44" s="701" t="s">
        <v>14</v>
      </c>
      <c r="S44" s="702">
        <f t="shared" si="12"/>
        <v>100</v>
      </c>
      <c r="T44" s="701" t="s">
        <v>14</v>
      </c>
      <c r="U44" s="702">
        <f t="shared" si="13"/>
        <v>100</v>
      </c>
      <c r="V44" s="701" t="s">
        <v>14</v>
      </c>
      <c r="W44" s="702">
        <f t="shared" si="14"/>
        <v>100</v>
      </c>
      <c r="X44" s="703"/>
      <c r="Y44" s="37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9"/>
      <c r="Q45" s="1352">
        <f t="shared" si="11"/>
        <v>111</v>
      </c>
      <c r="R45" s="705" t="s">
        <v>14</v>
      </c>
      <c r="S45" s="706">
        <f t="shared" si="12"/>
        <v>100</v>
      </c>
      <c r="T45" s="705" t="s">
        <v>14</v>
      </c>
      <c r="U45" s="706">
        <f t="shared" si="13"/>
        <v>100</v>
      </c>
      <c r="V45" s="705" t="s">
        <v>14</v>
      </c>
      <c r="W45" s="706">
        <f t="shared" si="14"/>
        <v>100</v>
      </c>
      <c r="X45" s="1355"/>
      <c r="Y45" s="377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0"/>
      <c r="Q46" s="1352">
        <f t="shared" si="11"/>
        <v>111</v>
      </c>
      <c r="R46" s="705" t="s">
        <v>14</v>
      </c>
      <c r="S46" s="706">
        <f t="shared" si="12"/>
        <v>100</v>
      </c>
      <c r="T46" s="705" t="s">
        <v>14</v>
      </c>
      <c r="U46" s="706">
        <f t="shared" si="13"/>
        <v>100</v>
      </c>
      <c r="V46" s="705" t="s">
        <v>14</v>
      </c>
      <c r="W46" s="706">
        <f t="shared" si="14"/>
        <v>100</v>
      </c>
      <c r="X46" s="1355"/>
      <c r="Y46" s="377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64" t="str">
        <f>A47</f>
        <v>成交单价（元/平方米）</v>
      </c>
      <c r="Q47" s="3764"/>
      <c r="R47" s="3759">
        <f>E47</f>
        <v>0</v>
      </c>
      <c r="S47" s="3759"/>
      <c r="T47" s="3759">
        <f>G47</f>
        <v>0</v>
      </c>
      <c r="U47" s="3759"/>
      <c r="V47" s="3759">
        <f>I47</f>
        <v>0</v>
      </c>
      <c r="W47" s="375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2004-1</v>
      </c>
      <c r="D58" s="1185">
        <f>EDATE(C58,-1)</f>
        <v>37956</v>
      </c>
      <c r="E58" s="1185">
        <f t="shared" ref="E58:N58" si="16">EDATE(D58,-1)</f>
        <v>37926</v>
      </c>
      <c r="F58" s="1185">
        <f t="shared" si="16"/>
        <v>37895</v>
      </c>
      <c r="G58" s="1185">
        <f t="shared" si="16"/>
        <v>37865</v>
      </c>
      <c r="H58" s="1185">
        <f t="shared" si="16"/>
        <v>37834</v>
      </c>
      <c r="I58" s="1185">
        <f t="shared" si="16"/>
        <v>37803</v>
      </c>
      <c r="J58" s="1185">
        <f t="shared" si="16"/>
        <v>37773</v>
      </c>
      <c r="K58" s="1185">
        <f t="shared" si="16"/>
        <v>37742</v>
      </c>
      <c r="L58" s="1185">
        <f t="shared" si="16"/>
        <v>37712</v>
      </c>
      <c r="M58" s="1185">
        <f t="shared" si="16"/>
        <v>37681</v>
      </c>
      <c r="N58" s="1185">
        <f t="shared" si="16"/>
        <v>37653</v>
      </c>
      <c r="O58" s="1185">
        <f>EDATE(N58,-1)</f>
        <v>37622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7" t="s">
        <v>1770</v>
      </c>
      <c r="D4" s="3748"/>
      <c r="E4" s="3749" t="s">
        <v>1771</v>
      </c>
      <c r="F4" s="3750"/>
      <c r="G4" s="3747" t="s">
        <v>1772</v>
      </c>
      <c r="H4" s="3748"/>
      <c r="I4" s="3747" t="s">
        <v>1773</v>
      </c>
      <c r="J4" s="3748"/>
      <c r="K4" s="559" t="s">
        <v>1774</v>
      </c>
      <c r="L4" s="2715"/>
      <c r="M4" s="2716"/>
      <c r="N4" s="2716"/>
      <c r="O4" s="2716"/>
      <c r="P4" s="3786" t="s">
        <v>1775</v>
      </c>
      <c r="Q4" s="3787"/>
      <c r="R4" s="3781" t="s">
        <v>1771</v>
      </c>
      <c r="S4" s="3782"/>
      <c r="T4" s="3781" t="s">
        <v>1772</v>
      </c>
      <c r="U4" s="3782"/>
      <c r="V4" s="3790" t="s">
        <v>1773</v>
      </c>
      <c r="W4" s="3790"/>
      <c r="X4" s="1958"/>
      <c r="Y4" s="3781" t="s">
        <v>1775</v>
      </c>
      <c r="Z4" s="3782"/>
      <c r="AA4" s="3780" t="s">
        <v>1771</v>
      </c>
      <c r="AB4" s="3780" t="s">
        <v>1772</v>
      </c>
      <c r="AC4" s="3783" t="s">
        <v>1773</v>
      </c>
    </row>
    <row r="5" spans="1:29">
      <c r="A5" s="358"/>
      <c r="B5" s="359"/>
      <c r="C5" s="3777" t="s">
        <v>1673</v>
      </c>
      <c r="D5" s="3739"/>
      <c r="E5" s="3775" t="s">
        <v>1674</v>
      </c>
      <c r="F5" s="3776"/>
      <c r="G5" s="3777" t="s">
        <v>1675</v>
      </c>
      <c r="H5" s="3739"/>
      <c r="I5" s="3777" t="s">
        <v>1676</v>
      </c>
      <c r="J5" s="3739"/>
      <c r="K5" s="559"/>
      <c r="L5" s="2715"/>
      <c r="M5" s="2716"/>
      <c r="N5" s="2716"/>
      <c r="O5" s="2716"/>
      <c r="P5" s="3788"/>
      <c r="Q5" s="3754"/>
      <c r="R5" s="3734"/>
      <c r="S5" s="3735"/>
      <c r="T5" s="3734"/>
      <c r="U5" s="3735"/>
      <c r="V5" s="3759"/>
      <c r="W5" s="3759"/>
      <c r="X5" s="1355"/>
      <c r="Y5" s="3734"/>
      <c r="Z5" s="3735"/>
      <c r="AA5" s="3728"/>
      <c r="AB5" s="3728"/>
      <c r="AC5" s="3784"/>
    </row>
    <row r="6" spans="1:29" ht="15" thickBot="1">
      <c r="A6" s="360"/>
      <c r="B6" s="361"/>
      <c r="C6" s="3778" t="s">
        <v>1677</v>
      </c>
      <c r="D6" s="3741"/>
      <c r="E6" s="3779" t="s">
        <v>1677</v>
      </c>
      <c r="F6" s="3745"/>
      <c r="G6" s="3778" t="s">
        <v>1677</v>
      </c>
      <c r="H6" s="3741"/>
      <c r="I6" s="3778" t="s">
        <v>1677</v>
      </c>
      <c r="J6" s="3741"/>
      <c r="K6" s="559" t="s">
        <v>1678</v>
      </c>
      <c r="L6" s="2715"/>
      <c r="M6" s="2716"/>
      <c r="N6" s="2716"/>
      <c r="O6" s="2716"/>
      <c r="P6" s="3789"/>
      <c r="Q6" s="3756"/>
      <c r="R6" s="3734"/>
      <c r="S6" s="3735"/>
      <c r="T6" s="3757"/>
      <c r="U6" s="3758"/>
      <c r="V6" s="3759"/>
      <c r="W6" s="3759"/>
      <c r="X6" s="1355"/>
      <c r="Y6" s="3757"/>
      <c r="Z6" s="3758"/>
      <c r="AA6" s="3729"/>
      <c r="AB6" s="3729"/>
      <c r="AC6" s="3785"/>
    </row>
    <row r="7" spans="1:29" s="108" customFormat="1" ht="15" thickBot="1">
      <c r="A7" s="362" t="s">
        <v>1679</v>
      </c>
      <c r="B7" s="363"/>
      <c r="C7" s="364">
        <f>'数据-取费表'!B2</f>
        <v>38017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1" t="s">
        <v>1680</v>
      </c>
      <c r="Q7" s="3760"/>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1" t="s">
        <v>1683</v>
      </c>
      <c r="Q8" s="3731"/>
      <c r="R8" s="701" t="s">
        <v>14</v>
      </c>
      <c r="S8" s="702">
        <f t="shared" si="0"/>
        <v>100</v>
      </c>
      <c r="T8" s="701" t="s">
        <v>14</v>
      </c>
      <c r="U8" s="702">
        <f t="shared" si="1"/>
        <v>100</v>
      </c>
      <c r="V8" s="701" t="s">
        <v>14</v>
      </c>
      <c r="W8" s="702">
        <f t="shared" si="2"/>
        <v>100</v>
      </c>
      <c r="X8" s="703"/>
      <c r="Y8" s="3730" t="s">
        <v>1683</v>
      </c>
      <c r="Z8" s="373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6" t="s">
        <v>1686</v>
      </c>
      <c r="Q9" s="1343"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6"/>
      <c r="Q10" s="1343"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6"/>
      <c r="Q11" s="1343" t="str">
        <f t="shared" si="6"/>
        <v>容积率</v>
      </c>
      <c r="R11" s="701" t="s">
        <v>14</v>
      </c>
      <c r="S11" s="702">
        <f t="shared" si="0"/>
        <v>100</v>
      </c>
      <c r="T11" s="701" t="s">
        <v>14</v>
      </c>
      <c r="U11" s="702">
        <f t="shared" si="1"/>
        <v>100</v>
      </c>
      <c r="V11" s="701" t="s">
        <v>14</v>
      </c>
      <c r="W11" s="702">
        <f t="shared" si="2"/>
        <v>100</v>
      </c>
      <c r="X11" s="703"/>
      <c r="Y11" s="36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6"/>
      <c r="Q12" s="1343">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6"/>
      <c r="Q13" s="1343">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6"/>
      <c r="Q14" s="1343">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3" t="s">
        <v>1691</v>
      </c>
      <c r="Q15" s="1352" t="str">
        <f t="shared" si="6"/>
        <v>办公集聚程度</v>
      </c>
      <c r="R15" s="705" t="s">
        <v>14</v>
      </c>
      <c r="S15" s="706">
        <f t="shared" si="0"/>
        <v>100</v>
      </c>
      <c r="T15" s="705" t="s">
        <v>14</v>
      </c>
      <c r="U15" s="706">
        <f t="shared" si="1"/>
        <v>100</v>
      </c>
      <c r="V15" s="705" t="s">
        <v>14</v>
      </c>
      <c r="W15" s="706">
        <f t="shared" si="2"/>
        <v>100</v>
      </c>
      <c r="X15" s="1355"/>
      <c r="Y15" s="37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4"/>
      <c r="Q16" s="1352"/>
      <c r="R16" s="705"/>
      <c r="S16" s="706"/>
      <c r="T16" s="705"/>
      <c r="U16" s="706"/>
      <c r="V16" s="705"/>
      <c r="W16" s="706"/>
      <c r="X16" s="1355"/>
      <c r="Y16" s="376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4"/>
      <c r="Q17" s="1352" t="str">
        <f>B17</f>
        <v>交通便捷度</v>
      </c>
      <c r="R17" s="705" t="s">
        <v>14</v>
      </c>
      <c r="S17" s="706">
        <f>F17</f>
        <v>100</v>
      </c>
      <c r="T17" s="705" t="s">
        <v>14</v>
      </c>
      <c r="U17" s="706">
        <f>H17</f>
        <v>100</v>
      </c>
      <c r="V17" s="705" t="s">
        <v>14</v>
      </c>
      <c r="W17" s="706">
        <f>J17</f>
        <v>100</v>
      </c>
      <c r="X17" s="1355"/>
      <c r="Y17" s="37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4"/>
      <c r="Q18" s="1352"/>
      <c r="R18" s="705"/>
      <c r="S18" s="706"/>
      <c r="T18" s="705"/>
      <c r="U18" s="706"/>
      <c r="V18" s="705"/>
      <c r="W18" s="706"/>
      <c r="X18" s="1355"/>
      <c r="Y18" s="376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4"/>
      <c r="Q19" s="1352" t="str">
        <f>B19</f>
        <v>公共配套设施</v>
      </c>
      <c r="R19" s="705" t="s">
        <v>14</v>
      </c>
      <c r="S19" s="706">
        <f>F19</f>
        <v>100</v>
      </c>
      <c r="T19" s="705" t="s">
        <v>14</v>
      </c>
      <c r="U19" s="706">
        <f>H19</f>
        <v>100</v>
      </c>
      <c r="V19" s="705" t="s">
        <v>14</v>
      </c>
      <c r="W19" s="706">
        <f>J19</f>
        <v>100</v>
      </c>
      <c r="X19" s="1355"/>
      <c r="Y19" s="37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4"/>
      <c r="Q20" s="1352"/>
      <c r="R20" s="705"/>
      <c r="S20" s="706"/>
      <c r="T20" s="705"/>
      <c r="U20" s="706"/>
      <c r="V20" s="705"/>
      <c r="W20" s="706"/>
      <c r="X20" s="1355"/>
      <c r="Y20" s="376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4"/>
      <c r="Q21" s="1352" t="str">
        <f>B21</f>
        <v>基础设施水平</v>
      </c>
      <c r="R21" s="705" t="s">
        <v>14</v>
      </c>
      <c r="S21" s="706">
        <f>F21</f>
        <v>100</v>
      </c>
      <c r="T21" s="705" t="s">
        <v>14</v>
      </c>
      <c r="U21" s="706">
        <f>H21</f>
        <v>100</v>
      </c>
      <c r="V21" s="705" t="s">
        <v>14</v>
      </c>
      <c r="W21" s="706">
        <f>J21</f>
        <v>100</v>
      </c>
      <c r="X21" s="1355"/>
      <c r="Y21" s="37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4"/>
      <c r="Q22" s="1352"/>
      <c r="R22" s="705"/>
      <c r="S22" s="706"/>
      <c r="T22" s="705"/>
      <c r="U22" s="706"/>
      <c r="V22" s="705"/>
      <c r="W22" s="706"/>
      <c r="X22" s="1355"/>
      <c r="Y22" s="376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4"/>
      <c r="Q23" s="1352" t="str">
        <f>B23</f>
        <v>环境质量</v>
      </c>
      <c r="R23" s="705" t="s">
        <v>14</v>
      </c>
      <c r="S23" s="706">
        <f>F23</f>
        <v>100</v>
      </c>
      <c r="T23" s="705" t="s">
        <v>14</v>
      </c>
      <c r="U23" s="706">
        <f>H23</f>
        <v>100</v>
      </c>
      <c r="V23" s="705" t="s">
        <v>14</v>
      </c>
      <c r="W23" s="706">
        <f>J23</f>
        <v>100</v>
      </c>
      <c r="X23" s="1355"/>
      <c r="Y23" s="37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4"/>
      <c r="Q24" s="1352"/>
      <c r="R24" s="705"/>
      <c r="S24" s="706"/>
      <c r="T24" s="705"/>
      <c r="U24" s="706"/>
      <c r="V24" s="705"/>
      <c r="W24" s="706"/>
      <c r="X24" s="1355"/>
      <c r="Y24" s="376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4"/>
      <c r="Q25" s="1352" t="str">
        <f>B25</f>
        <v>毗邻道路的类型与等级</v>
      </c>
      <c r="R25" s="705" t="s">
        <v>14</v>
      </c>
      <c r="S25" s="706">
        <f>F25</f>
        <v>100</v>
      </c>
      <c r="T25" s="705" t="s">
        <v>14</v>
      </c>
      <c r="U25" s="706">
        <f>H25</f>
        <v>100</v>
      </c>
      <c r="V25" s="705" t="s">
        <v>14</v>
      </c>
      <c r="W25" s="706">
        <f>J25</f>
        <v>100</v>
      </c>
      <c r="X25" s="1355"/>
      <c r="Y25" s="37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4"/>
      <c r="Q26" s="1352"/>
      <c r="R26" s="705"/>
      <c r="S26" s="706"/>
      <c r="T26" s="705"/>
      <c r="U26" s="706"/>
      <c r="V26" s="705"/>
      <c r="W26" s="706"/>
      <c r="X26" s="1355"/>
      <c r="Y26" s="37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4"/>
      <c r="Q27" s="1352" t="str">
        <f t="shared" ref="Q27:Q47" si="11">B27</f>
        <v>楼层</v>
      </c>
      <c r="R27" s="705" t="s">
        <v>14</v>
      </c>
      <c r="S27" s="706">
        <f>F27</f>
        <v>100</v>
      </c>
      <c r="T27" s="705" t="s">
        <v>14</v>
      </c>
      <c r="U27" s="706">
        <f>H27</f>
        <v>100</v>
      </c>
      <c r="V27" s="705" t="s">
        <v>14</v>
      </c>
      <c r="W27" s="706">
        <f>J27</f>
        <v>100</v>
      </c>
      <c r="X27" s="1355"/>
      <c r="Y27" s="37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4"/>
      <c r="Q28" s="1343" t="str">
        <f t="shared" si="11"/>
        <v>朝向</v>
      </c>
      <c r="R28" s="701" t="s">
        <v>14</v>
      </c>
      <c r="S28" s="702">
        <f>F28</f>
        <v>100</v>
      </c>
      <c r="T28" s="701" t="s">
        <v>14</v>
      </c>
      <c r="U28" s="702">
        <f>H28</f>
        <v>100</v>
      </c>
      <c r="V28" s="701" t="s">
        <v>14</v>
      </c>
      <c r="W28" s="702">
        <f>J28</f>
        <v>100</v>
      </c>
      <c r="X28" s="703"/>
      <c r="Y28" s="37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4"/>
      <c r="Q29" s="1352">
        <f t="shared" si="11"/>
        <v>111</v>
      </c>
      <c r="R29" s="705" t="s">
        <v>14</v>
      </c>
      <c r="S29" s="706">
        <f t="shared" ref="S29:S47" si="12">F29</f>
        <v>100</v>
      </c>
      <c r="T29" s="705" t="s">
        <v>14</v>
      </c>
      <c r="U29" s="706">
        <f t="shared" ref="U29:U47" si="13">H29</f>
        <v>100</v>
      </c>
      <c r="V29" s="705" t="s">
        <v>14</v>
      </c>
      <c r="W29" s="706">
        <f t="shared" ref="W29:W47" si="14">J29</f>
        <v>100</v>
      </c>
      <c r="X29" s="1355"/>
      <c r="Y29" s="37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4"/>
      <c r="Q30" s="1352">
        <f t="shared" si="11"/>
        <v>111</v>
      </c>
      <c r="R30" s="705" t="s">
        <v>14</v>
      </c>
      <c r="S30" s="706">
        <f t="shared" si="12"/>
        <v>100</v>
      </c>
      <c r="T30" s="705" t="s">
        <v>14</v>
      </c>
      <c r="U30" s="706">
        <f t="shared" si="13"/>
        <v>100</v>
      </c>
      <c r="V30" s="705" t="s">
        <v>14</v>
      </c>
      <c r="W30" s="706">
        <f t="shared" si="14"/>
        <v>100</v>
      </c>
      <c r="X30" s="1355"/>
      <c r="Y30" s="37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4"/>
      <c r="Q31" s="1352">
        <f t="shared" si="11"/>
        <v>111</v>
      </c>
      <c r="R31" s="705" t="s">
        <v>14</v>
      </c>
      <c r="S31" s="706">
        <f t="shared" si="12"/>
        <v>100</v>
      </c>
      <c r="T31" s="705" t="s">
        <v>14</v>
      </c>
      <c r="U31" s="706">
        <f t="shared" si="13"/>
        <v>100</v>
      </c>
      <c r="V31" s="705" t="s">
        <v>14</v>
      </c>
      <c r="W31" s="706">
        <f t="shared" si="14"/>
        <v>100</v>
      </c>
      <c r="X31" s="1355"/>
      <c r="Y31" s="376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4"/>
      <c r="Q32" s="1352">
        <f t="shared" si="11"/>
        <v>111</v>
      </c>
      <c r="R32" s="705" t="s">
        <v>14</v>
      </c>
      <c r="S32" s="706">
        <f t="shared" si="12"/>
        <v>100</v>
      </c>
      <c r="T32" s="705" t="s">
        <v>14</v>
      </c>
      <c r="U32" s="706">
        <f t="shared" si="13"/>
        <v>100</v>
      </c>
      <c r="V32" s="705" t="s">
        <v>14</v>
      </c>
      <c r="W32" s="706">
        <f t="shared" si="14"/>
        <v>100</v>
      </c>
      <c r="X32" s="1355"/>
      <c r="Y32" s="37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8" t="s">
        <v>1696</v>
      </c>
      <c r="Q33" s="1352" t="str">
        <f t="shared" si="11"/>
        <v>建筑类型</v>
      </c>
      <c r="R33" s="705" t="s">
        <v>14</v>
      </c>
      <c r="S33" s="706">
        <f t="shared" si="12"/>
        <v>100</v>
      </c>
      <c r="T33" s="705" t="s">
        <v>14</v>
      </c>
      <c r="U33" s="706">
        <f t="shared" si="13"/>
        <v>100</v>
      </c>
      <c r="V33" s="705" t="s">
        <v>14</v>
      </c>
      <c r="W33" s="706">
        <f t="shared" si="14"/>
        <v>100</v>
      </c>
      <c r="X33" s="1355"/>
      <c r="Y33" s="37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9"/>
      <c r="Q34" s="707" t="str">
        <f t="shared" si="11"/>
        <v>项目建筑规模</v>
      </c>
      <c r="R34" s="708" t="s">
        <v>14</v>
      </c>
      <c r="S34" s="709" t="e">
        <f t="shared" si="12"/>
        <v>#N/A</v>
      </c>
      <c r="T34" s="708" t="s">
        <v>14</v>
      </c>
      <c r="U34" s="709" t="e">
        <f t="shared" si="13"/>
        <v>#N/A</v>
      </c>
      <c r="V34" s="708" t="s">
        <v>14</v>
      </c>
      <c r="W34" s="709" t="e">
        <f t="shared" si="14"/>
        <v>#N/A</v>
      </c>
      <c r="X34" s="710"/>
      <c r="Y34" s="37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9"/>
      <c r="Q35" s="1352" t="str">
        <f t="shared" si="11"/>
        <v>建筑结构</v>
      </c>
      <c r="R35" s="705" t="s">
        <v>14</v>
      </c>
      <c r="S35" s="706">
        <f t="shared" si="12"/>
        <v>100</v>
      </c>
      <c r="T35" s="705" t="s">
        <v>14</v>
      </c>
      <c r="U35" s="706">
        <f t="shared" si="13"/>
        <v>100</v>
      </c>
      <c r="V35" s="705" t="s">
        <v>14</v>
      </c>
      <c r="W35" s="706">
        <f t="shared" si="14"/>
        <v>100</v>
      </c>
      <c r="X35" s="1355"/>
      <c r="Y35" s="37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9"/>
      <c r="Q36" s="1352" t="str">
        <f t="shared" si="11"/>
        <v>公共部分装修</v>
      </c>
      <c r="R36" s="705" t="s">
        <v>14</v>
      </c>
      <c r="S36" s="706">
        <f t="shared" si="12"/>
        <v>100</v>
      </c>
      <c r="T36" s="705" t="s">
        <v>14</v>
      </c>
      <c r="U36" s="706">
        <f t="shared" si="13"/>
        <v>100</v>
      </c>
      <c r="V36" s="705" t="s">
        <v>14</v>
      </c>
      <c r="W36" s="706">
        <f t="shared" si="14"/>
        <v>100</v>
      </c>
      <c r="X36" s="1355"/>
      <c r="Y36" s="37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9"/>
      <c r="Q37" s="1352" t="str">
        <f t="shared" si="11"/>
        <v>成新度</v>
      </c>
      <c r="R37" s="705" t="s">
        <v>14</v>
      </c>
      <c r="S37" s="706" t="e">
        <f t="shared" si="12"/>
        <v>#N/A</v>
      </c>
      <c r="T37" s="705" t="s">
        <v>14</v>
      </c>
      <c r="U37" s="706" t="e">
        <f t="shared" si="13"/>
        <v>#N/A</v>
      </c>
      <c r="V37" s="705" t="s">
        <v>14</v>
      </c>
      <c r="W37" s="706" t="e">
        <f t="shared" si="14"/>
        <v>#N/A</v>
      </c>
      <c r="X37" s="1355"/>
      <c r="Y37" s="37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9"/>
      <c r="Q38" s="1343" t="str">
        <f t="shared" si="11"/>
        <v>写字楼等级</v>
      </c>
      <c r="R38" s="701" t="s">
        <v>14</v>
      </c>
      <c r="S38" s="702">
        <f t="shared" si="12"/>
        <v>100</v>
      </c>
      <c r="T38" s="701" t="s">
        <v>14</v>
      </c>
      <c r="U38" s="702">
        <f t="shared" si="13"/>
        <v>100</v>
      </c>
      <c r="V38" s="701" t="s">
        <v>14</v>
      </c>
      <c r="W38" s="702">
        <f t="shared" si="14"/>
        <v>100</v>
      </c>
      <c r="X38" s="703"/>
      <c r="Y38" s="37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9" t="s">
        <v>1696</v>
      </c>
      <c r="Q39" s="1352" t="str">
        <f t="shared" si="11"/>
        <v>物业管理</v>
      </c>
      <c r="R39" s="705" t="s">
        <v>14</v>
      </c>
      <c r="S39" s="706">
        <f t="shared" si="12"/>
        <v>100</v>
      </c>
      <c r="T39" s="705" t="s">
        <v>14</v>
      </c>
      <c r="U39" s="706">
        <f t="shared" si="13"/>
        <v>100</v>
      </c>
      <c r="V39" s="705" t="s">
        <v>14</v>
      </c>
      <c r="W39" s="706">
        <f t="shared" si="14"/>
        <v>100</v>
      </c>
      <c r="X39" s="1355"/>
      <c r="Y39" s="37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9"/>
      <c r="Q40" s="1352" t="str">
        <f t="shared" si="11"/>
        <v>市政基础设施</v>
      </c>
      <c r="R40" s="705" t="s">
        <v>14</v>
      </c>
      <c r="S40" s="706">
        <f t="shared" si="12"/>
        <v>100</v>
      </c>
      <c r="T40" s="705" t="s">
        <v>14</v>
      </c>
      <c r="U40" s="706">
        <f t="shared" si="13"/>
        <v>100</v>
      </c>
      <c r="V40" s="705" t="s">
        <v>14</v>
      </c>
      <c r="W40" s="706">
        <f t="shared" si="14"/>
        <v>100</v>
      </c>
      <c r="X40" s="1355"/>
      <c r="Y40" s="37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9"/>
      <c r="Q41" s="1352" t="str">
        <f t="shared" si="11"/>
        <v>层高</v>
      </c>
      <c r="R41" s="705" t="s">
        <v>14</v>
      </c>
      <c r="S41" s="706">
        <f t="shared" si="12"/>
        <v>100</v>
      </c>
      <c r="T41" s="705" t="s">
        <v>14</v>
      </c>
      <c r="U41" s="706">
        <f t="shared" si="13"/>
        <v>100</v>
      </c>
      <c r="V41" s="705" t="s">
        <v>14</v>
      </c>
      <c r="W41" s="706">
        <f t="shared" si="14"/>
        <v>100</v>
      </c>
      <c r="X41" s="1355"/>
      <c r="Y41" s="37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9"/>
      <c r="Q42" s="707" t="str">
        <f t="shared" si="11"/>
        <v>单套建筑面积</v>
      </c>
      <c r="R42" s="708" t="s">
        <v>14</v>
      </c>
      <c r="S42" s="709">
        <f t="shared" si="12"/>
        <v>100</v>
      </c>
      <c r="T42" s="708" t="s">
        <v>14</v>
      </c>
      <c r="U42" s="709">
        <f t="shared" si="13"/>
        <v>100</v>
      </c>
      <c r="V42" s="708" t="s">
        <v>14</v>
      </c>
      <c r="W42" s="709">
        <f t="shared" si="14"/>
        <v>100</v>
      </c>
      <c r="X42" s="710"/>
      <c r="Y42" s="37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9"/>
      <c r="Q43" s="1352" t="str">
        <f t="shared" si="11"/>
        <v>内部装修</v>
      </c>
      <c r="R43" s="705" t="s">
        <v>14</v>
      </c>
      <c r="S43" s="706">
        <f t="shared" si="12"/>
        <v>100</v>
      </c>
      <c r="T43" s="705" t="s">
        <v>14</v>
      </c>
      <c r="U43" s="706">
        <f t="shared" si="13"/>
        <v>100</v>
      </c>
      <c r="V43" s="705" t="s">
        <v>14</v>
      </c>
      <c r="W43" s="706">
        <f t="shared" si="14"/>
        <v>100</v>
      </c>
      <c r="X43" s="1355"/>
      <c r="Y43" s="377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9"/>
      <c r="Q44" s="1352" t="str">
        <f t="shared" si="11"/>
        <v>内部装修维护情况</v>
      </c>
      <c r="R44" s="705" t="s">
        <v>14</v>
      </c>
      <c r="S44" s="706">
        <f t="shared" si="12"/>
        <v>100</v>
      </c>
      <c r="T44" s="705" t="s">
        <v>14</v>
      </c>
      <c r="U44" s="706">
        <f t="shared" si="13"/>
        <v>100</v>
      </c>
      <c r="V44" s="705" t="s">
        <v>14</v>
      </c>
      <c r="W44" s="706">
        <f t="shared" si="14"/>
        <v>100</v>
      </c>
      <c r="X44" s="1355"/>
      <c r="Y44" s="37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9"/>
      <c r="Q45" s="1343">
        <f t="shared" si="11"/>
        <v>111</v>
      </c>
      <c r="R45" s="701" t="s">
        <v>14</v>
      </c>
      <c r="S45" s="702">
        <f t="shared" si="12"/>
        <v>100</v>
      </c>
      <c r="T45" s="701" t="s">
        <v>14</v>
      </c>
      <c r="U45" s="702">
        <f t="shared" si="13"/>
        <v>100</v>
      </c>
      <c r="V45" s="701" t="s">
        <v>14</v>
      </c>
      <c r="W45" s="702">
        <f t="shared" si="14"/>
        <v>100</v>
      </c>
      <c r="X45" s="703"/>
      <c r="Y45" s="37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9"/>
      <c r="Q46" s="1352">
        <f t="shared" si="11"/>
        <v>111</v>
      </c>
      <c r="R46" s="705" t="s">
        <v>14</v>
      </c>
      <c r="S46" s="706">
        <f t="shared" si="12"/>
        <v>100</v>
      </c>
      <c r="T46" s="705" t="s">
        <v>14</v>
      </c>
      <c r="U46" s="706">
        <f t="shared" si="13"/>
        <v>100</v>
      </c>
      <c r="V46" s="705" t="s">
        <v>14</v>
      </c>
      <c r="W46" s="706">
        <f t="shared" si="14"/>
        <v>100</v>
      </c>
      <c r="X46" s="1355"/>
      <c r="Y46" s="377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0"/>
      <c r="Q47" s="1352">
        <f t="shared" si="11"/>
        <v>111</v>
      </c>
      <c r="R47" s="705" t="s">
        <v>14</v>
      </c>
      <c r="S47" s="706">
        <f t="shared" si="12"/>
        <v>100</v>
      </c>
      <c r="T47" s="705" t="s">
        <v>14</v>
      </c>
      <c r="U47" s="706">
        <f t="shared" si="13"/>
        <v>100</v>
      </c>
      <c r="V47" s="705" t="s">
        <v>14</v>
      </c>
      <c r="W47" s="706">
        <f t="shared" si="14"/>
        <v>100</v>
      </c>
      <c r="X47" s="1355"/>
      <c r="Y47" s="377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46" t="str">
        <f>A48</f>
        <v>成交单价（元/平方米）</v>
      </c>
      <c r="Q48" s="3764"/>
      <c r="R48" s="3765">
        <f>E48</f>
        <v>0</v>
      </c>
      <c r="S48" s="3765"/>
      <c r="T48" s="3765">
        <f>G48</f>
        <v>0</v>
      </c>
      <c r="U48" s="3765"/>
      <c r="V48" s="3765">
        <f>I48</f>
        <v>0</v>
      </c>
      <c r="W48" s="376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6" t="str">
        <f>A49</f>
        <v>比较价值（元/平方米）</v>
      </c>
      <c r="Q49" s="3764"/>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2004-1</v>
      </c>
      <c r="D59" s="1185">
        <f>EDATE(C59,-1)</f>
        <v>37956</v>
      </c>
      <c r="E59" s="1185">
        <f>EDATE(D59,-1)</f>
        <v>37926</v>
      </c>
      <c r="F59" s="1185">
        <f t="shared" ref="F59:O59" si="16">EDATE(E59,-1)</f>
        <v>37895</v>
      </c>
      <c r="G59" s="1185">
        <f t="shared" si="16"/>
        <v>37865</v>
      </c>
      <c r="H59" s="1185">
        <f t="shared" si="16"/>
        <v>37834</v>
      </c>
      <c r="I59" s="1185">
        <f t="shared" si="16"/>
        <v>37803</v>
      </c>
      <c r="J59" s="1185">
        <f t="shared" si="16"/>
        <v>37773</v>
      </c>
      <c r="K59" s="1185">
        <f t="shared" si="16"/>
        <v>37742</v>
      </c>
      <c r="L59" s="1185">
        <f t="shared" si="16"/>
        <v>37712</v>
      </c>
      <c r="M59" s="1185">
        <f t="shared" si="16"/>
        <v>37681</v>
      </c>
      <c r="N59" s="1185">
        <f t="shared" si="16"/>
        <v>37653</v>
      </c>
      <c r="O59" s="1185">
        <f t="shared" si="16"/>
        <v>37622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估价对象为北京市房地产，为所有。根据《国有土地使用证》[]，估价对象（分摊）出让国有建设用地使用权面积为0平方米，建筑面积为93.83平方米。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估价对象为北京市房地产,属开发建设的，该项目尚在开发建设中。根据《国有土地使用证》[]，估价对象（分摊）出让国有建设用地使用权面积为0平方米，规划建筑面积为93.83平方米。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2004年1月31日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7" t="s">
        <v>1770</v>
      </c>
      <c r="D4" s="3748"/>
      <c r="E4" s="3749" t="s">
        <v>1771</v>
      </c>
      <c r="F4" s="3750"/>
      <c r="G4" s="3747" t="s">
        <v>1772</v>
      </c>
      <c r="H4" s="3748"/>
      <c r="I4" s="3747" t="s">
        <v>1773</v>
      </c>
      <c r="J4" s="3748"/>
      <c r="K4" s="559" t="s">
        <v>1774</v>
      </c>
      <c r="L4" s="913"/>
      <c r="M4" s="914"/>
      <c r="N4" s="914"/>
      <c r="O4" s="914"/>
      <c r="P4" s="3751" t="s">
        <v>1775</v>
      </c>
      <c r="Q4" s="3752"/>
      <c r="R4" s="3732" t="s">
        <v>1771</v>
      </c>
      <c r="S4" s="3733"/>
      <c r="T4" s="3732" t="s">
        <v>1772</v>
      </c>
      <c r="U4" s="3733"/>
      <c r="V4" s="3759" t="s">
        <v>1773</v>
      </c>
      <c r="W4" s="3759"/>
      <c r="X4" s="1355"/>
      <c r="Y4" s="3732" t="s">
        <v>1775</v>
      </c>
      <c r="Z4" s="3733"/>
      <c r="AA4" s="3727" t="s">
        <v>1771</v>
      </c>
      <c r="AB4" s="3728" t="s">
        <v>1772</v>
      </c>
      <c r="AC4" s="3727" t="s">
        <v>1773</v>
      </c>
    </row>
    <row r="5" spans="1:29">
      <c r="A5" s="358"/>
      <c r="B5" s="359"/>
      <c r="C5" s="3777" t="s">
        <v>1673</v>
      </c>
      <c r="D5" s="3739"/>
      <c r="E5" s="3775" t="s">
        <v>1674</v>
      </c>
      <c r="F5" s="3776"/>
      <c r="G5" s="3777" t="s">
        <v>1675</v>
      </c>
      <c r="H5" s="3739"/>
      <c r="I5" s="3777" t="s">
        <v>1676</v>
      </c>
      <c r="J5" s="3739"/>
      <c r="K5" s="559"/>
      <c r="L5" s="913"/>
      <c r="M5" s="914"/>
      <c r="N5" s="914"/>
      <c r="O5" s="914"/>
      <c r="P5" s="3753"/>
      <c r="Q5" s="3754"/>
      <c r="R5" s="3734"/>
      <c r="S5" s="3735"/>
      <c r="T5" s="3734"/>
      <c r="U5" s="3735"/>
      <c r="V5" s="3759"/>
      <c r="W5" s="3759"/>
      <c r="X5" s="1355"/>
      <c r="Y5" s="3734"/>
      <c r="Z5" s="3735"/>
      <c r="AA5" s="3728"/>
      <c r="AB5" s="3728"/>
      <c r="AC5" s="3728"/>
    </row>
    <row r="6" spans="1:29" ht="15" thickBot="1">
      <c r="A6" s="360"/>
      <c r="B6" s="361"/>
      <c r="C6" s="3778" t="s">
        <v>1677</v>
      </c>
      <c r="D6" s="3741"/>
      <c r="E6" s="3779" t="s">
        <v>1677</v>
      </c>
      <c r="F6" s="3745"/>
      <c r="G6" s="3778" t="s">
        <v>1677</v>
      </c>
      <c r="H6" s="3741"/>
      <c r="I6" s="3778" t="s">
        <v>1677</v>
      </c>
      <c r="J6" s="3741"/>
      <c r="K6" s="559" t="s">
        <v>1678</v>
      </c>
      <c r="L6" s="913"/>
      <c r="M6" s="914"/>
      <c r="N6" s="914"/>
      <c r="O6" s="914"/>
      <c r="P6" s="3755"/>
      <c r="Q6" s="3756"/>
      <c r="R6" s="3734"/>
      <c r="S6" s="3735"/>
      <c r="T6" s="3757"/>
      <c r="U6" s="3758"/>
      <c r="V6" s="3759"/>
      <c r="W6" s="3759"/>
      <c r="X6" s="1355"/>
      <c r="Y6" s="3757"/>
      <c r="Z6" s="3758"/>
      <c r="AA6" s="3729"/>
      <c r="AB6" s="3729"/>
      <c r="AC6" s="3729"/>
    </row>
    <row r="7" spans="1:29" s="108" customFormat="1" ht="15" thickBot="1">
      <c r="A7" s="362" t="s">
        <v>1679</v>
      </c>
      <c r="B7" s="363"/>
      <c r="C7" s="364">
        <f>'数据-取费表'!B2</f>
        <v>38017</v>
      </c>
      <c r="D7" s="365">
        <v>100</v>
      </c>
      <c r="E7" s="366"/>
      <c r="F7" s="367">
        <f>SUMIF(52:52,YEAR(E7)&amp;"-"&amp;MONTH(E7),53:53)</f>
        <v>0</v>
      </c>
      <c r="G7" s="366"/>
      <c r="H7" s="365">
        <f>SUMIF(52:52,YEAR(G7)&amp;"-"&amp;MONTH(G7),53:53)</f>
        <v>0</v>
      </c>
      <c r="I7" s="366"/>
      <c r="J7" s="365">
        <f>SUMIF(52:52,YEAR(I7)&amp;"-"&amp;MONTH(I7),53:53)</f>
        <v>0</v>
      </c>
      <c r="K7" s="560"/>
      <c r="L7" s="915"/>
      <c r="M7" s="916"/>
      <c r="N7" s="916"/>
      <c r="O7" s="916"/>
      <c r="P7" s="3730" t="s">
        <v>1680</v>
      </c>
      <c r="Q7" s="3760"/>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4" t="s">
        <v>1686</v>
      </c>
      <c r="Q9" s="1343"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4"/>
      <c r="Q10" s="1343"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4"/>
      <c r="Q11" s="1343" t="str">
        <f t="shared" si="6"/>
        <v>容积率</v>
      </c>
      <c r="R11" s="701" t="s">
        <v>14</v>
      </c>
      <c r="S11" s="702">
        <f t="shared" si="0"/>
        <v>100</v>
      </c>
      <c r="T11" s="701" t="s">
        <v>14</v>
      </c>
      <c r="U11" s="702">
        <f t="shared" si="1"/>
        <v>100</v>
      </c>
      <c r="V11" s="701" t="s">
        <v>14</v>
      </c>
      <c r="W11" s="702">
        <f t="shared" si="2"/>
        <v>100</v>
      </c>
      <c r="X11" s="703"/>
      <c r="Y11" s="36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4"/>
      <c r="Q12" s="1343">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4"/>
      <c r="Q13" s="1343">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4"/>
      <c r="Q14" s="1343">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6" t="s">
        <v>1691</v>
      </c>
      <c r="Q15" s="1352" t="str">
        <f t="shared" si="6"/>
        <v>产业集聚程度</v>
      </c>
      <c r="R15" s="705" t="s">
        <v>14</v>
      </c>
      <c r="S15" s="706">
        <f t="shared" si="0"/>
        <v>100</v>
      </c>
      <c r="T15" s="705" t="s">
        <v>14</v>
      </c>
      <c r="U15" s="706">
        <f t="shared" si="1"/>
        <v>100</v>
      </c>
      <c r="V15" s="705" t="s">
        <v>14</v>
      </c>
      <c r="W15" s="706">
        <f t="shared" si="2"/>
        <v>100</v>
      </c>
      <c r="X15" s="1355"/>
      <c r="Y15" s="37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7"/>
      <c r="Q16" s="1352"/>
      <c r="R16" s="705"/>
      <c r="S16" s="706"/>
      <c r="T16" s="705"/>
      <c r="U16" s="706"/>
      <c r="V16" s="705"/>
      <c r="W16" s="706"/>
      <c r="X16" s="1355"/>
      <c r="Y16" s="376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7"/>
      <c r="Q17" s="1352" t="str">
        <f>B17</f>
        <v>交通便捷度</v>
      </c>
      <c r="R17" s="705" t="s">
        <v>14</v>
      </c>
      <c r="S17" s="706">
        <f>F17</f>
        <v>100</v>
      </c>
      <c r="T17" s="705" t="s">
        <v>14</v>
      </c>
      <c r="U17" s="706">
        <f>H17</f>
        <v>100</v>
      </c>
      <c r="V17" s="705" t="s">
        <v>14</v>
      </c>
      <c r="W17" s="706">
        <f>J17</f>
        <v>100</v>
      </c>
      <c r="X17" s="1355"/>
      <c r="Y17" s="37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7"/>
      <c r="Q18" s="1352"/>
      <c r="R18" s="705"/>
      <c r="S18" s="706"/>
      <c r="T18" s="705"/>
      <c r="U18" s="706"/>
      <c r="V18" s="705"/>
      <c r="W18" s="706"/>
      <c r="X18" s="1355"/>
      <c r="Y18" s="376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7"/>
      <c r="Q19" s="1352" t="str">
        <f>B19</f>
        <v>公共配套设施</v>
      </c>
      <c r="R19" s="705" t="s">
        <v>14</v>
      </c>
      <c r="S19" s="706">
        <f>F19</f>
        <v>100</v>
      </c>
      <c r="T19" s="705" t="s">
        <v>14</v>
      </c>
      <c r="U19" s="706">
        <f>H19</f>
        <v>100</v>
      </c>
      <c r="V19" s="705" t="s">
        <v>14</v>
      </c>
      <c r="W19" s="706">
        <f>J19</f>
        <v>100</v>
      </c>
      <c r="X19" s="1355"/>
      <c r="Y19" s="37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7"/>
      <c r="Q20" s="1352"/>
      <c r="R20" s="705"/>
      <c r="S20" s="706"/>
      <c r="T20" s="705"/>
      <c r="U20" s="706"/>
      <c r="V20" s="705"/>
      <c r="W20" s="706"/>
      <c r="X20" s="1355"/>
      <c r="Y20" s="376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7"/>
      <c r="Q21" s="1352" t="str">
        <f>B21</f>
        <v>基础设施水平</v>
      </c>
      <c r="R21" s="705" t="s">
        <v>14</v>
      </c>
      <c r="S21" s="706">
        <f>F21</f>
        <v>100</v>
      </c>
      <c r="T21" s="705" t="s">
        <v>14</v>
      </c>
      <c r="U21" s="706">
        <f>H21</f>
        <v>100</v>
      </c>
      <c r="V21" s="705" t="s">
        <v>14</v>
      </c>
      <c r="W21" s="706">
        <f>J21</f>
        <v>100</v>
      </c>
      <c r="X21" s="1355"/>
      <c r="Y21" s="37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7"/>
      <c r="Q22" s="1352"/>
      <c r="R22" s="705"/>
      <c r="S22" s="706"/>
      <c r="T22" s="705"/>
      <c r="U22" s="706"/>
      <c r="V22" s="705"/>
      <c r="W22" s="706"/>
      <c r="X22" s="1355"/>
      <c r="Y22" s="376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7"/>
      <c r="Q23" s="1352" t="str">
        <f>B23</f>
        <v>环境质量</v>
      </c>
      <c r="R23" s="705" t="s">
        <v>14</v>
      </c>
      <c r="S23" s="706">
        <f>F23</f>
        <v>100</v>
      </c>
      <c r="T23" s="705" t="s">
        <v>14</v>
      </c>
      <c r="U23" s="706">
        <f>H23</f>
        <v>100</v>
      </c>
      <c r="V23" s="705" t="s">
        <v>14</v>
      </c>
      <c r="W23" s="706">
        <f>J23</f>
        <v>100</v>
      </c>
      <c r="X23" s="1355"/>
      <c r="Y23" s="37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7"/>
      <c r="Q24" s="1352"/>
      <c r="R24" s="705"/>
      <c r="S24" s="706"/>
      <c r="T24" s="705"/>
      <c r="U24" s="706"/>
      <c r="V24" s="705"/>
      <c r="W24" s="706"/>
      <c r="X24" s="1355"/>
      <c r="Y24" s="37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7"/>
      <c r="Q25" s="1352">
        <f>B25</f>
        <v>111</v>
      </c>
      <c r="R25" s="705" t="s">
        <v>14</v>
      </c>
      <c r="S25" s="706">
        <f>F25</f>
        <v>100</v>
      </c>
      <c r="T25" s="705" t="s">
        <v>14</v>
      </c>
      <c r="U25" s="706">
        <f>H25</f>
        <v>100</v>
      </c>
      <c r="V25" s="705" t="s">
        <v>14</v>
      </c>
      <c r="W25" s="706">
        <f>J25</f>
        <v>100</v>
      </c>
      <c r="X25" s="1355"/>
      <c r="Y25" s="37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7"/>
      <c r="Q26" s="1352">
        <f t="shared" ref="Q26:Q40" si="11">B26</f>
        <v>111</v>
      </c>
      <c r="R26" s="705" t="s">
        <v>14</v>
      </c>
      <c r="S26" s="706">
        <f>F26</f>
        <v>100</v>
      </c>
      <c r="T26" s="705" t="s">
        <v>14</v>
      </c>
      <c r="U26" s="706">
        <f>H26</f>
        <v>100</v>
      </c>
      <c r="V26" s="705" t="s">
        <v>14</v>
      </c>
      <c r="W26" s="706">
        <f>J26</f>
        <v>100</v>
      </c>
      <c r="X26" s="1355"/>
      <c r="Y26" s="37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7"/>
      <c r="Q27" s="1343">
        <f t="shared" si="11"/>
        <v>111</v>
      </c>
      <c r="R27" s="701" t="s">
        <v>14</v>
      </c>
      <c r="S27" s="702">
        <f>F27</f>
        <v>100</v>
      </c>
      <c r="T27" s="701" t="s">
        <v>14</v>
      </c>
      <c r="U27" s="702">
        <f>H27</f>
        <v>100</v>
      </c>
      <c r="V27" s="701" t="s">
        <v>14</v>
      </c>
      <c r="W27" s="702">
        <f>J27</f>
        <v>100</v>
      </c>
      <c r="X27" s="703"/>
      <c r="Y27" s="376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7"/>
      <c r="Q28" s="1352">
        <f t="shared" si="11"/>
        <v>111</v>
      </c>
      <c r="R28" s="705" t="s">
        <v>14</v>
      </c>
      <c r="S28" s="706">
        <f t="shared" ref="S28:S40" si="12">F28</f>
        <v>100</v>
      </c>
      <c r="T28" s="705" t="s">
        <v>14</v>
      </c>
      <c r="U28" s="706">
        <f t="shared" ref="U28:U40" si="13">H28</f>
        <v>100</v>
      </c>
      <c r="V28" s="705" t="s">
        <v>14</v>
      </c>
      <c r="W28" s="706">
        <f t="shared" ref="W28:W40" si="14">J28</f>
        <v>100</v>
      </c>
      <c r="X28" s="1355"/>
      <c r="Y28" s="376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5" t="s">
        <v>1696</v>
      </c>
      <c r="Q29" s="1352" t="str">
        <f t="shared" si="11"/>
        <v>建筑类型</v>
      </c>
      <c r="R29" s="705" t="s">
        <v>14</v>
      </c>
      <c r="S29" s="706">
        <f t="shared" si="12"/>
        <v>100</v>
      </c>
      <c r="T29" s="705" t="s">
        <v>14</v>
      </c>
      <c r="U29" s="706">
        <f t="shared" si="13"/>
        <v>100</v>
      </c>
      <c r="V29" s="705" t="s">
        <v>14</v>
      </c>
      <c r="W29" s="706">
        <f t="shared" si="14"/>
        <v>100</v>
      </c>
      <c r="X29" s="1355"/>
      <c r="Y29" s="37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1"/>
      <c r="Q30" s="707" t="str">
        <f t="shared" si="11"/>
        <v>项目建筑规模</v>
      </c>
      <c r="R30" s="708" t="s">
        <v>14</v>
      </c>
      <c r="S30" s="709" t="e">
        <f t="shared" si="12"/>
        <v>#N/A</v>
      </c>
      <c r="T30" s="708" t="s">
        <v>14</v>
      </c>
      <c r="U30" s="709" t="e">
        <f t="shared" si="13"/>
        <v>#N/A</v>
      </c>
      <c r="V30" s="708" t="s">
        <v>14</v>
      </c>
      <c r="W30" s="709" t="e">
        <f t="shared" si="14"/>
        <v>#N/A</v>
      </c>
      <c r="X30" s="710"/>
      <c r="Y30" s="37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1"/>
      <c r="Q31" s="1352" t="str">
        <f t="shared" si="11"/>
        <v>建筑结构</v>
      </c>
      <c r="R31" s="705" t="s">
        <v>14</v>
      </c>
      <c r="S31" s="706">
        <f t="shared" si="12"/>
        <v>100</v>
      </c>
      <c r="T31" s="705" t="s">
        <v>14</v>
      </c>
      <c r="U31" s="706">
        <f t="shared" si="13"/>
        <v>100</v>
      </c>
      <c r="V31" s="705" t="s">
        <v>14</v>
      </c>
      <c r="W31" s="706">
        <f t="shared" si="14"/>
        <v>100</v>
      </c>
      <c r="X31" s="1355"/>
      <c r="Y31" s="37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1"/>
      <c r="Q32" s="1352" t="str">
        <f t="shared" si="11"/>
        <v>公共部分装修</v>
      </c>
      <c r="R32" s="705" t="s">
        <v>14</v>
      </c>
      <c r="S32" s="706">
        <f t="shared" si="12"/>
        <v>100</v>
      </c>
      <c r="T32" s="705" t="s">
        <v>14</v>
      </c>
      <c r="U32" s="706">
        <f t="shared" si="13"/>
        <v>100</v>
      </c>
      <c r="V32" s="705" t="s">
        <v>14</v>
      </c>
      <c r="W32" s="706">
        <f t="shared" si="14"/>
        <v>100</v>
      </c>
      <c r="X32" s="1355"/>
      <c r="Y32" s="37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1"/>
      <c r="Q33" s="1352" t="str">
        <f t="shared" si="11"/>
        <v>成新度</v>
      </c>
      <c r="R33" s="705" t="s">
        <v>14</v>
      </c>
      <c r="S33" s="706" t="e">
        <f t="shared" si="12"/>
        <v>#N/A</v>
      </c>
      <c r="T33" s="705" t="s">
        <v>14</v>
      </c>
      <c r="U33" s="706" t="e">
        <f t="shared" si="13"/>
        <v>#N/A</v>
      </c>
      <c r="V33" s="705" t="s">
        <v>14</v>
      </c>
      <c r="W33" s="706" t="e">
        <f t="shared" si="14"/>
        <v>#N/A</v>
      </c>
      <c r="X33" s="1355"/>
      <c r="Y33" s="37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1"/>
      <c r="Q34" s="1343" t="str">
        <f t="shared" si="11"/>
        <v>物业管理</v>
      </c>
      <c r="R34" s="701" t="s">
        <v>14</v>
      </c>
      <c r="S34" s="702">
        <f t="shared" si="12"/>
        <v>100</v>
      </c>
      <c r="T34" s="701" t="s">
        <v>14</v>
      </c>
      <c r="U34" s="702">
        <f t="shared" si="13"/>
        <v>100</v>
      </c>
      <c r="V34" s="701" t="s">
        <v>14</v>
      </c>
      <c r="W34" s="702">
        <f t="shared" si="14"/>
        <v>100</v>
      </c>
      <c r="X34" s="703"/>
      <c r="Y34" s="37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1" t="s">
        <v>1696</v>
      </c>
      <c r="Q35" s="1352" t="str">
        <f t="shared" si="11"/>
        <v>市政基础设施</v>
      </c>
      <c r="R35" s="705" t="s">
        <v>14</v>
      </c>
      <c r="S35" s="706">
        <f t="shared" si="12"/>
        <v>100</v>
      </c>
      <c r="T35" s="705" t="s">
        <v>14</v>
      </c>
      <c r="U35" s="706">
        <f t="shared" si="13"/>
        <v>100</v>
      </c>
      <c r="V35" s="705" t="s">
        <v>14</v>
      </c>
      <c r="W35" s="706">
        <f t="shared" si="14"/>
        <v>100</v>
      </c>
      <c r="X35" s="1355"/>
      <c r="Y35" s="37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1"/>
      <c r="Q36" s="1352" t="str">
        <f t="shared" si="11"/>
        <v>内部装修</v>
      </c>
      <c r="R36" s="705" t="s">
        <v>14</v>
      </c>
      <c r="S36" s="706">
        <f t="shared" si="12"/>
        <v>100</v>
      </c>
      <c r="T36" s="705" t="s">
        <v>14</v>
      </c>
      <c r="U36" s="706">
        <f t="shared" si="13"/>
        <v>100</v>
      </c>
      <c r="V36" s="705" t="s">
        <v>14</v>
      </c>
      <c r="W36" s="706">
        <f t="shared" si="14"/>
        <v>100</v>
      </c>
      <c r="X36" s="1355"/>
      <c r="Y36" s="37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1"/>
      <c r="Q37" s="1352" t="str">
        <f t="shared" si="11"/>
        <v>内部装修状况</v>
      </c>
      <c r="R37" s="705" t="s">
        <v>14</v>
      </c>
      <c r="S37" s="706">
        <f t="shared" si="12"/>
        <v>100</v>
      </c>
      <c r="T37" s="705" t="s">
        <v>14</v>
      </c>
      <c r="U37" s="706">
        <f t="shared" si="13"/>
        <v>100</v>
      </c>
      <c r="V37" s="705" t="s">
        <v>14</v>
      </c>
      <c r="W37" s="706">
        <f t="shared" si="14"/>
        <v>100</v>
      </c>
      <c r="X37" s="1355"/>
      <c r="Y37" s="37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1"/>
      <c r="Q38" s="707">
        <f t="shared" si="11"/>
        <v>111</v>
      </c>
      <c r="R38" s="708" t="s">
        <v>14</v>
      </c>
      <c r="S38" s="709">
        <f t="shared" si="12"/>
        <v>100</v>
      </c>
      <c r="T38" s="708" t="s">
        <v>14</v>
      </c>
      <c r="U38" s="709">
        <f t="shared" si="13"/>
        <v>100</v>
      </c>
      <c r="V38" s="708" t="s">
        <v>14</v>
      </c>
      <c r="W38" s="709">
        <f t="shared" si="14"/>
        <v>100</v>
      </c>
      <c r="X38" s="710"/>
      <c r="Y38" s="37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1"/>
      <c r="Q39" s="1352">
        <f t="shared" si="11"/>
        <v>111</v>
      </c>
      <c r="R39" s="705" t="s">
        <v>14</v>
      </c>
      <c r="S39" s="706">
        <f t="shared" si="12"/>
        <v>100</v>
      </c>
      <c r="T39" s="705" t="s">
        <v>14</v>
      </c>
      <c r="U39" s="706">
        <f t="shared" si="13"/>
        <v>100</v>
      </c>
      <c r="V39" s="705" t="s">
        <v>14</v>
      </c>
      <c r="W39" s="706">
        <f t="shared" si="14"/>
        <v>100</v>
      </c>
      <c r="X39" s="1355"/>
      <c r="Y39" s="377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2"/>
      <c r="Q40" s="1352">
        <f t="shared" si="11"/>
        <v>111</v>
      </c>
      <c r="R40" s="705" t="s">
        <v>14</v>
      </c>
      <c r="S40" s="706">
        <f t="shared" si="12"/>
        <v>100</v>
      </c>
      <c r="T40" s="705" t="s">
        <v>14</v>
      </c>
      <c r="U40" s="706">
        <f t="shared" si="13"/>
        <v>100</v>
      </c>
      <c r="V40" s="705" t="s">
        <v>14</v>
      </c>
      <c r="W40" s="706">
        <f t="shared" si="14"/>
        <v>100</v>
      </c>
      <c r="X40" s="1355"/>
      <c r="Y40" s="377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64" t="str">
        <f>A41</f>
        <v>成交单价（元/平方米）</v>
      </c>
      <c r="Q41" s="3764"/>
      <c r="R41" s="3765">
        <f>E41</f>
        <v>0</v>
      </c>
      <c r="S41" s="3765"/>
      <c r="T41" s="3765">
        <f>G41</f>
        <v>0</v>
      </c>
      <c r="U41" s="3765"/>
      <c r="V41" s="3765">
        <f>I41</f>
        <v>0</v>
      </c>
      <c r="W41" s="376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61" t="str">
        <f>A43</f>
        <v>估价对象XX用房的比较价值（楼面单价，元/平方米）</v>
      </c>
      <c r="Q43" s="3762"/>
      <c r="R43" s="3763" t="e">
        <f>IF(F1="售价",ROUND(IF(D42="简单平均",AVERAGE(R42:V42),R42*F42+T42*H42+V42*J42),0),ROUND(IF(D42="简单平均",AVERAGE(R42:V42),R42*F42+T42*H42+V42*J42),1))</f>
        <v>#DIV/0!</v>
      </c>
      <c r="S43" s="3763"/>
      <c r="T43" s="3763"/>
      <c r="U43" s="3763"/>
      <c r="V43" s="3763"/>
      <c r="W43" s="37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2004-1</v>
      </c>
      <c r="D52" s="1185">
        <f>EDATE(C52,-1)</f>
        <v>37956</v>
      </c>
      <c r="E52" s="1185">
        <f t="shared" ref="E52:O52" si="16">EDATE(D52,-1)</f>
        <v>37926</v>
      </c>
      <c r="F52" s="1185">
        <f t="shared" si="16"/>
        <v>37895</v>
      </c>
      <c r="G52" s="1185">
        <f t="shared" si="16"/>
        <v>37865</v>
      </c>
      <c r="H52" s="1185">
        <f t="shared" si="16"/>
        <v>37834</v>
      </c>
      <c r="I52" s="1185">
        <f t="shared" si="16"/>
        <v>37803</v>
      </c>
      <c r="J52" s="1185">
        <f t="shared" si="16"/>
        <v>37773</v>
      </c>
      <c r="K52" s="1185">
        <f t="shared" si="16"/>
        <v>37742</v>
      </c>
      <c r="L52" s="1185">
        <f t="shared" si="16"/>
        <v>37712</v>
      </c>
      <c r="M52" s="1185">
        <f t="shared" si="16"/>
        <v>37681</v>
      </c>
      <c r="N52" s="1185">
        <f t="shared" si="16"/>
        <v>37653</v>
      </c>
      <c r="O52" s="1185">
        <f t="shared" si="16"/>
        <v>37622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7" t="s">
        <v>1770</v>
      </c>
      <c r="D4" s="3748"/>
      <c r="E4" s="3749" t="s">
        <v>1771</v>
      </c>
      <c r="F4" s="3750"/>
      <c r="G4" s="3747" t="s">
        <v>1772</v>
      </c>
      <c r="H4" s="3748"/>
      <c r="I4" s="3747" t="s">
        <v>1773</v>
      </c>
      <c r="J4" s="3748"/>
      <c r="K4" s="559" t="s">
        <v>1774</v>
      </c>
      <c r="L4" s="2715"/>
      <c r="M4" s="2716"/>
      <c r="N4" s="2716"/>
      <c r="O4" s="2716"/>
      <c r="P4" s="3751" t="s">
        <v>1775</v>
      </c>
      <c r="Q4" s="3752"/>
      <c r="R4" s="3732" t="s">
        <v>1771</v>
      </c>
      <c r="S4" s="3733"/>
      <c r="T4" s="3732" t="s">
        <v>1772</v>
      </c>
      <c r="U4" s="3733"/>
      <c r="V4" s="3759" t="s">
        <v>1773</v>
      </c>
      <c r="W4" s="3759"/>
      <c r="X4" s="1355"/>
      <c r="Y4" s="3732" t="s">
        <v>1775</v>
      </c>
      <c r="Z4" s="3733"/>
      <c r="AA4" s="3727" t="s">
        <v>1771</v>
      </c>
      <c r="AB4" s="3728" t="s">
        <v>1772</v>
      </c>
      <c r="AC4" s="3727" t="s">
        <v>1773</v>
      </c>
    </row>
    <row r="5" spans="1:29">
      <c r="A5" s="358"/>
      <c r="B5" s="359"/>
      <c r="C5" s="3777" t="s">
        <v>1673</v>
      </c>
      <c r="D5" s="3739"/>
      <c r="E5" s="3775" t="s">
        <v>1674</v>
      </c>
      <c r="F5" s="3776"/>
      <c r="G5" s="3777" t="s">
        <v>1675</v>
      </c>
      <c r="H5" s="3739"/>
      <c r="I5" s="3777" t="s">
        <v>1676</v>
      </c>
      <c r="J5" s="3739"/>
      <c r="K5" s="559"/>
      <c r="L5" s="2715"/>
      <c r="M5" s="2716"/>
      <c r="N5" s="2716"/>
      <c r="O5" s="2716"/>
      <c r="P5" s="3753"/>
      <c r="Q5" s="3754"/>
      <c r="R5" s="3734"/>
      <c r="S5" s="3735"/>
      <c r="T5" s="3734"/>
      <c r="U5" s="3735"/>
      <c r="V5" s="3759"/>
      <c r="W5" s="3759"/>
      <c r="X5" s="1355"/>
      <c r="Y5" s="3734"/>
      <c r="Z5" s="3735"/>
      <c r="AA5" s="3728"/>
      <c r="AB5" s="3728"/>
      <c r="AC5" s="3728"/>
    </row>
    <row r="6" spans="1:29" ht="15" thickBot="1">
      <c r="A6" s="360"/>
      <c r="B6" s="361"/>
      <c r="C6" s="3778" t="s">
        <v>1677</v>
      </c>
      <c r="D6" s="3741"/>
      <c r="E6" s="3779" t="s">
        <v>1677</v>
      </c>
      <c r="F6" s="3745"/>
      <c r="G6" s="3778" t="s">
        <v>1677</v>
      </c>
      <c r="H6" s="3741"/>
      <c r="I6" s="3778" t="s">
        <v>1677</v>
      </c>
      <c r="J6" s="3741"/>
      <c r="K6" s="559" t="s">
        <v>1678</v>
      </c>
      <c r="L6" s="2715"/>
      <c r="M6" s="2716"/>
      <c r="N6" s="2716"/>
      <c r="O6" s="2716"/>
      <c r="P6" s="3755"/>
      <c r="Q6" s="3756"/>
      <c r="R6" s="3734"/>
      <c r="S6" s="3735"/>
      <c r="T6" s="3757"/>
      <c r="U6" s="3758"/>
      <c r="V6" s="3759"/>
      <c r="W6" s="3759"/>
      <c r="X6" s="1355"/>
      <c r="Y6" s="3757"/>
      <c r="Z6" s="3758"/>
      <c r="AA6" s="3729"/>
      <c r="AB6" s="3729"/>
      <c r="AC6" s="3729"/>
    </row>
    <row r="7" spans="1:29" s="108" customFormat="1" ht="15" thickBot="1">
      <c r="A7" s="362" t="s">
        <v>1679</v>
      </c>
      <c r="B7" s="363"/>
      <c r="C7" s="364">
        <f>'数据-取费表'!B2</f>
        <v>38017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0" t="s">
        <v>1680</v>
      </c>
      <c r="Q7" s="3760"/>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4" t="s">
        <v>1686</v>
      </c>
      <c r="Q9" s="1343" t="str">
        <f t="shared" ref="Q9:Q14" si="6">B9</f>
        <v>用途</v>
      </c>
      <c r="R9" s="701" t="s">
        <v>14</v>
      </c>
      <c r="S9" s="702">
        <f t="shared" si="0"/>
        <v>100</v>
      </c>
      <c r="T9" s="701" t="s">
        <v>14</v>
      </c>
      <c r="U9" s="702">
        <f t="shared" si="1"/>
        <v>100</v>
      </c>
      <c r="V9" s="701" t="s">
        <v>14</v>
      </c>
      <c r="W9" s="702">
        <f t="shared" si="2"/>
        <v>100</v>
      </c>
      <c r="X9" s="703"/>
      <c r="Y9" s="367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4"/>
      <c r="Q10" s="1343"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4"/>
      <c r="Q11" s="1343">
        <f t="shared" si="6"/>
        <v>111</v>
      </c>
      <c r="R11" s="701" t="s">
        <v>14</v>
      </c>
      <c r="S11" s="702">
        <f t="shared" si="0"/>
        <v>100</v>
      </c>
      <c r="T11" s="701" t="s">
        <v>14</v>
      </c>
      <c r="U11" s="702">
        <f t="shared" si="1"/>
        <v>100</v>
      </c>
      <c r="V11" s="701" t="s">
        <v>14</v>
      </c>
      <c r="W11" s="702">
        <f t="shared" si="2"/>
        <v>100</v>
      </c>
      <c r="X11" s="703"/>
      <c r="Y11" s="36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4"/>
      <c r="Q12" s="1343">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4"/>
      <c r="Q13" s="1343">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6" t="s">
        <v>1691</v>
      </c>
      <c r="Q14" s="1352" t="str">
        <f t="shared" si="6"/>
        <v>交通便捷度</v>
      </c>
      <c r="R14" s="705" t="s">
        <v>14</v>
      </c>
      <c r="S14" s="706">
        <f t="shared" si="0"/>
        <v>100</v>
      </c>
      <c r="T14" s="705" t="s">
        <v>14</v>
      </c>
      <c r="U14" s="706">
        <f t="shared" si="1"/>
        <v>100</v>
      </c>
      <c r="V14" s="705" t="s">
        <v>14</v>
      </c>
      <c r="W14" s="706">
        <f t="shared" si="2"/>
        <v>100</v>
      </c>
      <c r="X14" s="1355"/>
      <c r="Y14" s="37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7"/>
      <c r="Q15" s="1352"/>
      <c r="R15" s="705"/>
      <c r="S15" s="706"/>
      <c r="T15" s="705"/>
      <c r="U15" s="706"/>
      <c r="V15" s="705"/>
      <c r="W15" s="706"/>
      <c r="X15" s="1355"/>
      <c r="Y15" s="376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7"/>
      <c r="Q16" s="1352" t="str">
        <f>B16</f>
        <v>公共配套设施</v>
      </c>
      <c r="R16" s="705" t="s">
        <v>14</v>
      </c>
      <c r="S16" s="706">
        <f>F16</f>
        <v>100</v>
      </c>
      <c r="T16" s="705" t="s">
        <v>14</v>
      </c>
      <c r="U16" s="706">
        <f>H16</f>
        <v>100</v>
      </c>
      <c r="V16" s="705" t="s">
        <v>14</v>
      </c>
      <c r="W16" s="706">
        <f>J16</f>
        <v>100</v>
      </c>
      <c r="X16" s="1355"/>
      <c r="Y16" s="37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7"/>
      <c r="Q17" s="1352"/>
      <c r="R17" s="705"/>
      <c r="S17" s="706"/>
      <c r="T17" s="705"/>
      <c r="U17" s="706"/>
      <c r="V17" s="705"/>
      <c r="W17" s="706"/>
      <c r="X17" s="1355"/>
      <c r="Y17" s="376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7"/>
      <c r="Q18" s="1352" t="str">
        <f>B18</f>
        <v>基础设施水平</v>
      </c>
      <c r="R18" s="705" t="s">
        <v>14</v>
      </c>
      <c r="S18" s="706">
        <f>F18</f>
        <v>100</v>
      </c>
      <c r="T18" s="705" t="s">
        <v>14</v>
      </c>
      <c r="U18" s="706">
        <f>H18</f>
        <v>100</v>
      </c>
      <c r="V18" s="705" t="s">
        <v>14</v>
      </c>
      <c r="W18" s="706">
        <f>J18</f>
        <v>100</v>
      </c>
      <c r="X18" s="1355"/>
      <c r="Y18" s="37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7"/>
      <c r="Q19" s="1352"/>
      <c r="R19" s="705"/>
      <c r="S19" s="706"/>
      <c r="T19" s="705"/>
      <c r="U19" s="706"/>
      <c r="V19" s="705"/>
      <c r="W19" s="706"/>
      <c r="X19" s="1355"/>
      <c r="Y19" s="376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7"/>
      <c r="Q20" s="1352" t="str">
        <f>B20</f>
        <v>自然及人文环境</v>
      </c>
      <c r="R20" s="705" t="s">
        <v>14</v>
      </c>
      <c r="S20" s="706">
        <f>F20</f>
        <v>100</v>
      </c>
      <c r="T20" s="705" t="s">
        <v>14</v>
      </c>
      <c r="U20" s="706">
        <f>H20</f>
        <v>100</v>
      </c>
      <c r="V20" s="705" t="s">
        <v>14</v>
      </c>
      <c r="W20" s="706">
        <f>J20</f>
        <v>100</v>
      </c>
      <c r="X20" s="1355"/>
      <c r="Y20" s="37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7"/>
      <c r="Q21" s="1352"/>
      <c r="R21" s="705"/>
      <c r="S21" s="706"/>
      <c r="T21" s="705"/>
      <c r="U21" s="706"/>
      <c r="V21" s="705"/>
      <c r="W21" s="706"/>
      <c r="X21" s="1355"/>
      <c r="Y21" s="37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7"/>
      <c r="Q22" s="1352" t="str">
        <f>B22</f>
        <v>楼层</v>
      </c>
      <c r="R22" s="705" t="s">
        <v>14</v>
      </c>
      <c r="S22" s="706">
        <f>F22</f>
        <v>100</v>
      </c>
      <c r="T22" s="705" t="s">
        <v>14</v>
      </c>
      <c r="U22" s="706">
        <f>H22</f>
        <v>100</v>
      </c>
      <c r="V22" s="705" t="s">
        <v>14</v>
      </c>
      <c r="W22" s="706">
        <f>J22</f>
        <v>100</v>
      </c>
      <c r="X22" s="1355"/>
      <c r="Y22" s="37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7"/>
      <c r="Q23" s="1352">
        <f>B23</f>
        <v>111</v>
      </c>
      <c r="R23" s="705" t="s">
        <v>14</v>
      </c>
      <c r="S23" s="706">
        <f>F23</f>
        <v>100</v>
      </c>
      <c r="T23" s="705" t="s">
        <v>14</v>
      </c>
      <c r="U23" s="706">
        <f>H23</f>
        <v>100</v>
      </c>
      <c r="V23" s="705" t="s">
        <v>14</v>
      </c>
      <c r="W23" s="706">
        <f>J23</f>
        <v>100</v>
      </c>
      <c r="X23" s="1355"/>
      <c r="Y23" s="37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7"/>
      <c r="Q24" s="1352">
        <f t="shared" ref="Q24:Q36" si="11">B24</f>
        <v>111</v>
      </c>
      <c r="R24" s="705" t="s">
        <v>14</v>
      </c>
      <c r="S24" s="706">
        <f>F24</f>
        <v>100</v>
      </c>
      <c r="T24" s="705" t="s">
        <v>14</v>
      </c>
      <c r="U24" s="706">
        <f>H24</f>
        <v>100</v>
      </c>
      <c r="V24" s="705" t="s">
        <v>14</v>
      </c>
      <c r="W24" s="706">
        <f>J24</f>
        <v>100</v>
      </c>
      <c r="X24" s="1355"/>
      <c r="Y24" s="376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7"/>
      <c r="Q25" s="1343">
        <f t="shared" si="11"/>
        <v>111</v>
      </c>
      <c r="R25" s="701" t="s">
        <v>14</v>
      </c>
      <c r="S25" s="702">
        <f>F25</f>
        <v>100</v>
      </c>
      <c r="T25" s="701" t="s">
        <v>14</v>
      </c>
      <c r="U25" s="702">
        <f>H25</f>
        <v>100</v>
      </c>
      <c r="V25" s="701" t="s">
        <v>14</v>
      </c>
      <c r="W25" s="702">
        <f>J25</f>
        <v>100</v>
      </c>
      <c r="X25" s="703"/>
      <c r="Y25" s="376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1"/>
      <c r="Q27" s="707" t="str">
        <f t="shared" si="11"/>
        <v>项目停车位配比</v>
      </c>
      <c r="R27" s="708" t="s">
        <v>14</v>
      </c>
      <c r="S27" s="709">
        <f t="shared" si="12"/>
        <v>100</v>
      </c>
      <c r="T27" s="708" t="s">
        <v>14</v>
      </c>
      <c r="U27" s="709">
        <f t="shared" si="13"/>
        <v>100</v>
      </c>
      <c r="V27" s="708" t="s">
        <v>14</v>
      </c>
      <c r="W27" s="709">
        <f t="shared" si="14"/>
        <v>100</v>
      </c>
      <c r="X27" s="710"/>
      <c r="Y27" s="37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1"/>
      <c r="Q28" s="1352" t="str">
        <f t="shared" si="11"/>
        <v>公共部分装修</v>
      </c>
      <c r="R28" s="705" t="s">
        <v>14</v>
      </c>
      <c r="S28" s="706">
        <f t="shared" si="12"/>
        <v>100</v>
      </c>
      <c r="T28" s="705" t="s">
        <v>14</v>
      </c>
      <c r="U28" s="706">
        <f t="shared" si="13"/>
        <v>100</v>
      </c>
      <c r="V28" s="705" t="s">
        <v>14</v>
      </c>
      <c r="W28" s="706">
        <f t="shared" si="14"/>
        <v>100</v>
      </c>
      <c r="X28" s="1355"/>
      <c r="Y28" s="37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1"/>
      <c r="Q29" s="1352" t="str">
        <f t="shared" si="11"/>
        <v>成新率</v>
      </c>
      <c r="R29" s="705" t="s">
        <v>14</v>
      </c>
      <c r="S29" s="706" t="e">
        <f t="shared" si="12"/>
        <v>#N/A</v>
      </c>
      <c r="T29" s="705" t="s">
        <v>14</v>
      </c>
      <c r="U29" s="706" t="e">
        <f t="shared" si="13"/>
        <v>#N/A</v>
      </c>
      <c r="V29" s="705" t="s">
        <v>14</v>
      </c>
      <c r="W29" s="706" t="e">
        <f t="shared" si="14"/>
        <v>#N/A</v>
      </c>
      <c r="X29" s="1355"/>
      <c r="Y29" s="37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1"/>
      <c r="Q30" s="1352" t="str">
        <f t="shared" si="11"/>
        <v>物业等级</v>
      </c>
      <c r="R30" s="705" t="s">
        <v>14</v>
      </c>
      <c r="S30" s="706">
        <f t="shared" si="12"/>
        <v>100</v>
      </c>
      <c r="T30" s="705" t="s">
        <v>14</v>
      </c>
      <c r="U30" s="706">
        <f t="shared" si="13"/>
        <v>100</v>
      </c>
      <c r="V30" s="705" t="s">
        <v>14</v>
      </c>
      <c r="W30" s="706">
        <f t="shared" si="14"/>
        <v>100</v>
      </c>
      <c r="X30" s="1355"/>
      <c r="Y30" s="37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1"/>
      <c r="Q31" s="1343" t="str">
        <f t="shared" si="11"/>
        <v>停车位面积</v>
      </c>
      <c r="R31" s="701" t="s">
        <v>14</v>
      </c>
      <c r="S31" s="702" t="e">
        <f t="shared" si="12"/>
        <v>#N/A</v>
      </c>
      <c r="T31" s="701" t="s">
        <v>14</v>
      </c>
      <c r="U31" s="702" t="e">
        <f t="shared" si="13"/>
        <v>#N/A</v>
      </c>
      <c r="V31" s="701" t="s">
        <v>14</v>
      </c>
      <c r="W31" s="702" t="e">
        <f t="shared" si="14"/>
        <v>#N/A</v>
      </c>
      <c r="X31" s="703"/>
      <c r="Y31" s="37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1" t="s">
        <v>1696</v>
      </c>
      <c r="Q32" s="1352" t="str">
        <f t="shared" si="11"/>
        <v>车位类型</v>
      </c>
      <c r="R32" s="705" t="s">
        <v>14</v>
      </c>
      <c r="S32" s="706">
        <f t="shared" si="12"/>
        <v>100</v>
      </c>
      <c r="T32" s="705" t="s">
        <v>14</v>
      </c>
      <c r="U32" s="706">
        <f t="shared" si="13"/>
        <v>100</v>
      </c>
      <c r="V32" s="705" t="s">
        <v>14</v>
      </c>
      <c r="W32" s="706">
        <f t="shared" si="14"/>
        <v>100</v>
      </c>
      <c r="X32" s="1355"/>
      <c r="Y32" s="37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1"/>
      <c r="Q33" s="1352" t="str">
        <f t="shared" si="11"/>
        <v>是否直接入户</v>
      </c>
      <c r="R33" s="705" t="s">
        <v>14</v>
      </c>
      <c r="S33" s="706">
        <f t="shared" si="12"/>
        <v>100</v>
      </c>
      <c r="T33" s="705" t="s">
        <v>14</v>
      </c>
      <c r="U33" s="706">
        <f t="shared" si="13"/>
        <v>100</v>
      </c>
      <c r="V33" s="705" t="s">
        <v>14</v>
      </c>
      <c r="W33" s="706">
        <f t="shared" si="14"/>
        <v>100</v>
      </c>
      <c r="X33" s="1355"/>
      <c r="Y33" s="37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1"/>
      <c r="Q34" s="1352">
        <f t="shared" si="11"/>
        <v>111</v>
      </c>
      <c r="R34" s="705" t="s">
        <v>14</v>
      </c>
      <c r="S34" s="706">
        <f t="shared" si="12"/>
        <v>100</v>
      </c>
      <c r="T34" s="705" t="s">
        <v>14</v>
      </c>
      <c r="U34" s="706">
        <f t="shared" si="13"/>
        <v>100</v>
      </c>
      <c r="V34" s="705" t="s">
        <v>14</v>
      </c>
      <c r="W34" s="706">
        <f t="shared" si="14"/>
        <v>100</v>
      </c>
      <c r="X34" s="1355"/>
      <c r="Y34" s="37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1"/>
      <c r="Q35" s="707">
        <f t="shared" si="11"/>
        <v>111</v>
      </c>
      <c r="R35" s="708" t="s">
        <v>14</v>
      </c>
      <c r="S35" s="709">
        <f t="shared" si="12"/>
        <v>100</v>
      </c>
      <c r="T35" s="708" t="s">
        <v>14</v>
      </c>
      <c r="U35" s="709">
        <f t="shared" si="13"/>
        <v>100</v>
      </c>
      <c r="V35" s="708" t="s">
        <v>14</v>
      </c>
      <c r="W35" s="709">
        <f t="shared" si="14"/>
        <v>100</v>
      </c>
      <c r="X35" s="710"/>
      <c r="Y35" s="377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1"/>
      <c r="Q36" s="1352">
        <f t="shared" si="11"/>
        <v>111</v>
      </c>
      <c r="R36" s="705" t="s">
        <v>14</v>
      </c>
      <c r="S36" s="706">
        <f t="shared" si="12"/>
        <v>100</v>
      </c>
      <c r="T36" s="705" t="s">
        <v>14</v>
      </c>
      <c r="U36" s="706">
        <f t="shared" si="13"/>
        <v>100</v>
      </c>
      <c r="V36" s="705" t="s">
        <v>14</v>
      </c>
      <c r="W36" s="706">
        <f t="shared" si="14"/>
        <v>100</v>
      </c>
      <c r="X36" s="1355"/>
      <c r="Y36" s="3771"/>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64" t="str">
        <f>A37</f>
        <v>成交单价</v>
      </c>
      <c r="Q37" s="3764"/>
      <c r="R37" s="3765">
        <f>E37</f>
        <v>0</v>
      </c>
      <c r="S37" s="3765"/>
      <c r="T37" s="3765">
        <f>G37</f>
        <v>0</v>
      </c>
      <c r="U37" s="3765"/>
      <c r="V37" s="3765">
        <f>I37</f>
        <v>0</v>
      </c>
      <c r="W37" s="376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61" t="str">
        <f>A39</f>
        <v>估价对象XX用房的比较价值（楼面单价，元/平方米）</v>
      </c>
      <c r="Q39" s="3762"/>
      <c r="R39" s="3796" t="e">
        <f>IF(F1="售价",ROUND(IF(D38="简单平均",AVERAGE(R38:W38),R38*F38+T38*H38+V38*J38),0),ROUND(IF(D38="简单平均",AVERAGE(R38:V38),R38*F38+T38*H38+V38*J38),1))</f>
        <v>#DIV/0!</v>
      </c>
      <c r="S39" s="3796"/>
      <c r="T39" s="3796"/>
      <c r="U39" s="3796"/>
      <c r="V39" s="3796"/>
      <c r="W39" s="379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2004-1</v>
      </c>
      <c r="D48" s="1185">
        <f>EDATE(C48,-1)</f>
        <v>37956</v>
      </c>
      <c r="E48" s="1185">
        <f t="shared" ref="E48:O48" si="16">EDATE(D48,-1)</f>
        <v>37926</v>
      </c>
      <c r="F48" s="1185">
        <f t="shared" si="16"/>
        <v>37895</v>
      </c>
      <c r="G48" s="1185">
        <f t="shared" si="16"/>
        <v>37865</v>
      </c>
      <c r="H48" s="1185">
        <f t="shared" si="16"/>
        <v>37834</v>
      </c>
      <c r="I48" s="1185">
        <f t="shared" si="16"/>
        <v>37803</v>
      </c>
      <c r="J48" s="1185">
        <f t="shared" si="16"/>
        <v>37773</v>
      </c>
      <c r="K48" s="1185">
        <f t="shared" si="16"/>
        <v>37742</v>
      </c>
      <c r="L48" s="1185">
        <f t="shared" si="16"/>
        <v>37712</v>
      </c>
      <c r="M48" s="1185">
        <f t="shared" si="16"/>
        <v>37681</v>
      </c>
      <c r="N48" s="1185">
        <f t="shared" si="16"/>
        <v>37653</v>
      </c>
      <c r="O48" s="1185">
        <f t="shared" si="16"/>
        <v>37622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7" t="s">
        <v>1770</v>
      </c>
      <c r="D4" s="3748"/>
      <c r="E4" s="3749" t="s">
        <v>1771</v>
      </c>
      <c r="F4" s="3750"/>
      <c r="G4" s="3747" t="s">
        <v>1772</v>
      </c>
      <c r="H4" s="3748"/>
      <c r="I4" s="3747" t="s">
        <v>1773</v>
      </c>
      <c r="J4" s="3748"/>
      <c r="K4" s="559" t="s">
        <v>1774</v>
      </c>
      <c r="L4" s="2715"/>
      <c r="M4" s="2716"/>
      <c r="N4" s="2716"/>
      <c r="O4" s="2716"/>
      <c r="P4" s="3751" t="s">
        <v>1775</v>
      </c>
      <c r="Q4" s="3752"/>
      <c r="R4" s="3732" t="s">
        <v>1771</v>
      </c>
      <c r="S4" s="3733"/>
      <c r="T4" s="3732" t="s">
        <v>1772</v>
      </c>
      <c r="U4" s="3733"/>
      <c r="V4" s="3759" t="s">
        <v>1773</v>
      </c>
      <c r="W4" s="3759"/>
      <c r="X4" s="1355"/>
      <c r="Y4" s="3732" t="s">
        <v>1775</v>
      </c>
      <c r="Z4" s="3733"/>
      <c r="AA4" s="3727" t="s">
        <v>1771</v>
      </c>
      <c r="AB4" s="3728" t="s">
        <v>1772</v>
      </c>
      <c r="AC4" s="3727" t="s">
        <v>1773</v>
      </c>
    </row>
    <row r="5" spans="1:29">
      <c r="A5" s="358"/>
      <c r="B5" s="359"/>
      <c r="C5" s="3777" t="s">
        <v>1673</v>
      </c>
      <c r="D5" s="3739"/>
      <c r="E5" s="3775" t="s">
        <v>1674</v>
      </c>
      <c r="F5" s="3776"/>
      <c r="G5" s="3777" t="s">
        <v>1675</v>
      </c>
      <c r="H5" s="3739"/>
      <c r="I5" s="3777" t="s">
        <v>1676</v>
      </c>
      <c r="J5" s="3739"/>
      <c r="K5" s="559"/>
      <c r="L5" s="2715"/>
      <c r="M5" s="2716"/>
      <c r="N5" s="2716"/>
      <c r="O5" s="2716"/>
      <c r="P5" s="3753"/>
      <c r="Q5" s="3754"/>
      <c r="R5" s="3734"/>
      <c r="S5" s="3735"/>
      <c r="T5" s="3734"/>
      <c r="U5" s="3735"/>
      <c r="V5" s="3759"/>
      <c r="W5" s="3759"/>
      <c r="X5" s="1355"/>
      <c r="Y5" s="3734"/>
      <c r="Z5" s="3735"/>
      <c r="AA5" s="3728"/>
      <c r="AB5" s="3728"/>
      <c r="AC5" s="3728"/>
    </row>
    <row r="6" spans="1:29" ht="15" thickBot="1">
      <c r="A6" s="360"/>
      <c r="B6" s="361"/>
      <c r="C6" s="3778" t="s">
        <v>1677</v>
      </c>
      <c r="D6" s="3741"/>
      <c r="E6" s="3779" t="s">
        <v>1677</v>
      </c>
      <c r="F6" s="3745"/>
      <c r="G6" s="3778" t="s">
        <v>1677</v>
      </c>
      <c r="H6" s="3741"/>
      <c r="I6" s="3778" t="s">
        <v>1677</v>
      </c>
      <c r="J6" s="3741"/>
      <c r="K6" s="559" t="s">
        <v>1678</v>
      </c>
      <c r="L6" s="2715"/>
      <c r="M6" s="2716"/>
      <c r="N6" s="2716"/>
      <c r="O6" s="2716"/>
      <c r="P6" s="3755"/>
      <c r="Q6" s="3756"/>
      <c r="R6" s="3734"/>
      <c r="S6" s="3735"/>
      <c r="T6" s="3757"/>
      <c r="U6" s="3758"/>
      <c r="V6" s="3759"/>
      <c r="W6" s="3759"/>
      <c r="X6" s="1355"/>
      <c r="Y6" s="3757"/>
      <c r="Z6" s="3758"/>
      <c r="AA6" s="3729"/>
      <c r="AB6" s="3729"/>
      <c r="AC6" s="3729"/>
    </row>
    <row r="7" spans="1:29" s="108" customFormat="1" ht="15" thickBot="1">
      <c r="A7" s="362" t="s">
        <v>1679</v>
      </c>
      <c r="B7" s="363"/>
      <c r="C7" s="364">
        <f>'数据-取费表'!B2</f>
        <v>38017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0" t="s">
        <v>1680</v>
      </c>
      <c r="Q7" s="3760"/>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4" t="s">
        <v>1686</v>
      </c>
      <c r="Q9" s="1343" t="str">
        <f t="shared" ref="Q9:Q14" si="6">B9</f>
        <v>用途</v>
      </c>
      <c r="R9" s="701" t="s">
        <v>14</v>
      </c>
      <c r="S9" s="702">
        <f t="shared" si="0"/>
        <v>100</v>
      </c>
      <c r="T9" s="701" t="s">
        <v>14</v>
      </c>
      <c r="U9" s="702">
        <f t="shared" si="1"/>
        <v>100</v>
      </c>
      <c r="V9" s="701" t="s">
        <v>14</v>
      </c>
      <c r="W9" s="702">
        <f t="shared" si="2"/>
        <v>100</v>
      </c>
      <c r="X9" s="703"/>
      <c r="Y9" s="367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4"/>
      <c r="Q10" s="1343"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4"/>
      <c r="Q11" s="1343">
        <f t="shared" si="6"/>
        <v>111</v>
      </c>
      <c r="R11" s="701" t="s">
        <v>14</v>
      </c>
      <c r="S11" s="702">
        <f t="shared" si="0"/>
        <v>100</v>
      </c>
      <c r="T11" s="701" t="s">
        <v>14</v>
      </c>
      <c r="U11" s="702">
        <f t="shared" si="1"/>
        <v>100</v>
      </c>
      <c r="V11" s="701" t="s">
        <v>14</v>
      </c>
      <c r="W11" s="702">
        <f t="shared" si="2"/>
        <v>100</v>
      </c>
      <c r="X11" s="703"/>
      <c r="Y11" s="36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4"/>
      <c r="Q12" s="1343">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4"/>
      <c r="Q13" s="1343">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6" t="s">
        <v>1691</v>
      </c>
      <c r="Q14" s="1352" t="str">
        <f t="shared" si="6"/>
        <v>交通便捷度</v>
      </c>
      <c r="R14" s="705" t="s">
        <v>14</v>
      </c>
      <c r="S14" s="706">
        <f t="shared" si="0"/>
        <v>100</v>
      </c>
      <c r="T14" s="705" t="s">
        <v>14</v>
      </c>
      <c r="U14" s="706">
        <f t="shared" si="1"/>
        <v>100</v>
      </c>
      <c r="V14" s="705" t="s">
        <v>14</v>
      </c>
      <c r="W14" s="706">
        <f t="shared" si="2"/>
        <v>100</v>
      </c>
      <c r="X14" s="1355"/>
      <c r="Y14" s="37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7"/>
      <c r="Q15" s="1352"/>
      <c r="R15" s="705"/>
      <c r="S15" s="706"/>
      <c r="T15" s="705"/>
      <c r="U15" s="706"/>
      <c r="V15" s="705"/>
      <c r="W15" s="706"/>
      <c r="X15" s="1355"/>
      <c r="Y15" s="376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7"/>
      <c r="Q16" s="1352" t="str">
        <f>B16</f>
        <v>公共配套设施</v>
      </c>
      <c r="R16" s="705" t="s">
        <v>14</v>
      </c>
      <c r="S16" s="706">
        <f>F16</f>
        <v>100</v>
      </c>
      <c r="T16" s="705" t="s">
        <v>14</v>
      </c>
      <c r="U16" s="706">
        <f>H16</f>
        <v>100</v>
      </c>
      <c r="V16" s="705" t="s">
        <v>14</v>
      </c>
      <c r="W16" s="706">
        <f>J16</f>
        <v>100</v>
      </c>
      <c r="X16" s="1355"/>
      <c r="Y16" s="37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7"/>
      <c r="Q17" s="1352"/>
      <c r="R17" s="705"/>
      <c r="S17" s="706"/>
      <c r="T17" s="705"/>
      <c r="U17" s="706"/>
      <c r="V17" s="705"/>
      <c r="W17" s="706"/>
      <c r="X17" s="1355"/>
      <c r="Y17" s="376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7"/>
      <c r="Q18" s="1352" t="str">
        <f>B18</f>
        <v>基础设施水平</v>
      </c>
      <c r="R18" s="705" t="s">
        <v>14</v>
      </c>
      <c r="S18" s="706">
        <f>F18</f>
        <v>100</v>
      </c>
      <c r="T18" s="705" t="s">
        <v>14</v>
      </c>
      <c r="U18" s="706">
        <f>H18</f>
        <v>100</v>
      </c>
      <c r="V18" s="705" t="s">
        <v>14</v>
      </c>
      <c r="W18" s="706">
        <f>J18</f>
        <v>100</v>
      </c>
      <c r="X18" s="1355"/>
      <c r="Y18" s="37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7"/>
      <c r="Q19" s="1352"/>
      <c r="R19" s="705"/>
      <c r="S19" s="706"/>
      <c r="T19" s="705"/>
      <c r="U19" s="706"/>
      <c r="V19" s="705"/>
      <c r="W19" s="706"/>
      <c r="X19" s="1355"/>
      <c r="Y19" s="376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7"/>
      <c r="Q20" s="1352" t="str">
        <f>B20</f>
        <v>自然及人文环境</v>
      </c>
      <c r="R20" s="705" t="s">
        <v>14</v>
      </c>
      <c r="S20" s="706">
        <f>F20</f>
        <v>100</v>
      </c>
      <c r="T20" s="705" t="s">
        <v>14</v>
      </c>
      <c r="U20" s="706">
        <f>H20</f>
        <v>100</v>
      </c>
      <c r="V20" s="705" t="s">
        <v>14</v>
      </c>
      <c r="W20" s="706">
        <f>J20</f>
        <v>100</v>
      </c>
      <c r="X20" s="1355"/>
      <c r="Y20" s="37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7"/>
      <c r="Q21" s="1352"/>
      <c r="R21" s="705"/>
      <c r="S21" s="706"/>
      <c r="T21" s="705"/>
      <c r="U21" s="706"/>
      <c r="V21" s="705"/>
      <c r="W21" s="706"/>
      <c r="X21" s="1355"/>
      <c r="Y21" s="37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7"/>
      <c r="Q22" s="1352" t="str">
        <f>B22</f>
        <v>楼层</v>
      </c>
      <c r="R22" s="705" t="s">
        <v>14</v>
      </c>
      <c r="S22" s="706">
        <f>F22</f>
        <v>100</v>
      </c>
      <c r="T22" s="705" t="s">
        <v>14</v>
      </c>
      <c r="U22" s="706">
        <f>H22</f>
        <v>100</v>
      </c>
      <c r="V22" s="705" t="s">
        <v>14</v>
      </c>
      <c r="W22" s="706">
        <f>J22</f>
        <v>100</v>
      </c>
      <c r="X22" s="1355"/>
      <c r="Y22" s="37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7"/>
      <c r="Q23" s="1352">
        <f>B23</f>
        <v>111</v>
      </c>
      <c r="R23" s="705" t="s">
        <v>14</v>
      </c>
      <c r="S23" s="706">
        <f>F23</f>
        <v>100</v>
      </c>
      <c r="T23" s="705" t="s">
        <v>14</v>
      </c>
      <c r="U23" s="706">
        <f>H23</f>
        <v>100</v>
      </c>
      <c r="V23" s="705" t="s">
        <v>14</v>
      </c>
      <c r="W23" s="706">
        <f>J23</f>
        <v>100</v>
      </c>
      <c r="X23" s="1355"/>
      <c r="Y23" s="37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7"/>
      <c r="Q24" s="1352">
        <f t="shared" ref="Q24:Q34" si="11">B24</f>
        <v>111</v>
      </c>
      <c r="R24" s="705" t="s">
        <v>14</v>
      </c>
      <c r="S24" s="706">
        <f>F24</f>
        <v>100</v>
      </c>
      <c r="T24" s="705" t="s">
        <v>14</v>
      </c>
      <c r="U24" s="706">
        <f>H24</f>
        <v>100</v>
      </c>
      <c r="V24" s="705" t="s">
        <v>14</v>
      </c>
      <c r="W24" s="706">
        <f>J24</f>
        <v>100</v>
      </c>
      <c r="X24" s="1355"/>
      <c r="Y24" s="376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7"/>
      <c r="Q25" s="1343">
        <f t="shared" si="11"/>
        <v>111</v>
      </c>
      <c r="R25" s="701" t="s">
        <v>14</v>
      </c>
      <c r="S25" s="702">
        <f>F25</f>
        <v>100</v>
      </c>
      <c r="T25" s="701" t="s">
        <v>14</v>
      </c>
      <c r="U25" s="702">
        <f>H25</f>
        <v>100</v>
      </c>
      <c r="V25" s="701" t="s">
        <v>14</v>
      </c>
      <c r="W25" s="702">
        <f>J25</f>
        <v>100</v>
      </c>
      <c r="X25" s="703"/>
      <c r="Y25" s="376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1"/>
      <c r="Q27" s="707" t="str">
        <f t="shared" si="11"/>
        <v>成新率</v>
      </c>
      <c r="R27" s="708" t="s">
        <v>14</v>
      </c>
      <c r="S27" s="709" t="e">
        <f t="shared" si="12"/>
        <v>#N/A</v>
      </c>
      <c r="T27" s="708" t="s">
        <v>14</v>
      </c>
      <c r="U27" s="709" t="e">
        <f t="shared" si="13"/>
        <v>#N/A</v>
      </c>
      <c r="V27" s="708" t="s">
        <v>14</v>
      </c>
      <c r="W27" s="709" t="e">
        <f t="shared" si="14"/>
        <v>#N/A</v>
      </c>
      <c r="X27" s="710"/>
      <c r="Y27" s="37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1"/>
      <c r="Q28" s="1352" t="str">
        <f t="shared" si="11"/>
        <v>物业等级</v>
      </c>
      <c r="R28" s="705" t="s">
        <v>14</v>
      </c>
      <c r="S28" s="706">
        <f t="shared" si="12"/>
        <v>100</v>
      </c>
      <c r="T28" s="705" t="s">
        <v>14</v>
      </c>
      <c r="U28" s="706">
        <f t="shared" si="13"/>
        <v>100</v>
      </c>
      <c r="V28" s="705" t="s">
        <v>14</v>
      </c>
      <c r="W28" s="706">
        <f t="shared" si="14"/>
        <v>100</v>
      </c>
      <c r="X28" s="1355"/>
      <c r="Y28" s="37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1"/>
      <c r="Q29" s="1352" t="str">
        <f t="shared" si="11"/>
        <v>有无电梯</v>
      </c>
      <c r="R29" s="705" t="s">
        <v>14</v>
      </c>
      <c r="S29" s="706">
        <f t="shared" si="12"/>
        <v>100</v>
      </c>
      <c r="T29" s="705" t="s">
        <v>14</v>
      </c>
      <c r="U29" s="706">
        <f t="shared" si="13"/>
        <v>100</v>
      </c>
      <c r="V29" s="705" t="s">
        <v>14</v>
      </c>
      <c r="W29" s="706">
        <f t="shared" si="14"/>
        <v>100</v>
      </c>
      <c r="X29" s="1355"/>
      <c r="Y29" s="37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1"/>
      <c r="Q30" s="1352" t="str">
        <f t="shared" si="11"/>
        <v>建筑面积</v>
      </c>
      <c r="R30" s="705" t="s">
        <v>14</v>
      </c>
      <c r="S30" s="706" t="e">
        <f t="shared" si="12"/>
        <v>#N/A</v>
      </c>
      <c r="T30" s="705" t="s">
        <v>14</v>
      </c>
      <c r="U30" s="706" t="e">
        <f t="shared" si="13"/>
        <v>#N/A</v>
      </c>
      <c r="V30" s="705" t="s">
        <v>14</v>
      </c>
      <c r="W30" s="706" t="e">
        <f t="shared" si="14"/>
        <v>#N/A</v>
      </c>
      <c r="X30" s="1355"/>
      <c r="Y30" s="37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1"/>
      <c r="Q31" s="1343" t="str">
        <f t="shared" si="11"/>
        <v>是否封闭</v>
      </c>
      <c r="R31" s="701" t="s">
        <v>14</v>
      </c>
      <c r="S31" s="702">
        <f t="shared" si="12"/>
        <v>100</v>
      </c>
      <c r="T31" s="701" t="s">
        <v>14</v>
      </c>
      <c r="U31" s="702">
        <f t="shared" si="13"/>
        <v>100</v>
      </c>
      <c r="V31" s="701" t="s">
        <v>14</v>
      </c>
      <c r="W31" s="702">
        <f t="shared" si="14"/>
        <v>100</v>
      </c>
      <c r="X31" s="703"/>
      <c r="Y31" s="37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1" t="s">
        <v>1696</v>
      </c>
      <c r="Q32" s="1352">
        <f t="shared" si="11"/>
        <v>111</v>
      </c>
      <c r="R32" s="705" t="s">
        <v>14</v>
      </c>
      <c r="S32" s="706">
        <f t="shared" si="12"/>
        <v>100</v>
      </c>
      <c r="T32" s="705" t="s">
        <v>14</v>
      </c>
      <c r="U32" s="706">
        <f t="shared" si="13"/>
        <v>100</v>
      </c>
      <c r="V32" s="705" t="s">
        <v>14</v>
      </c>
      <c r="W32" s="706">
        <f t="shared" si="14"/>
        <v>100</v>
      </c>
      <c r="X32" s="1355"/>
      <c r="Y32" s="37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1"/>
      <c r="Q33" s="1352">
        <f t="shared" si="11"/>
        <v>111</v>
      </c>
      <c r="R33" s="705" t="s">
        <v>14</v>
      </c>
      <c r="S33" s="706">
        <f t="shared" si="12"/>
        <v>100</v>
      </c>
      <c r="T33" s="705" t="s">
        <v>14</v>
      </c>
      <c r="U33" s="706">
        <f t="shared" si="13"/>
        <v>100</v>
      </c>
      <c r="V33" s="705" t="s">
        <v>14</v>
      </c>
      <c r="W33" s="706">
        <f t="shared" si="14"/>
        <v>100</v>
      </c>
      <c r="X33" s="1355"/>
      <c r="Y33" s="377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1"/>
      <c r="Q34" s="1352">
        <f t="shared" si="11"/>
        <v>111</v>
      </c>
      <c r="R34" s="705" t="s">
        <v>14</v>
      </c>
      <c r="S34" s="706">
        <f t="shared" si="12"/>
        <v>100</v>
      </c>
      <c r="T34" s="705" t="s">
        <v>14</v>
      </c>
      <c r="U34" s="706">
        <f t="shared" si="13"/>
        <v>100</v>
      </c>
      <c r="V34" s="705" t="s">
        <v>14</v>
      </c>
      <c r="W34" s="706">
        <f t="shared" si="14"/>
        <v>100</v>
      </c>
      <c r="X34" s="1355"/>
      <c r="Y34" s="377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64" t="str">
        <f>A35</f>
        <v>成交单价（元/平方米）</v>
      </c>
      <c r="Q35" s="3764"/>
      <c r="R35" s="3765">
        <f>E35</f>
        <v>0</v>
      </c>
      <c r="S35" s="3765"/>
      <c r="T35" s="3765">
        <f>G35</f>
        <v>0</v>
      </c>
      <c r="U35" s="3765"/>
      <c r="V35" s="3765">
        <f>I35</f>
        <v>0</v>
      </c>
      <c r="W35" s="376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61" t="str">
        <f>A37</f>
        <v>估价对象XX用房的比较价值（楼面单价，元/平方米）</v>
      </c>
      <c r="Q37" s="3762"/>
      <c r="R37" s="3796" t="e">
        <f>IF(F1="售价",ROUND(IF(D36="简单平均",AVERAGE(R36:W36),R36*F36+T36*H36+V36*J36),0),ROUND(IF(D36="简单平均",AVERAGE(R36:V36),R36*F36+T36*H36+V36*J36),1))</f>
        <v>#DIV/0!</v>
      </c>
      <c r="S37" s="3796"/>
      <c r="T37" s="3796"/>
      <c r="U37" s="3796"/>
      <c r="V37" s="3796"/>
      <c r="W37" s="379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2004-1</v>
      </c>
      <c r="D46" s="1185">
        <f>EDATE(C46,-1)</f>
        <v>37956</v>
      </c>
      <c r="E46" s="1185">
        <f t="shared" ref="E46:O46" si="16">EDATE(D46,-1)</f>
        <v>37926</v>
      </c>
      <c r="F46" s="1185">
        <f t="shared" si="16"/>
        <v>37895</v>
      </c>
      <c r="G46" s="1185">
        <f t="shared" si="16"/>
        <v>37865</v>
      </c>
      <c r="H46" s="1185">
        <f t="shared" si="16"/>
        <v>37834</v>
      </c>
      <c r="I46" s="1185">
        <f t="shared" si="16"/>
        <v>37803</v>
      </c>
      <c r="J46" s="1185">
        <f t="shared" si="16"/>
        <v>37773</v>
      </c>
      <c r="K46" s="1185">
        <f t="shared" si="16"/>
        <v>37742</v>
      </c>
      <c r="L46" s="1185">
        <f t="shared" si="16"/>
        <v>37712</v>
      </c>
      <c r="M46" s="1185">
        <f t="shared" si="16"/>
        <v>37681</v>
      </c>
      <c r="N46" s="1185">
        <f t="shared" si="16"/>
        <v>37653</v>
      </c>
      <c r="O46" s="1185">
        <f t="shared" si="16"/>
        <v>37622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7" t="s">
        <v>1770</v>
      </c>
      <c r="D4" s="3748"/>
      <c r="E4" s="3749" t="s">
        <v>1771</v>
      </c>
      <c r="F4" s="3750"/>
      <c r="G4" s="3747" t="s">
        <v>1772</v>
      </c>
      <c r="H4" s="3748"/>
      <c r="I4" s="3747" t="s">
        <v>1773</v>
      </c>
      <c r="J4" s="3748"/>
      <c r="K4" s="559" t="s">
        <v>1774</v>
      </c>
      <c r="L4" s="2715"/>
      <c r="M4" s="2716"/>
      <c r="N4" s="2716"/>
      <c r="O4" s="2716"/>
      <c r="P4" s="3751" t="s">
        <v>1775</v>
      </c>
      <c r="Q4" s="3752"/>
      <c r="R4" s="3732" t="s">
        <v>1771</v>
      </c>
      <c r="S4" s="3733"/>
      <c r="T4" s="3732" t="s">
        <v>1772</v>
      </c>
      <c r="U4" s="3733"/>
      <c r="V4" s="3759" t="s">
        <v>1773</v>
      </c>
      <c r="W4" s="3759"/>
      <c r="X4" s="1355"/>
      <c r="Y4" s="3732" t="s">
        <v>1775</v>
      </c>
      <c r="Z4" s="3733"/>
      <c r="AA4" s="3727" t="s">
        <v>1771</v>
      </c>
      <c r="AB4" s="3728" t="s">
        <v>1772</v>
      </c>
      <c r="AC4" s="3727" t="s">
        <v>1773</v>
      </c>
    </row>
    <row r="5" spans="1:30">
      <c r="A5" s="358"/>
      <c r="B5" s="359"/>
      <c r="C5" s="3777" t="s">
        <v>1673</v>
      </c>
      <c r="D5" s="3739"/>
      <c r="E5" s="3775" t="s">
        <v>1674</v>
      </c>
      <c r="F5" s="3776"/>
      <c r="G5" s="3777" t="s">
        <v>1675</v>
      </c>
      <c r="H5" s="3739"/>
      <c r="I5" s="3777" t="s">
        <v>1676</v>
      </c>
      <c r="J5" s="3739"/>
      <c r="K5" s="559"/>
      <c r="L5" s="2715"/>
      <c r="M5" s="2716"/>
      <c r="N5" s="2716"/>
      <c r="O5" s="2716"/>
      <c r="P5" s="3753"/>
      <c r="Q5" s="3754"/>
      <c r="R5" s="3734"/>
      <c r="S5" s="3735"/>
      <c r="T5" s="3734"/>
      <c r="U5" s="3735"/>
      <c r="V5" s="3759"/>
      <c r="W5" s="3759"/>
      <c r="X5" s="1355"/>
      <c r="Y5" s="3734"/>
      <c r="Z5" s="3735"/>
      <c r="AA5" s="3728"/>
      <c r="AB5" s="3728"/>
      <c r="AC5" s="3728"/>
    </row>
    <row r="6" spans="1:30" ht="15" thickBot="1">
      <c r="A6" s="360"/>
      <c r="B6" s="361"/>
      <c r="C6" s="3778" t="s">
        <v>1677</v>
      </c>
      <c r="D6" s="3741"/>
      <c r="E6" s="3779" t="s">
        <v>1677</v>
      </c>
      <c r="F6" s="3745"/>
      <c r="G6" s="3778" t="s">
        <v>1677</v>
      </c>
      <c r="H6" s="3741"/>
      <c r="I6" s="3778" t="s">
        <v>1677</v>
      </c>
      <c r="J6" s="3741"/>
      <c r="K6" s="559" t="s">
        <v>1678</v>
      </c>
      <c r="L6" s="2715"/>
      <c r="M6" s="2716"/>
      <c r="N6" s="2716"/>
      <c r="O6" s="2716"/>
      <c r="P6" s="3755"/>
      <c r="Q6" s="3756"/>
      <c r="R6" s="3734"/>
      <c r="S6" s="3735"/>
      <c r="T6" s="3757"/>
      <c r="U6" s="3758"/>
      <c r="V6" s="3759"/>
      <c r="W6" s="3759"/>
      <c r="X6" s="1355"/>
      <c r="Y6" s="3757"/>
      <c r="Z6" s="3758"/>
      <c r="AA6" s="3729"/>
      <c r="AB6" s="3729"/>
      <c r="AC6" s="3729"/>
    </row>
    <row r="7" spans="1:30" s="108" customFormat="1" ht="15" thickBot="1">
      <c r="A7" s="362" t="s">
        <v>1679</v>
      </c>
      <c r="B7" s="363"/>
      <c r="C7" s="364">
        <f>'数据-取费表'!B2</f>
        <v>38017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0" t="s">
        <v>1680</v>
      </c>
      <c r="Q7" s="3760"/>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0" t="s">
        <v>1683</v>
      </c>
      <c r="Q8" s="3731"/>
      <c r="R8" s="701" t="s">
        <v>14</v>
      </c>
      <c r="S8" s="702">
        <f t="shared" si="0"/>
        <v>0</v>
      </c>
      <c r="T8" s="701" t="s">
        <v>14</v>
      </c>
      <c r="U8" s="702">
        <f t="shared" si="1"/>
        <v>0</v>
      </c>
      <c r="V8" s="701" t="s">
        <v>14</v>
      </c>
      <c r="W8" s="702">
        <f t="shared" si="2"/>
        <v>0</v>
      </c>
      <c r="X8" s="703"/>
      <c r="Y8" s="3730" t="s">
        <v>1683</v>
      </c>
      <c r="Z8" s="373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4" t="s">
        <v>1686</v>
      </c>
      <c r="Q9" s="1343"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64"/>
      <c r="Q10" s="1343" t="str">
        <f t="shared" si="6"/>
        <v>土地使用年限（年）</v>
      </c>
      <c r="R10" s="701" t="s">
        <v>14</v>
      </c>
      <c r="S10" s="702" t="e">
        <f t="shared" si="0"/>
        <v>#DIV/0!</v>
      </c>
      <c r="T10" s="701" t="s">
        <v>14</v>
      </c>
      <c r="U10" s="702" t="e">
        <f t="shared" si="1"/>
        <v>#DIV/0!</v>
      </c>
      <c r="V10" s="701" t="s">
        <v>14</v>
      </c>
      <c r="W10" s="702" t="e">
        <f t="shared" si="2"/>
        <v>#DIV/0!</v>
      </c>
      <c r="X10" s="703"/>
      <c r="Y10" s="367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4"/>
      <c r="Q11" s="1343" t="str">
        <f t="shared" si="6"/>
        <v>容积率</v>
      </c>
      <c r="R11" s="701" t="s">
        <v>14</v>
      </c>
      <c r="S11" s="702" t="e">
        <f t="shared" si="0"/>
        <v>#N/A</v>
      </c>
      <c r="T11" s="701" t="s">
        <v>14</v>
      </c>
      <c r="U11" s="702" t="e">
        <f t="shared" si="1"/>
        <v>#N/A</v>
      </c>
      <c r="V11" s="701" t="s">
        <v>14</v>
      </c>
      <c r="W11" s="702" t="e">
        <f t="shared" si="2"/>
        <v>#N/A</v>
      </c>
      <c r="X11" s="703"/>
      <c r="Y11" s="36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4"/>
      <c r="Q12" s="1343" t="str">
        <f t="shared" si="6"/>
        <v>配建</v>
      </c>
      <c r="R12" s="701" t="s">
        <v>14</v>
      </c>
      <c r="S12" s="702">
        <f t="shared" si="0"/>
        <v>100</v>
      </c>
      <c r="T12" s="701" t="s">
        <v>14</v>
      </c>
      <c r="U12" s="702">
        <f t="shared" si="1"/>
        <v>100</v>
      </c>
      <c r="V12" s="701" t="s">
        <v>14</v>
      </c>
      <c r="W12" s="702">
        <f t="shared" si="2"/>
        <v>100</v>
      </c>
      <c r="X12" s="703"/>
      <c r="Y12" s="36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4"/>
      <c r="Q13" s="1343">
        <f t="shared" si="6"/>
        <v>111</v>
      </c>
      <c r="R13" s="701" t="s">
        <v>14</v>
      </c>
      <c r="S13" s="702">
        <f t="shared" si="0"/>
        <v>100</v>
      </c>
      <c r="T13" s="701" t="s">
        <v>14</v>
      </c>
      <c r="U13" s="702">
        <f t="shared" si="1"/>
        <v>100</v>
      </c>
      <c r="V13" s="701" t="s">
        <v>14</v>
      </c>
      <c r="W13" s="702">
        <f t="shared" si="2"/>
        <v>100</v>
      </c>
      <c r="X13" s="703"/>
      <c r="Y13" s="367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4"/>
      <c r="Q14" s="1343">
        <f t="shared" si="6"/>
        <v>111</v>
      </c>
      <c r="R14" s="701" t="s">
        <v>14</v>
      </c>
      <c r="S14" s="702">
        <f t="shared" si="0"/>
        <v>100</v>
      </c>
      <c r="T14" s="701" t="s">
        <v>14</v>
      </c>
      <c r="U14" s="702">
        <f t="shared" si="1"/>
        <v>100</v>
      </c>
      <c r="V14" s="701" t="s">
        <v>14</v>
      </c>
      <c r="W14" s="702">
        <f t="shared" si="2"/>
        <v>100</v>
      </c>
      <c r="X14" s="703"/>
      <c r="Y14" s="367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6" t="s">
        <v>1691</v>
      </c>
      <c r="Q15" s="1352" t="str">
        <f t="shared" si="6"/>
        <v>居住社区成熟度</v>
      </c>
      <c r="R15" s="705" t="s">
        <v>14</v>
      </c>
      <c r="S15" s="706">
        <f t="shared" si="0"/>
        <v>100</v>
      </c>
      <c r="T15" s="705" t="s">
        <v>14</v>
      </c>
      <c r="U15" s="706">
        <f t="shared" si="1"/>
        <v>100</v>
      </c>
      <c r="V15" s="705" t="s">
        <v>14</v>
      </c>
      <c r="W15" s="706">
        <f t="shared" si="2"/>
        <v>100</v>
      </c>
      <c r="X15" s="1355"/>
      <c r="Y15" s="37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7"/>
      <c r="Q16" s="1352"/>
      <c r="R16" s="705"/>
      <c r="S16" s="706"/>
      <c r="T16" s="705"/>
      <c r="U16" s="706"/>
      <c r="V16" s="705"/>
      <c r="W16" s="706"/>
      <c r="X16" s="1355"/>
      <c r="Y16" s="376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7"/>
      <c r="Q17" s="1352" t="str">
        <f>B17</f>
        <v>商业繁华度</v>
      </c>
      <c r="R17" s="705" t="s">
        <v>14</v>
      </c>
      <c r="S17" s="706">
        <f>F17</f>
        <v>100</v>
      </c>
      <c r="T17" s="705" t="s">
        <v>14</v>
      </c>
      <c r="U17" s="706">
        <f>H17</f>
        <v>100</v>
      </c>
      <c r="V17" s="705" t="s">
        <v>14</v>
      </c>
      <c r="W17" s="706">
        <f>J17</f>
        <v>100</v>
      </c>
      <c r="X17" s="1355"/>
      <c r="Y17" s="37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7"/>
      <c r="Q18" s="1352"/>
      <c r="R18" s="705"/>
      <c r="S18" s="706"/>
      <c r="T18" s="705"/>
      <c r="U18" s="706"/>
      <c r="V18" s="705"/>
      <c r="W18" s="706"/>
      <c r="X18" s="1355"/>
      <c r="Y18" s="376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7"/>
      <c r="Q19" s="1352" t="str">
        <f>B19</f>
        <v>办公集聚程度</v>
      </c>
      <c r="R19" s="705" t="s">
        <v>14</v>
      </c>
      <c r="S19" s="706">
        <f>F19</f>
        <v>100</v>
      </c>
      <c r="T19" s="705" t="s">
        <v>14</v>
      </c>
      <c r="U19" s="706">
        <f>H19</f>
        <v>100</v>
      </c>
      <c r="V19" s="705" t="s">
        <v>14</v>
      </c>
      <c r="W19" s="706">
        <f>J19</f>
        <v>100</v>
      </c>
      <c r="X19" s="1355"/>
      <c r="Y19" s="37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7"/>
      <c r="Q20" s="1352"/>
      <c r="R20" s="705"/>
      <c r="S20" s="706"/>
      <c r="T20" s="705"/>
      <c r="U20" s="706"/>
      <c r="V20" s="705"/>
      <c r="W20" s="706"/>
      <c r="X20" s="1355"/>
      <c r="Y20" s="376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7"/>
      <c r="Q21" s="1352" t="str">
        <f>B21</f>
        <v>交通便捷度</v>
      </c>
      <c r="R21" s="705" t="s">
        <v>14</v>
      </c>
      <c r="S21" s="706">
        <f>F21</f>
        <v>100</v>
      </c>
      <c r="T21" s="705" t="s">
        <v>14</v>
      </c>
      <c r="U21" s="706">
        <f>H21</f>
        <v>100</v>
      </c>
      <c r="V21" s="705" t="s">
        <v>14</v>
      </c>
      <c r="W21" s="706">
        <f>J21</f>
        <v>100</v>
      </c>
      <c r="X21" s="1355"/>
      <c r="Y21" s="37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7"/>
      <c r="Q22" s="1352"/>
      <c r="R22" s="705"/>
      <c r="S22" s="706"/>
      <c r="T22" s="705"/>
      <c r="U22" s="706"/>
      <c r="V22" s="705"/>
      <c r="W22" s="706"/>
      <c r="X22" s="1355"/>
      <c r="Y22" s="376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7"/>
      <c r="Q23" s="1352" t="str">
        <f t="shared" ref="Q23:Q37" si="8">B23</f>
        <v>区域土地利用方向</v>
      </c>
      <c r="R23" s="705" t="s">
        <v>14</v>
      </c>
      <c r="S23" s="706">
        <f>F23</f>
        <v>100</v>
      </c>
      <c r="T23" s="705" t="s">
        <v>14</v>
      </c>
      <c r="U23" s="706">
        <f>H23</f>
        <v>100</v>
      </c>
      <c r="V23" s="705" t="s">
        <v>14</v>
      </c>
      <c r="W23" s="706">
        <f>J23</f>
        <v>100</v>
      </c>
      <c r="X23" s="1355"/>
      <c r="Y23" s="37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7"/>
      <c r="Q24" s="1352"/>
      <c r="R24" s="705"/>
      <c r="S24" s="706"/>
      <c r="T24" s="705"/>
      <c r="U24" s="706"/>
      <c r="V24" s="705"/>
      <c r="W24" s="706"/>
      <c r="X24" s="1355"/>
      <c r="Y24" s="376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7"/>
      <c r="Q25" s="1352" t="str">
        <f t="shared" si="8"/>
        <v>自然及人文环境状况</v>
      </c>
      <c r="R25" s="705" t="s">
        <v>14</v>
      </c>
      <c r="S25" s="706">
        <f>F25</f>
        <v>100</v>
      </c>
      <c r="T25" s="705" t="s">
        <v>14</v>
      </c>
      <c r="U25" s="706">
        <f>H25</f>
        <v>100</v>
      </c>
      <c r="V25" s="705" t="s">
        <v>14</v>
      </c>
      <c r="W25" s="706">
        <f>J25</f>
        <v>100</v>
      </c>
      <c r="X25" s="1355"/>
      <c r="Y25" s="37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7"/>
      <c r="Q26" s="1352"/>
      <c r="R26" s="705"/>
      <c r="S26" s="706"/>
      <c r="T26" s="705"/>
      <c r="U26" s="706"/>
      <c r="V26" s="705"/>
      <c r="W26" s="706"/>
      <c r="X26" s="1355"/>
      <c r="Y26" s="376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7"/>
      <c r="Q27" s="1343" t="str">
        <f t="shared" si="8"/>
        <v>公共配套设施</v>
      </c>
      <c r="R27" s="701" t="s">
        <v>14</v>
      </c>
      <c r="S27" s="702">
        <f>F27</f>
        <v>100</v>
      </c>
      <c r="T27" s="701" t="s">
        <v>14</v>
      </c>
      <c r="U27" s="702">
        <f>H27</f>
        <v>100</v>
      </c>
      <c r="V27" s="701" t="s">
        <v>14</v>
      </c>
      <c r="W27" s="702">
        <f>J27</f>
        <v>100</v>
      </c>
      <c r="X27" s="703"/>
      <c r="Y27" s="37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7"/>
      <c r="Q28" s="1343"/>
      <c r="R28" s="701"/>
      <c r="S28" s="702"/>
      <c r="T28" s="701"/>
      <c r="U28" s="702"/>
      <c r="V28" s="701"/>
      <c r="W28" s="702"/>
      <c r="X28" s="703"/>
      <c r="Y28" s="376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7"/>
      <c r="Q29" s="1343" t="str">
        <f t="shared" ref="Q29" si="9">B29</f>
        <v>基础设施水平</v>
      </c>
      <c r="R29" s="701" t="s">
        <v>14</v>
      </c>
      <c r="S29" s="702">
        <f>F29</f>
        <v>100</v>
      </c>
      <c r="T29" s="701" t="s">
        <v>14</v>
      </c>
      <c r="U29" s="702">
        <f>H29</f>
        <v>100</v>
      </c>
      <c r="V29" s="701" t="s">
        <v>14</v>
      </c>
      <c r="W29" s="702">
        <f>J29</f>
        <v>100</v>
      </c>
      <c r="X29" s="703"/>
      <c r="Y29" s="37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7"/>
      <c r="Q30" s="1343"/>
      <c r="R30" s="701"/>
      <c r="S30" s="702"/>
      <c r="T30" s="701"/>
      <c r="U30" s="702"/>
      <c r="V30" s="701"/>
      <c r="W30" s="702"/>
      <c r="X30" s="703"/>
      <c r="Y30" s="37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7"/>
      <c r="Q32" s="1352" t="str">
        <f t="shared" si="8"/>
        <v>毗邻道路的类型与等级</v>
      </c>
      <c r="R32" s="705" t="s">
        <v>14</v>
      </c>
      <c r="S32" s="706">
        <f t="shared" si="10"/>
        <v>100</v>
      </c>
      <c r="T32" s="705" t="s">
        <v>14</v>
      </c>
      <c r="U32" s="706">
        <f t="shared" si="11"/>
        <v>100</v>
      </c>
      <c r="V32" s="705" t="s">
        <v>14</v>
      </c>
      <c r="W32" s="706">
        <f t="shared" si="12"/>
        <v>100</v>
      </c>
      <c r="X32" s="1355"/>
      <c r="Y32" s="37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7"/>
      <c r="Q33" s="1352"/>
      <c r="R33" s="705"/>
      <c r="S33" s="706"/>
      <c r="T33" s="705"/>
      <c r="U33" s="706"/>
      <c r="V33" s="705"/>
      <c r="W33" s="706"/>
      <c r="X33" s="1355"/>
      <c r="Y33" s="37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7"/>
      <c r="Q34" s="1352" t="str">
        <f t="shared" si="8"/>
        <v>土地级别</v>
      </c>
      <c r="R34" s="705" t="s">
        <v>14</v>
      </c>
      <c r="S34" s="706">
        <f t="shared" si="10"/>
        <v>100</v>
      </c>
      <c r="T34" s="705" t="s">
        <v>14</v>
      </c>
      <c r="U34" s="706">
        <f t="shared" si="11"/>
        <v>100</v>
      </c>
      <c r="V34" s="705" t="s">
        <v>14</v>
      </c>
      <c r="W34" s="706">
        <f t="shared" si="12"/>
        <v>100</v>
      </c>
      <c r="X34" s="1355"/>
      <c r="Y34" s="37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7"/>
      <c r="Q35" s="1352">
        <f t="shared" si="8"/>
        <v>111</v>
      </c>
      <c r="R35" s="705" t="s">
        <v>14</v>
      </c>
      <c r="S35" s="706">
        <f t="shared" si="10"/>
        <v>100</v>
      </c>
      <c r="T35" s="705" t="s">
        <v>14</v>
      </c>
      <c r="U35" s="706">
        <f t="shared" si="11"/>
        <v>100</v>
      </c>
      <c r="V35" s="705" t="s">
        <v>14</v>
      </c>
      <c r="W35" s="706">
        <f t="shared" si="12"/>
        <v>100</v>
      </c>
      <c r="X35" s="1355"/>
      <c r="Y35" s="37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5" t="s">
        <v>1696</v>
      </c>
      <c r="Q36" s="1352">
        <f t="shared" si="8"/>
        <v>111</v>
      </c>
      <c r="R36" s="705" t="s">
        <v>14</v>
      </c>
      <c r="S36" s="706">
        <f t="shared" si="10"/>
        <v>100</v>
      </c>
      <c r="T36" s="705" t="s">
        <v>14</v>
      </c>
      <c r="U36" s="706">
        <f t="shared" si="11"/>
        <v>100</v>
      </c>
      <c r="V36" s="705" t="s">
        <v>14</v>
      </c>
      <c r="W36" s="706">
        <f t="shared" si="12"/>
        <v>100</v>
      </c>
      <c r="X36" s="1355"/>
      <c r="Y36" s="377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1"/>
      <c r="Q37" s="1352">
        <f t="shared" si="8"/>
        <v>111</v>
      </c>
      <c r="R37" s="708" t="s">
        <v>14</v>
      </c>
      <c r="S37" s="709">
        <f t="shared" si="10"/>
        <v>100</v>
      </c>
      <c r="T37" s="708" t="s">
        <v>14</v>
      </c>
      <c r="U37" s="709">
        <f t="shared" si="11"/>
        <v>100</v>
      </c>
      <c r="V37" s="708" t="s">
        <v>14</v>
      </c>
      <c r="W37" s="709">
        <f t="shared" si="12"/>
        <v>100</v>
      </c>
      <c r="X37" s="710"/>
      <c r="Y37" s="377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1"/>
      <c r="Q38" s="1352" t="str">
        <f>B38</f>
        <v>宗地面积</v>
      </c>
      <c r="R38" s="705" t="s">
        <v>14</v>
      </c>
      <c r="S38" s="706" t="e">
        <f t="shared" si="10"/>
        <v>#N/A</v>
      </c>
      <c r="T38" s="705" t="s">
        <v>14</v>
      </c>
      <c r="U38" s="706" t="e">
        <f t="shared" si="11"/>
        <v>#N/A</v>
      </c>
      <c r="V38" s="705" t="s">
        <v>14</v>
      </c>
      <c r="W38" s="706" t="e">
        <f t="shared" si="12"/>
        <v>#N/A</v>
      </c>
      <c r="X38" s="1355"/>
      <c r="Y38" s="37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1"/>
      <c r="Q39" s="1352" t="str">
        <f t="shared" ref="Q39:Q45" si="14">B39</f>
        <v>宗地形状</v>
      </c>
      <c r="R39" s="705" t="s">
        <v>14</v>
      </c>
      <c r="S39" s="706">
        <f t="shared" si="10"/>
        <v>100</v>
      </c>
      <c r="T39" s="705" t="s">
        <v>14</v>
      </c>
      <c r="U39" s="706">
        <f t="shared" si="11"/>
        <v>100</v>
      </c>
      <c r="V39" s="705" t="s">
        <v>14</v>
      </c>
      <c r="W39" s="706">
        <f t="shared" si="12"/>
        <v>100</v>
      </c>
      <c r="X39" s="1355"/>
      <c r="Y39" s="37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1"/>
      <c r="Q40" s="1352" t="str">
        <f t="shared" si="14"/>
        <v>临街宽度及深度</v>
      </c>
      <c r="R40" s="705" t="s">
        <v>14</v>
      </c>
      <c r="S40" s="706">
        <f t="shared" si="10"/>
        <v>100</v>
      </c>
      <c r="T40" s="705" t="s">
        <v>14</v>
      </c>
      <c r="U40" s="706">
        <f t="shared" si="11"/>
        <v>100</v>
      </c>
      <c r="V40" s="705" t="s">
        <v>14</v>
      </c>
      <c r="W40" s="706">
        <f t="shared" si="12"/>
        <v>100</v>
      </c>
      <c r="X40" s="1355"/>
      <c r="Y40" s="37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1"/>
      <c r="Q41" s="1352" t="str">
        <f t="shared" si="14"/>
        <v>宗地开发程度</v>
      </c>
      <c r="R41" s="701" t="s">
        <v>14</v>
      </c>
      <c r="S41" s="702">
        <f t="shared" si="10"/>
        <v>100</v>
      </c>
      <c r="T41" s="701" t="s">
        <v>14</v>
      </c>
      <c r="U41" s="702">
        <f t="shared" si="11"/>
        <v>100</v>
      </c>
      <c r="V41" s="701" t="s">
        <v>14</v>
      </c>
      <c r="W41" s="702">
        <f t="shared" si="12"/>
        <v>100</v>
      </c>
      <c r="X41" s="703"/>
      <c r="Y41" s="37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1" t="s">
        <v>1696</v>
      </c>
      <c r="Q42" s="1352" t="str">
        <f t="shared" si="14"/>
        <v>工程地质条件</v>
      </c>
      <c r="R42" s="705" t="s">
        <v>14</v>
      </c>
      <c r="S42" s="706">
        <f t="shared" si="10"/>
        <v>100</v>
      </c>
      <c r="T42" s="705" t="s">
        <v>14</v>
      </c>
      <c r="U42" s="706">
        <f t="shared" si="11"/>
        <v>100</v>
      </c>
      <c r="V42" s="705" t="s">
        <v>14</v>
      </c>
      <c r="W42" s="706">
        <f t="shared" si="12"/>
        <v>100</v>
      </c>
      <c r="X42" s="1355"/>
      <c r="Y42" s="37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1"/>
      <c r="Q43" s="1352">
        <f t="shared" si="14"/>
        <v>111</v>
      </c>
      <c r="R43" s="705" t="s">
        <v>14</v>
      </c>
      <c r="S43" s="706">
        <f t="shared" si="10"/>
        <v>100</v>
      </c>
      <c r="T43" s="705" t="s">
        <v>14</v>
      </c>
      <c r="U43" s="706">
        <f t="shared" si="11"/>
        <v>100</v>
      </c>
      <c r="V43" s="705" t="s">
        <v>14</v>
      </c>
      <c r="W43" s="706">
        <f t="shared" si="12"/>
        <v>100</v>
      </c>
      <c r="X43" s="1355"/>
      <c r="Y43" s="37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1"/>
      <c r="Q44" s="1352">
        <f t="shared" si="14"/>
        <v>111</v>
      </c>
      <c r="R44" s="705" t="s">
        <v>14</v>
      </c>
      <c r="S44" s="706">
        <f t="shared" si="10"/>
        <v>100</v>
      </c>
      <c r="T44" s="705" t="s">
        <v>14</v>
      </c>
      <c r="U44" s="706">
        <f t="shared" si="11"/>
        <v>100</v>
      </c>
      <c r="V44" s="705" t="s">
        <v>14</v>
      </c>
      <c r="W44" s="706">
        <f t="shared" si="12"/>
        <v>100</v>
      </c>
      <c r="X44" s="1355"/>
      <c r="Y44" s="377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1"/>
      <c r="Q45" s="1352">
        <f t="shared" si="14"/>
        <v>111</v>
      </c>
      <c r="R45" s="708" t="s">
        <v>14</v>
      </c>
      <c r="S45" s="709">
        <f t="shared" si="10"/>
        <v>100</v>
      </c>
      <c r="T45" s="708" t="s">
        <v>14</v>
      </c>
      <c r="U45" s="709">
        <f t="shared" si="11"/>
        <v>100</v>
      </c>
      <c r="V45" s="708" t="s">
        <v>14</v>
      </c>
      <c r="W45" s="709">
        <f t="shared" si="12"/>
        <v>100</v>
      </c>
      <c r="X45" s="710"/>
      <c r="Y45" s="377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64" t="str">
        <f>A46</f>
        <v>成交单价</v>
      </c>
      <c r="Q46" s="3764"/>
      <c r="R46" s="3759">
        <f>E46</f>
        <v>0</v>
      </c>
      <c r="S46" s="3759"/>
      <c r="T46" s="3759">
        <f>G46</f>
        <v>0</v>
      </c>
      <c r="U46" s="3759"/>
      <c r="V46" s="3759">
        <f>I46</f>
        <v>0</v>
      </c>
      <c r="W46" s="375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4" t="str">
        <f>A47</f>
        <v>比较价值（元/平方米）</v>
      </c>
      <c r="Q47" s="3764"/>
      <c r="R47" s="3797" t="e">
        <f>ROUND(PRODUCT(R46,AA7:AA45),0)</f>
        <v>#DIV/0!</v>
      </c>
      <c r="S47" s="3797"/>
      <c r="T47" s="3797" t="e">
        <f>ROUND(PRODUCT(T46,AB7:AB45),0)</f>
        <v>#DIV/0!</v>
      </c>
      <c r="U47" s="3797"/>
      <c r="V47" s="3797" t="e">
        <f>ROUND(PRODUCT(V46,AC7:AC45),0)</f>
        <v>#DIV/0!</v>
      </c>
      <c r="W47" s="379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61" t="str">
        <f>A48</f>
        <v>估价对象XX用房的比较价值（楼面单价，元/平方米）</v>
      </c>
      <c r="Q48" s="3762"/>
      <c r="R48" s="3798" t="e">
        <f>ROUND(IF(D47="简单平均",AVERAGE(R47:W47),R47*F47+T47*H47+V47*J47),0)</f>
        <v>#DIV/0!</v>
      </c>
      <c r="S48" s="3798"/>
      <c r="T48" s="3798"/>
      <c r="U48" s="3798"/>
      <c r="V48" s="3798"/>
      <c r="W48" s="379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7" t="s">
        <v>1887</v>
      </c>
      <c r="H55" s="379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93.83</v>
      </c>
      <c r="F56" s="886" t="e">
        <f t="shared" ref="F56:F64" si="15">ROUND(B56*E56/10000,0)</f>
        <v>#DIV/0!</v>
      </c>
      <c r="G56" s="3746"/>
      <c r="H56" s="37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93.83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2004-1-1</v>
      </c>
      <c r="D67" s="692">
        <f>EDATE(C67,-3)</f>
        <v>37895</v>
      </c>
      <c r="E67" s="692">
        <f>EDATE(D67,-3)</f>
        <v>37803</v>
      </c>
      <c r="F67" s="692">
        <f t="shared" ref="F67:O67" si="18">EDATE(E67,-3)</f>
        <v>37712</v>
      </c>
      <c r="G67" s="692">
        <f t="shared" si="18"/>
        <v>37622</v>
      </c>
      <c r="H67" s="692">
        <f t="shared" si="18"/>
        <v>37530</v>
      </c>
      <c r="I67" s="692">
        <f t="shared" si="18"/>
        <v>37438</v>
      </c>
      <c r="J67" s="692">
        <f t="shared" si="18"/>
        <v>37347</v>
      </c>
      <c r="K67" s="692">
        <f t="shared" si="18"/>
        <v>37257</v>
      </c>
      <c r="L67" s="692">
        <f t="shared" si="18"/>
        <v>37165</v>
      </c>
      <c r="M67" s="692">
        <f t="shared" si="18"/>
        <v>37073</v>
      </c>
      <c r="N67" s="692">
        <f t="shared" si="18"/>
        <v>36982</v>
      </c>
      <c r="O67" s="692">
        <f t="shared" si="18"/>
        <v>36892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2004-1</v>
      </c>
      <c r="D69" s="1182" t="str">
        <f>YEAR(D67)&amp;"-"&amp;ROUNDUP(MONTH(D67)/3,0)</f>
        <v>2003-4</v>
      </c>
      <c r="E69" s="1182" t="str">
        <f t="shared" ref="E69:O69" si="19">YEAR(E67)&amp;"-"&amp;ROUNDUP(MONTH(E67)/3,0)</f>
        <v>2003-3</v>
      </c>
      <c r="F69" s="1182" t="str">
        <f t="shared" si="19"/>
        <v>2003-2</v>
      </c>
      <c r="G69" s="1182" t="str">
        <f t="shared" si="19"/>
        <v>2003-1</v>
      </c>
      <c r="H69" s="1182" t="str">
        <f t="shared" si="19"/>
        <v>2002-4</v>
      </c>
      <c r="I69" s="1182" t="str">
        <f t="shared" si="19"/>
        <v>2002-3</v>
      </c>
      <c r="J69" s="1182" t="str">
        <f t="shared" si="19"/>
        <v>2002-2</v>
      </c>
      <c r="K69" s="1182" t="str">
        <f t="shared" si="19"/>
        <v>2002-1</v>
      </c>
      <c r="L69" s="1182" t="str">
        <f t="shared" si="19"/>
        <v>2001-4</v>
      </c>
      <c r="M69" s="1182" t="str">
        <f t="shared" si="19"/>
        <v>2001-3</v>
      </c>
      <c r="N69" s="1182" t="str">
        <f t="shared" si="19"/>
        <v>2001-2</v>
      </c>
      <c r="O69" s="1182" t="str">
        <f t="shared" si="19"/>
        <v>2001-1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7" t="s">
        <v>1770</v>
      </c>
      <c r="D4" s="3748"/>
      <c r="E4" s="3749" t="s">
        <v>1771</v>
      </c>
      <c r="F4" s="3750"/>
      <c r="G4" s="3747" t="s">
        <v>1772</v>
      </c>
      <c r="H4" s="3748"/>
      <c r="I4" s="3747" t="s">
        <v>1773</v>
      </c>
      <c r="J4" s="3748"/>
      <c r="K4" s="559" t="s">
        <v>1774</v>
      </c>
      <c r="L4" s="2715"/>
      <c r="M4" s="2716"/>
      <c r="N4" s="2716"/>
      <c r="O4" s="2716"/>
      <c r="P4" s="3751" t="s">
        <v>1775</v>
      </c>
      <c r="Q4" s="3752"/>
      <c r="R4" s="3732" t="s">
        <v>1771</v>
      </c>
      <c r="S4" s="3733"/>
      <c r="T4" s="3732" t="s">
        <v>1772</v>
      </c>
      <c r="U4" s="3733"/>
      <c r="V4" s="3759" t="s">
        <v>1773</v>
      </c>
      <c r="W4" s="3759"/>
      <c r="X4" s="1355"/>
      <c r="Y4" s="3732" t="s">
        <v>1775</v>
      </c>
      <c r="Z4" s="3733"/>
      <c r="AA4" s="3727" t="s">
        <v>1771</v>
      </c>
      <c r="AB4" s="3728" t="s">
        <v>1772</v>
      </c>
      <c r="AC4" s="3727" t="s">
        <v>1773</v>
      </c>
    </row>
    <row r="5" spans="1:29">
      <c r="A5" s="358"/>
      <c r="B5" s="359"/>
      <c r="C5" s="3777" t="s">
        <v>1673</v>
      </c>
      <c r="D5" s="3739"/>
      <c r="E5" s="3775" t="s">
        <v>1674</v>
      </c>
      <c r="F5" s="3776"/>
      <c r="G5" s="3777" t="s">
        <v>1675</v>
      </c>
      <c r="H5" s="3739"/>
      <c r="I5" s="3777" t="s">
        <v>1676</v>
      </c>
      <c r="J5" s="3739"/>
      <c r="K5" s="559"/>
      <c r="L5" s="2715"/>
      <c r="M5" s="2716"/>
      <c r="N5" s="2716"/>
      <c r="O5" s="2716"/>
      <c r="P5" s="3753"/>
      <c r="Q5" s="3754"/>
      <c r="R5" s="3734"/>
      <c r="S5" s="3735"/>
      <c r="T5" s="3734"/>
      <c r="U5" s="3735"/>
      <c r="V5" s="3759"/>
      <c r="W5" s="3759"/>
      <c r="X5" s="1355"/>
      <c r="Y5" s="3734"/>
      <c r="Z5" s="3735"/>
      <c r="AA5" s="3728"/>
      <c r="AB5" s="3728"/>
      <c r="AC5" s="3728"/>
    </row>
    <row r="6" spans="1:29" ht="15" thickBot="1">
      <c r="A6" s="360"/>
      <c r="B6" s="361"/>
      <c r="C6" s="3800" t="s">
        <v>1919</v>
      </c>
      <c r="D6" s="3801"/>
      <c r="E6" s="3802" t="s">
        <v>1919</v>
      </c>
      <c r="F6" s="3803"/>
      <c r="G6" s="3800" t="s">
        <v>1919</v>
      </c>
      <c r="H6" s="3801"/>
      <c r="I6" s="3800" t="s">
        <v>1919</v>
      </c>
      <c r="J6" s="3801"/>
      <c r="K6" s="559" t="s">
        <v>1678</v>
      </c>
      <c r="L6" s="2715"/>
      <c r="M6" s="2716"/>
      <c r="N6" s="2716"/>
      <c r="O6" s="2716"/>
      <c r="P6" s="3755"/>
      <c r="Q6" s="3756"/>
      <c r="R6" s="3734"/>
      <c r="S6" s="3735"/>
      <c r="T6" s="3757"/>
      <c r="U6" s="3758"/>
      <c r="V6" s="3759"/>
      <c r="W6" s="3759"/>
      <c r="X6" s="1355"/>
      <c r="Y6" s="3757"/>
      <c r="Z6" s="3758"/>
      <c r="AA6" s="3729"/>
      <c r="AB6" s="3729"/>
      <c r="AC6" s="3729"/>
    </row>
    <row r="7" spans="1:29" s="108" customFormat="1" ht="15" thickBot="1">
      <c r="A7" s="362" t="s">
        <v>1679</v>
      </c>
      <c r="B7" s="363"/>
      <c r="C7" s="364">
        <f>'数据-取费表'!B2</f>
        <v>38017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0" t="s">
        <v>1680</v>
      </c>
      <c r="Q7" s="3760"/>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0" t="s">
        <v>1683</v>
      </c>
      <c r="Q8" s="3731"/>
      <c r="R8" s="701" t="s">
        <v>14</v>
      </c>
      <c r="S8" s="702">
        <f t="shared" si="0"/>
        <v>0</v>
      </c>
      <c r="T8" s="701" t="s">
        <v>14</v>
      </c>
      <c r="U8" s="702">
        <f t="shared" si="1"/>
        <v>0</v>
      </c>
      <c r="V8" s="701" t="s">
        <v>14</v>
      </c>
      <c r="W8" s="702">
        <f t="shared" si="2"/>
        <v>0</v>
      </c>
      <c r="X8" s="703"/>
      <c r="Y8" s="3730" t="s">
        <v>1683</v>
      </c>
      <c r="Z8" s="373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4" t="s">
        <v>1686</v>
      </c>
      <c r="Q9" s="1343"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64"/>
      <c r="Q10" s="1343" t="str">
        <f t="shared" si="6"/>
        <v>土地使用年限（年）</v>
      </c>
      <c r="R10" s="701" t="s">
        <v>14</v>
      </c>
      <c r="S10" s="702" t="e">
        <f t="shared" si="0"/>
        <v>#DIV/0!</v>
      </c>
      <c r="T10" s="701" t="s">
        <v>14</v>
      </c>
      <c r="U10" s="702" t="e">
        <f t="shared" si="1"/>
        <v>#DIV/0!</v>
      </c>
      <c r="V10" s="701" t="s">
        <v>14</v>
      </c>
      <c r="W10" s="702" t="e">
        <f t="shared" si="2"/>
        <v>#DIV/0!</v>
      </c>
      <c r="X10" s="703"/>
      <c r="Y10" s="367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4"/>
      <c r="Q11" s="1343" t="str">
        <f t="shared" si="6"/>
        <v>容积率</v>
      </c>
      <c r="R11" s="701" t="s">
        <v>14</v>
      </c>
      <c r="S11" s="702" t="e">
        <f t="shared" si="0"/>
        <v>#N/A</v>
      </c>
      <c r="T11" s="701" t="s">
        <v>14</v>
      </c>
      <c r="U11" s="702" t="e">
        <f t="shared" si="1"/>
        <v>#N/A</v>
      </c>
      <c r="V11" s="701" t="s">
        <v>14</v>
      </c>
      <c r="W11" s="702" t="e">
        <f t="shared" si="2"/>
        <v>#N/A</v>
      </c>
      <c r="X11" s="703"/>
      <c r="Y11" s="36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4"/>
      <c r="Q12" s="1343">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4"/>
      <c r="Q13" s="1343">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4"/>
      <c r="Q14" s="1343">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6" t="s">
        <v>1691</v>
      </c>
      <c r="Q15" s="1352" t="str">
        <f t="shared" si="6"/>
        <v>产业集聚程度</v>
      </c>
      <c r="R15" s="705" t="s">
        <v>14</v>
      </c>
      <c r="S15" s="706">
        <f t="shared" si="0"/>
        <v>100</v>
      </c>
      <c r="T15" s="705" t="s">
        <v>14</v>
      </c>
      <c r="U15" s="706">
        <f t="shared" si="1"/>
        <v>100</v>
      </c>
      <c r="V15" s="705" t="s">
        <v>14</v>
      </c>
      <c r="W15" s="706">
        <f t="shared" si="2"/>
        <v>100</v>
      </c>
      <c r="X15" s="1355"/>
      <c r="Y15" s="37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7"/>
      <c r="Q16" s="1352"/>
      <c r="R16" s="705"/>
      <c r="S16" s="706"/>
      <c r="T16" s="705"/>
      <c r="U16" s="706"/>
      <c r="V16" s="705"/>
      <c r="W16" s="706"/>
      <c r="X16" s="1355"/>
      <c r="Y16" s="376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7"/>
      <c r="Q17" s="1352" t="str">
        <f>B17</f>
        <v>交通便捷度</v>
      </c>
      <c r="R17" s="705" t="s">
        <v>14</v>
      </c>
      <c r="S17" s="706">
        <f>F17</f>
        <v>100</v>
      </c>
      <c r="T17" s="705" t="s">
        <v>14</v>
      </c>
      <c r="U17" s="706">
        <f>H17</f>
        <v>100</v>
      </c>
      <c r="V17" s="705" t="s">
        <v>14</v>
      </c>
      <c r="W17" s="706">
        <f>J17</f>
        <v>100</v>
      </c>
      <c r="X17" s="1355"/>
      <c r="Y17" s="37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7"/>
      <c r="Q18" s="1352"/>
      <c r="R18" s="705"/>
      <c r="S18" s="706"/>
      <c r="T18" s="705"/>
      <c r="U18" s="706"/>
      <c r="V18" s="705"/>
      <c r="W18" s="706"/>
      <c r="X18" s="1355"/>
      <c r="Y18" s="376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7"/>
      <c r="Q19" s="1352" t="str">
        <f t="shared" ref="Q19:Q33" si="8">B19</f>
        <v>区域土地利用方向</v>
      </c>
      <c r="R19" s="705" t="s">
        <v>14</v>
      </c>
      <c r="S19" s="706">
        <f>F19</f>
        <v>100</v>
      </c>
      <c r="T19" s="705" t="s">
        <v>14</v>
      </c>
      <c r="U19" s="706">
        <f>H19</f>
        <v>100</v>
      </c>
      <c r="V19" s="705" t="s">
        <v>14</v>
      </c>
      <c r="W19" s="706">
        <f>J19</f>
        <v>100</v>
      </c>
      <c r="X19" s="1355"/>
      <c r="Y19" s="37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7"/>
      <c r="Q20" s="1352"/>
      <c r="R20" s="705"/>
      <c r="S20" s="706"/>
      <c r="T20" s="705"/>
      <c r="U20" s="706"/>
      <c r="V20" s="705"/>
      <c r="W20" s="706"/>
      <c r="X20" s="1355"/>
      <c r="Y20" s="376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7"/>
      <c r="Q21" s="1352" t="str">
        <f t="shared" si="8"/>
        <v>环境状况</v>
      </c>
      <c r="R21" s="705" t="s">
        <v>14</v>
      </c>
      <c r="S21" s="706">
        <f>F21</f>
        <v>100</v>
      </c>
      <c r="T21" s="705" t="s">
        <v>14</v>
      </c>
      <c r="U21" s="706">
        <f>H21</f>
        <v>100</v>
      </c>
      <c r="V21" s="705" t="s">
        <v>14</v>
      </c>
      <c r="W21" s="706">
        <f>J21</f>
        <v>100</v>
      </c>
      <c r="X21" s="1355"/>
      <c r="Y21" s="37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7"/>
      <c r="Q22" s="1352"/>
      <c r="R22" s="705"/>
      <c r="S22" s="706"/>
      <c r="T22" s="705"/>
      <c r="U22" s="706"/>
      <c r="V22" s="705"/>
      <c r="W22" s="706"/>
      <c r="X22" s="1355"/>
      <c r="Y22" s="376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7"/>
      <c r="Q23" s="1343" t="str">
        <f t="shared" si="8"/>
        <v>公共配套设施</v>
      </c>
      <c r="R23" s="701" t="s">
        <v>14</v>
      </c>
      <c r="S23" s="702">
        <f>F23</f>
        <v>100</v>
      </c>
      <c r="T23" s="701" t="s">
        <v>14</v>
      </c>
      <c r="U23" s="702">
        <f>H23</f>
        <v>100</v>
      </c>
      <c r="V23" s="701" t="s">
        <v>14</v>
      </c>
      <c r="W23" s="702">
        <f>J23</f>
        <v>100</v>
      </c>
      <c r="X23" s="703"/>
      <c r="Y23" s="37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7"/>
      <c r="Q24" s="1343"/>
      <c r="R24" s="701"/>
      <c r="S24" s="702"/>
      <c r="T24" s="701"/>
      <c r="U24" s="702"/>
      <c r="V24" s="701"/>
      <c r="W24" s="702"/>
      <c r="X24" s="703"/>
      <c r="Y24" s="376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7"/>
      <c r="Q25" s="1343" t="str">
        <f t="shared" ref="Q25" si="9">B25</f>
        <v>基础设施水平</v>
      </c>
      <c r="R25" s="701" t="s">
        <v>14</v>
      </c>
      <c r="S25" s="702">
        <f>F25</f>
        <v>100</v>
      </c>
      <c r="T25" s="701" t="s">
        <v>14</v>
      </c>
      <c r="U25" s="702">
        <f>H25</f>
        <v>100</v>
      </c>
      <c r="V25" s="701" t="s">
        <v>14</v>
      </c>
      <c r="W25" s="702">
        <f>J25</f>
        <v>100</v>
      </c>
      <c r="X25" s="703"/>
      <c r="Y25" s="37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7"/>
      <c r="Q26" s="1343"/>
      <c r="R26" s="701"/>
      <c r="S26" s="702"/>
      <c r="T26" s="701"/>
      <c r="U26" s="702"/>
      <c r="V26" s="701"/>
      <c r="W26" s="702"/>
      <c r="X26" s="703"/>
      <c r="Y26" s="37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7"/>
      <c r="Q28" s="1352" t="str">
        <f t="shared" si="8"/>
        <v>毗邻道路的类型与等级</v>
      </c>
      <c r="R28" s="705" t="s">
        <v>14</v>
      </c>
      <c r="S28" s="706">
        <f t="shared" si="10"/>
        <v>100</v>
      </c>
      <c r="T28" s="705" t="s">
        <v>14</v>
      </c>
      <c r="U28" s="706">
        <f t="shared" si="11"/>
        <v>100</v>
      </c>
      <c r="V28" s="705" t="s">
        <v>14</v>
      </c>
      <c r="W28" s="706">
        <f t="shared" si="12"/>
        <v>100</v>
      </c>
      <c r="X28" s="1355"/>
      <c r="Y28" s="37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7"/>
      <c r="Q29" s="1352"/>
      <c r="R29" s="705"/>
      <c r="S29" s="706"/>
      <c r="T29" s="705"/>
      <c r="U29" s="706"/>
      <c r="V29" s="705"/>
      <c r="W29" s="706"/>
      <c r="X29" s="1355"/>
      <c r="Y29" s="37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7"/>
      <c r="Q30" s="1352" t="str">
        <f t="shared" si="8"/>
        <v>土地级别</v>
      </c>
      <c r="R30" s="705" t="s">
        <v>14</v>
      </c>
      <c r="S30" s="706">
        <f t="shared" si="10"/>
        <v>100</v>
      </c>
      <c r="T30" s="705" t="s">
        <v>14</v>
      </c>
      <c r="U30" s="706">
        <f t="shared" si="11"/>
        <v>100</v>
      </c>
      <c r="V30" s="705" t="s">
        <v>14</v>
      </c>
      <c r="W30" s="706">
        <f t="shared" si="12"/>
        <v>100</v>
      </c>
      <c r="X30" s="1355"/>
      <c r="Y30" s="37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7"/>
      <c r="Q31" s="1352">
        <f t="shared" si="8"/>
        <v>111</v>
      </c>
      <c r="R31" s="705" t="s">
        <v>14</v>
      </c>
      <c r="S31" s="706">
        <f t="shared" si="10"/>
        <v>100</v>
      </c>
      <c r="T31" s="705" t="s">
        <v>14</v>
      </c>
      <c r="U31" s="706">
        <f t="shared" si="11"/>
        <v>100</v>
      </c>
      <c r="V31" s="705" t="s">
        <v>14</v>
      </c>
      <c r="W31" s="706">
        <f t="shared" si="12"/>
        <v>100</v>
      </c>
      <c r="X31" s="1355"/>
      <c r="Y31" s="37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5" t="s">
        <v>1696</v>
      </c>
      <c r="Q32" s="1352">
        <f t="shared" si="8"/>
        <v>111</v>
      </c>
      <c r="R32" s="705" t="s">
        <v>14</v>
      </c>
      <c r="S32" s="706">
        <f t="shared" si="10"/>
        <v>100</v>
      </c>
      <c r="T32" s="705" t="s">
        <v>14</v>
      </c>
      <c r="U32" s="706">
        <f t="shared" si="11"/>
        <v>100</v>
      </c>
      <c r="V32" s="705" t="s">
        <v>14</v>
      </c>
      <c r="W32" s="706">
        <f t="shared" si="12"/>
        <v>100</v>
      </c>
      <c r="X32" s="1355"/>
      <c r="Y32" s="377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1"/>
      <c r="Q33" s="1352">
        <f t="shared" si="8"/>
        <v>111</v>
      </c>
      <c r="R33" s="708" t="s">
        <v>14</v>
      </c>
      <c r="S33" s="709">
        <f t="shared" si="10"/>
        <v>100</v>
      </c>
      <c r="T33" s="708" t="s">
        <v>14</v>
      </c>
      <c r="U33" s="709">
        <f t="shared" si="11"/>
        <v>100</v>
      </c>
      <c r="V33" s="708" t="s">
        <v>14</v>
      </c>
      <c r="W33" s="709">
        <f t="shared" si="12"/>
        <v>100</v>
      </c>
      <c r="X33" s="710"/>
      <c r="Y33" s="37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1"/>
      <c r="Q34" s="1352" t="str">
        <f>B34</f>
        <v>宗地面积</v>
      </c>
      <c r="R34" s="705" t="s">
        <v>14</v>
      </c>
      <c r="S34" s="706" t="e">
        <f t="shared" si="10"/>
        <v>#N/A</v>
      </c>
      <c r="T34" s="705" t="s">
        <v>14</v>
      </c>
      <c r="U34" s="706" t="e">
        <f t="shared" si="11"/>
        <v>#N/A</v>
      </c>
      <c r="V34" s="705" t="s">
        <v>14</v>
      </c>
      <c r="W34" s="706" t="e">
        <f t="shared" si="12"/>
        <v>#N/A</v>
      </c>
      <c r="X34" s="1355"/>
      <c r="Y34" s="37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1"/>
      <c r="Q35" s="1352" t="str">
        <f t="shared" ref="Q35:Q40" si="14">B35</f>
        <v>宗地形状</v>
      </c>
      <c r="R35" s="705" t="s">
        <v>14</v>
      </c>
      <c r="S35" s="706">
        <f t="shared" si="10"/>
        <v>100</v>
      </c>
      <c r="T35" s="705" t="s">
        <v>14</v>
      </c>
      <c r="U35" s="706">
        <f t="shared" si="11"/>
        <v>100</v>
      </c>
      <c r="V35" s="705" t="s">
        <v>14</v>
      </c>
      <c r="W35" s="706">
        <f t="shared" si="12"/>
        <v>100</v>
      </c>
      <c r="X35" s="1355"/>
      <c r="Y35" s="37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1"/>
      <c r="Q36" s="1352" t="str">
        <f t="shared" si="14"/>
        <v>宗地开发程度</v>
      </c>
      <c r="R36" s="701" t="s">
        <v>14</v>
      </c>
      <c r="S36" s="702">
        <f t="shared" si="10"/>
        <v>100</v>
      </c>
      <c r="T36" s="701" t="s">
        <v>14</v>
      </c>
      <c r="U36" s="702">
        <f t="shared" si="11"/>
        <v>100</v>
      </c>
      <c r="V36" s="701" t="s">
        <v>14</v>
      </c>
      <c r="W36" s="702">
        <f t="shared" si="12"/>
        <v>100</v>
      </c>
      <c r="X36" s="703"/>
      <c r="Y36" s="37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1" t="s">
        <v>1696</v>
      </c>
      <c r="Q37" s="1352" t="str">
        <f t="shared" si="14"/>
        <v>工程地质条件</v>
      </c>
      <c r="R37" s="705" t="s">
        <v>14</v>
      </c>
      <c r="S37" s="706">
        <f t="shared" si="10"/>
        <v>100</v>
      </c>
      <c r="T37" s="705" t="s">
        <v>14</v>
      </c>
      <c r="U37" s="706">
        <f t="shared" si="11"/>
        <v>100</v>
      </c>
      <c r="V37" s="705" t="s">
        <v>14</v>
      </c>
      <c r="W37" s="706">
        <f t="shared" si="12"/>
        <v>100</v>
      </c>
      <c r="X37" s="1355"/>
      <c r="Y37" s="37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1"/>
      <c r="Q38" s="1352">
        <f t="shared" si="14"/>
        <v>111</v>
      </c>
      <c r="R38" s="705" t="s">
        <v>14</v>
      </c>
      <c r="S38" s="706">
        <f t="shared" si="10"/>
        <v>100</v>
      </c>
      <c r="T38" s="705" t="s">
        <v>14</v>
      </c>
      <c r="U38" s="706">
        <f t="shared" si="11"/>
        <v>100</v>
      </c>
      <c r="V38" s="705" t="s">
        <v>14</v>
      </c>
      <c r="W38" s="706">
        <f t="shared" si="12"/>
        <v>100</v>
      </c>
      <c r="X38" s="1355"/>
      <c r="Y38" s="37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1"/>
      <c r="Q39" s="1352">
        <f t="shared" si="14"/>
        <v>111</v>
      </c>
      <c r="R39" s="705" t="s">
        <v>14</v>
      </c>
      <c r="S39" s="706">
        <f t="shared" si="10"/>
        <v>100</v>
      </c>
      <c r="T39" s="705" t="s">
        <v>14</v>
      </c>
      <c r="U39" s="706">
        <f t="shared" si="11"/>
        <v>100</v>
      </c>
      <c r="V39" s="705" t="s">
        <v>14</v>
      </c>
      <c r="W39" s="706">
        <f t="shared" si="12"/>
        <v>100</v>
      </c>
      <c r="X39" s="1355"/>
      <c r="Y39" s="377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1"/>
      <c r="Q40" s="1352">
        <f t="shared" si="14"/>
        <v>111</v>
      </c>
      <c r="R40" s="708" t="s">
        <v>14</v>
      </c>
      <c r="S40" s="709">
        <f t="shared" si="10"/>
        <v>100</v>
      </c>
      <c r="T40" s="708" t="s">
        <v>14</v>
      </c>
      <c r="U40" s="709">
        <f t="shared" si="11"/>
        <v>100</v>
      </c>
      <c r="V40" s="708" t="s">
        <v>14</v>
      </c>
      <c r="W40" s="709">
        <f t="shared" si="12"/>
        <v>100</v>
      </c>
      <c r="X40" s="710"/>
      <c r="Y40" s="377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64" t="str">
        <f>A41</f>
        <v>成交单价</v>
      </c>
      <c r="Q41" s="3764"/>
      <c r="R41" s="3759">
        <f>E41</f>
        <v>0</v>
      </c>
      <c r="S41" s="3759"/>
      <c r="T41" s="3759">
        <f>G41</f>
        <v>0</v>
      </c>
      <c r="U41" s="3759"/>
      <c r="V41" s="3759">
        <f>I41</f>
        <v>0</v>
      </c>
      <c r="W41" s="375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4" t="str">
        <f>A42</f>
        <v>比较价值（元/平方米）</v>
      </c>
      <c r="Q42" s="3764"/>
      <c r="R42" s="3797" t="e">
        <f>ROUND(PRODUCT(R41,AA7:AA40),0)</f>
        <v>#DIV/0!</v>
      </c>
      <c r="S42" s="3797"/>
      <c r="T42" s="3797" t="e">
        <f>ROUND(PRODUCT(T41,AB7:AB40),0)</f>
        <v>#DIV/0!</v>
      </c>
      <c r="U42" s="3797"/>
      <c r="V42" s="3797" t="e">
        <f>ROUND(PRODUCT(V41,AC7:AC40),0)</f>
        <v>#DIV/0!</v>
      </c>
      <c r="W42" s="379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61" t="str">
        <f>A43</f>
        <v>估价对象XX用房的比较价值（楼面单价，元/平方米）</v>
      </c>
      <c r="Q43" s="3762"/>
      <c r="R43" s="3798" t="e">
        <f>ROUND(IF(D42="简单平均",AVERAGE(R42:W42),R42*F42+T42*H42+V42*J42),0)</f>
        <v>#DIV/0!</v>
      </c>
      <c r="S43" s="3798"/>
      <c r="T43" s="3798"/>
      <c r="U43" s="3798"/>
      <c r="V43" s="3798"/>
      <c r="W43" s="379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7" t="s">
        <v>1887</v>
      </c>
      <c r="H50" s="379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93.83</v>
      </c>
      <c r="F51" s="639" t="e">
        <f t="shared" ref="F51:F60" si="15">ROUND(B51*E51/10000,0)</f>
        <v>#DIV/0!</v>
      </c>
      <c r="G51" s="3746"/>
      <c r="H51" s="37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2004-1-1</v>
      </c>
      <c r="D63" s="692">
        <f>EDATE(C63,-3)</f>
        <v>37895</v>
      </c>
      <c r="E63" s="692">
        <f>EDATE(D63,-3)</f>
        <v>37803</v>
      </c>
      <c r="F63" s="692">
        <f t="shared" ref="F63:O63" si="18">EDATE(E63,-3)</f>
        <v>37712</v>
      </c>
      <c r="G63" s="692">
        <f t="shared" si="18"/>
        <v>37622</v>
      </c>
      <c r="H63" s="692">
        <f t="shared" si="18"/>
        <v>37530</v>
      </c>
      <c r="I63" s="692">
        <f t="shared" si="18"/>
        <v>37438</v>
      </c>
      <c r="J63" s="692">
        <f t="shared" si="18"/>
        <v>37347</v>
      </c>
      <c r="K63" s="692">
        <f t="shared" si="18"/>
        <v>37257</v>
      </c>
      <c r="L63" s="692">
        <f t="shared" si="18"/>
        <v>37165</v>
      </c>
      <c r="M63" s="692">
        <f t="shared" si="18"/>
        <v>37073</v>
      </c>
      <c r="N63" s="692">
        <f t="shared" si="18"/>
        <v>36982</v>
      </c>
      <c r="O63" s="692">
        <f t="shared" si="18"/>
        <v>36892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2004-1</v>
      </c>
      <c r="D65" s="1182" t="str">
        <f t="shared" ref="D65:O65" si="19">YEAR(D63)&amp;"-"&amp;ROUNDUP(MONTH(D63)/3,0)</f>
        <v>2003-4</v>
      </c>
      <c r="E65" s="1182" t="str">
        <f t="shared" si="19"/>
        <v>2003-3</v>
      </c>
      <c r="F65" s="1182" t="str">
        <f t="shared" si="19"/>
        <v>2003-2</v>
      </c>
      <c r="G65" s="1182" t="str">
        <f t="shared" si="19"/>
        <v>2003-1</v>
      </c>
      <c r="H65" s="1182" t="str">
        <f t="shared" si="19"/>
        <v>2002-4</v>
      </c>
      <c r="I65" s="1182" t="str">
        <f t="shared" si="19"/>
        <v>2002-3</v>
      </c>
      <c r="J65" s="1182" t="str">
        <f t="shared" si="19"/>
        <v>2002-2</v>
      </c>
      <c r="K65" s="1182" t="str">
        <f t="shared" si="19"/>
        <v>2002-1</v>
      </c>
      <c r="L65" s="1182" t="str">
        <f t="shared" si="19"/>
        <v>2001-4</v>
      </c>
      <c r="M65" s="1182" t="str">
        <f t="shared" si="19"/>
        <v>2001-3</v>
      </c>
      <c r="N65" s="1182" t="str">
        <f t="shared" si="19"/>
        <v>2001-2</v>
      </c>
      <c r="O65" s="1182" t="str">
        <f t="shared" si="19"/>
        <v>2001-1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7" t="s">
        <v>2084</v>
      </c>
      <c r="D1" s="3808"/>
      <c r="E1" s="3808"/>
      <c r="F1" s="3808"/>
      <c r="G1" s="3808"/>
      <c r="H1" s="3808"/>
      <c r="I1" s="3808"/>
      <c r="J1" s="3808"/>
      <c r="K1" s="3808"/>
      <c r="L1" s="3808"/>
      <c r="M1" s="3808"/>
      <c r="N1" s="3808"/>
      <c r="O1" s="3808"/>
      <c r="P1" s="3808"/>
      <c r="Q1" s="3808"/>
      <c r="R1" s="3808"/>
      <c r="S1" s="380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4" t="s">
        <v>27</v>
      </c>
      <c r="D22" s="3805"/>
      <c r="E22" s="3805"/>
      <c r="F22" s="3805"/>
      <c r="G22" s="3805"/>
      <c r="H22" s="3805"/>
      <c r="I22" s="3805"/>
      <c r="J22" s="3805"/>
      <c r="K22" s="3805"/>
      <c r="L22" s="3805"/>
      <c r="M22" s="3805"/>
      <c r="N22" s="3805"/>
      <c r="O22" s="3805"/>
      <c r="P22" s="3805"/>
      <c r="Q22" s="380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17"/>
      <c r="B4" s="3818"/>
      <c r="C4" s="3818"/>
      <c r="D4" s="3819"/>
      <c r="E4" s="3819"/>
      <c r="F4" s="3819"/>
      <c r="G4" s="3819"/>
      <c r="H4" s="3819"/>
      <c r="I4" s="3819"/>
      <c r="J4" s="382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14" t="s">
        <v>1960</v>
      </c>
      <c r="X8" s="381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16"/>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1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21" t="s">
        <v>3255</v>
      </c>
      <c r="B20" s="167" t="s">
        <v>1994</v>
      </c>
      <c r="C20" s="3325" t="e">
        <f>ROUND(IF(F21="与级别开发程度一致",0,(G21-E21)/C21),0)</f>
        <v>#DIV/0!</v>
      </c>
      <c r="D20" s="3341" t="s">
        <v>1998</v>
      </c>
      <c r="E20" s="3342"/>
      <c r="F20" s="3827" t="s">
        <v>1995</v>
      </c>
      <c r="G20" s="382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2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38017</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5.3099999999999994E-2</v>
      </c>
      <c r="M36" s="3358">
        <f ca="1">ROUND($L$36*(1+M31),3)</f>
        <v>6.6000000000000003E-2</v>
      </c>
      <c r="N36" s="3358">
        <f ca="1">ROUND($L$36*(1+N31),3)</f>
        <v>6.4000000000000001E-2</v>
      </c>
      <c r="O36" s="3358">
        <f ca="1">ROUND($L$36*(1+O31),3)</f>
        <v>6.0999999999999999E-2</v>
      </c>
      <c r="P36" s="3358">
        <f ca="1">ROUND($L$36*(1+P31),3)</f>
        <v>5.8000000000000003E-2</v>
      </c>
      <c r="Q36" s="3358">
        <f ca="1">ROUND($L$36*(1+Q31),3)</f>
        <v>6.0999999999999999E-2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2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5.8099999999999992E-2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26"/>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23" t="s">
        <v>3295</v>
      </c>
      <c r="B103" s="3823"/>
      <c r="C103" s="3823"/>
      <c r="D103" s="3823"/>
      <c r="E103" s="3823"/>
      <c r="F103" s="3823"/>
      <c r="G103" s="3823"/>
      <c r="H103" s="3823"/>
      <c r="I103" s="3823"/>
      <c r="J103" s="3823"/>
      <c r="K103" s="3390"/>
      <c r="L103" s="3390"/>
      <c r="M103" s="3390"/>
      <c r="N103" s="3390"/>
    </row>
    <row r="104" spans="1:14">
      <c r="A104" s="3824" t="s">
        <v>3296</v>
      </c>
      <c r="B104" s="3824" t="s">
        <v>3297</v>
      </c>
      <c r="C104" s="3391" t="s">
        <v>3298</v>
      </c>
      <c r="D104" s="3392"/>
      <c r="E104" s="3392"/>
      <c r="F104" s="3392"/>
      <c r="G104" s="3392"/>
      <c r="H104" s="3392"/>
      <c r="I104" s="3392"/>
      <c r="J104" s="3393"/>
      <c r="K104" s="3394"/>
      <c r="L104" s="3394"/>
      <c r="M104" s="3394"/>
      <c r="N104" s="3394"/>
    </row>
    <row r="105" spans="1:14">
      <c r="A105" s="3824"/>
      <c r="B105" s="3824"/>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810"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1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1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1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1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11"/>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1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13" t="s">
        <v>3312</v>
      </c>
      <c r="B113" s="3813"/>
      <c r="C113" s="3813"/>
      <c r="D113" s="3813"/>
      <c r="E113" s="3813"/>
      <c r="F113" s="3813"/>
      <c r="G113" s="3813"/>
      <c r="H113" s="3813"/>
      <c r="I113" s="3813"/>
      <c r="J113" s="381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36" t="s">
        <v>2608</v>
      </c>
      <c r="B20" s="3829" t="s">
        <v>2629</v>
      </c>
      <c r="C20" s="3103" t="s">
        <v>2440</v>
      </c>
      <c r="D20" s="3104"/>
      <c r="E20" s="3105">
        <v>1</v>
      </c>
      <c r="F20" s="3106" t="s">
        <v>2441</v>
      </c>
      <c r="G20" s="3106"/>
    </row>
    <row r="21" spans="1:13" ht="19.5" customHeight="1">
      <c r="A21" s="3837"/>
      <c r="B21" s="3830"/>
      <c r="C21" s="3107" t="s">
        <v>2442</v>
      </c>
      <c r="D21" s="3108"/>
      <c r="E21" s="3109">
        <v>1</v>
      </c>
      <c r="F21" s="3106" t="s">
        <v>2443</v>
      </c>
      <c r="G21" s="3106"/>
    </row>
    <row r="22" spans="1:13" ht="19.5" customHeight="1">
      <c r="A22" s="3837"/>
      <c r="B22" s="3830"/>
      <c r="C22" s="3107" t="s">
        <v>2444</v>
      </c>
      <c r="D22" s="3108"/>
      <c r="E22" s="3109">
        <v>0.9</v>
      </c>
      <c r="F22" s="3106" t="s">
        <v>2445</v>
      </c>
      <c r="G22" s="3106"/>
    </row>
    <row r="23" spans="1:13" ht="19.5" customHeight="1">
      <c r="A23" s="3837"/>
      <c r="B23" s="3830"/>
      <c r="C23" s="3107" t="s">
        <v>2446</v>
      </c>
      <c r="D23" s="3108"/>
      <c r="E23" s="3109">
        <v>0.9</v>
      </c>
      <c r="F23" s="3106" t="s">
        <v>2447</v>
      </c>
      <c r="G23" s="3106"/>
    </row>
    <row r="24" spans="1:13" ht="19.5" customHeight="1">
      <c r="A24" s="3837"/>
      <c r="B24" s="3830"/>
      <c r="C24" s="3107" t="s">
        <v>2448</v>
      </c>
      <c r="D24" s="3108"/>
      <c r="E24" s="3109">
        <v>0.8</v>
      </c>
      <c r="F24" s="3106" t="s">
        <v>2449</v>
      </c>
      <c r="G24" s="3106"/>
    </row>
    <row r="25" spans="1:13" ht="19.5" customHeight="1" thickBot="1">
      <c r="A25" s="3838"/>
      <c r="B25" s="3831"/>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832" t="s">
        <v>2632</v>
      </c>
      <c r="B27" s="3829" t="s">
        <v>2613</v>
      </c>
      <c r="C27" s="3103" t="s">
        <v>2453</v>
      </c>
      <c r="D27" s="3104"/>
      <c r="E27" s="3105">
        <v>1</v>
      </c>
      <c r="F27" s="3106" t="s">
        <v>2454</v>
      </c>
      <c r="G27" s="3106"/>
    </row>
    <row r="28" spans="1:13" ht="19.5" customHeight="1">
      <c r="A28" s="3833"/>
      <c r="B28" s="3830"/>
      <c r="C28" s="3107" t="s">
        <v>2455</v>
      </c>
      <c r="D28" s="3108"/>
      <c r="E28" s="3109">
        <v>1</v>
      </c>
      <c r="F28" s="3106" t="s">
        <v>2456</v>
      </c>
      <c r="G28" s="3106"/>
    </row>
    <row r="29" spans="1:13" ht="19.5" customHeight="1">
      <c r="A29" s="3833"/>
      <c r="B29" s="3830"/>
      <c r="C29" s="3107" t="s">
        <v>2457</v>
      </c>
      <c r="D29" s="3108"/>
      <c r="E29" s="3109">
        <v>0.8</v>
      </c>
      <c r="F29" s="3106" t="s">
        <v>2458</v>
      </c>
      <c r="G29" s="3106"/>
    </row>
    <row r="30" spans="1:13" ht="19.5" customHeight="1">
      <c r="A30" s="3833"/>
      <c r="B30" s="3830"/>
      <c r="C30" s="3107" t="s">
        <v>2459</v>
      </c>
      <c r="D30" s="3108"/>
      <c r="E30" s="3109">
        <v>0.8</v>
      </c>
      <c r="F30" s="3106" t="s">
        <v>2460</v>
      </c>
      <c r="G30" s="3106"/>
    </row>
    <row r="31" spans="1:13" ht="19.5" customHeight="1">
      <c r="A31" s="3833"/>
      <c r="B31" s="3830"/>
      <c r="C31" s="3107" t="s">
        <v>2461</v>
      </c>
      <c r="D31" s="3108"/>
      <c r="E31" s="3109">
        <v>0.8</v>
      </c>
      <c r="F31" s="3106" t="s">
        <v>2462</v>
      </c>
      <c r="G31" s="3106"/>
    </row>
    <row r="32" spans="1:13" ht="19.5" customHeight="1">
      <c r="A32" s="3833"/>
      <c r="B32" s="3830"/>
      <c r="C32" s="3107" t="s">
        <v>2463</v>
      </c>
      <c r="D32" s="3108"/>
      <c r="E32" s="3109">
        <v>0.7</v>
      </c>
      <c r="F32" s="3106" t="s">
        <v>2464</v>
      </c>
      <c r="G32" s="3106"/>
    </row>
    <row r="33" spans="1:7" ht="19.5" customHeight="1">
      <c r="A33" s="3833"/>
      <c r="B33" s="3830"/>
      <c r="C33" s="3107" t="s">
        <v>2465</v>
      </c>
      <c r="D33" s="3108"/>
      <c r="E33" s="3109">
        <v>0.8</v>
      </c>
      <c r="F33" s="3106" t="s">
        <v>2466</v>
      </c>
      <c r="G33" s="3106"/>
    </row>
    <row r="34" spans="1:7" ht="19.5" customHeight="1">
      <c r="A34" s="3833"/>
      <c r="B34" s="3830"/>
      <c r="C34" s="3107" t="s">
        <v>2467</v>
      </c>
      <c r="D34" s="3108"/>
      <c r="E34" s="3109">
        <v>0.6</v>
      </c>
      <c r="F34" s="3106" t="s">
        <v>2468</v>
      </c>
      <c r="G34" s="3106"/>
    </row>
    <row r="35" spans="1:7" ht="19.5" customHeight="1">
      <c r="A35" s="3833"/>
      <c r="B35" s="3830"/>
      <c r="C35" s="3107" t="s">
        <v>2469</v>
      </c>
      <c r="D35" s="3108"/>
      <c r="E35" s="3109">
        <v>0.2</v>
      </c>
      <c r="F35" s="3106" t="s">
        <v>2470</v>
      </c>
      <c r="G35" s="3106"/>
    </row>
    <row r="36" spans="1:7" ht="19.5" customHeight="1">
      <c r="A36" s="3833"/>
      <c r="B36" s="3830"/>
      <c r="C36" s="3107" t="s">
        <v>2471</v>
      </c>
      <c r="D36" s="3108"/>
      <c r="E36" s="3109">
        <v>0.2</v>
      </c>
      <c r="F36" s="3106" t="s">
        <v>2472</v>
      </c>
      <c r="G36" s="3106"/>
    </row>
    <row r="37" spans="1:7" ht="19.5" customHeight="1">
      <c r="A37" s="3833"/>
      <c r="B37" s="3835" t="s">
        <v>2633</v>
      </c>
      <c r="C37" s="3107" t="s">
        <v>2473</v>
      </c>
      <c r="D37" s="3108"/>
      <c r="E37" s="3109">
        <v>0.6</v>
      </c>
      <c r="F37" s="3106" t="s">
        <v>2474</v>
      </c>
      <c r="G37" s="3106"/>
    </row>
    <row r="38" spans="1:7" ht="19.5" customHeight="1">
      <c r="A38" s="3833"/>
      <c r="B38" s="3830"/>
      <c r="C38" s="3107" t="s">
        <v>2475</v>
      </c>
      <c r="D38" s="3108"/>
      <c r="E38" s="3109">
        <v>0.6</v>
      </c>
      <c r="F38" s="3106" t="s">
        <v>2476</v>
      </c>
      <c r="G38" s="3106"/>
    </row>
    <row r="39" spans="1:7" ht="19.5" customHeight="1" thickBot="1">
      <c r="A39" s="3834"/>
      <c r="B39" s="3831"/>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36" t="s">
        <v>2611</v>
      </c>
      <c r="B41" s="3829" t="s">
        <v>2635</v>
      </c>
      <c r="C41" s="3103" t="s">
        <v>2480</v>
      </c>
      <c r="D41" s="3104"/>
      <c r="E41" s="3105">
        <v>1</v>
      </c>
      <c r="F41" s="3106" t="s">
        <v>2481</v>
      </c>
      <c r="G41" s="3106"/>
    </row>
    <row r="42" spans="1:7" ht="19.5" customHeight="1">
      <c r="A42" s="3837"/>
      <c r="B42" s="3830"/>
      <c r="C42" s="3107" t="s">
        <v>2482</v>
      </c>
      <c r="D42" s="3108"/>
      <c r="E42" s="3109">
        <v>1</v>
      </c>
      <c r="F42" s="3106" t="s">
        <v>2483</v>
      </c>
      <c r="G42" s="3106"/>
    </row>
    <row r="43" spans="1:7" ht="19.5" customHeight="1">
      <c r="A43" s="3837"/>
      <c r="B43" s="3839"/>
      <c r="C43" s="3107" t="s">
        <v>2484</v>
      </c>
      <c r="D43" s="3108"/>
      <c r="E43" s="3109">
        <v>1.5</v>
      </c>
      <c r="F43" s="3106" t="s">
        <v>2485</v>
      </c>
      <c r="G43" s="3106"/>
    </row>
    <row r="44" spans="1:7" ht="19.5" customHeight="1">
      <c r="A44" s="3837"/>
      <c r="B44" s="3118" t="s">
        <v>2636</v>
      </c>
      <c r="C44" s="3107" t="s">
        <v>2637</v>
      </c>
      <c r="D44" s="3108"/>
      <c r="E44" s="3109">
        <v>2</v>
      </c>
      <c r="F44" s="3106" t="s">
        <v>2486</v>
      </c>
      <c r="G44" s="3106"/>
    </row>
    <row r="45" spans="1:7" ht="19.5" customHeight="1">
      <c r="A45" s="3837"/>
      <c r="B45" s="3835" t="s">
        <v>2638</v>
      </c>
      <c r="C45" s="3107" t="s">
        <v>2487</v>
      </c>
      <c r="D45" s="3108"/>
      <c r="E45" s="3109">
        <v>1</v>
      </c>
      <c r="F45" s="3106" t="s">
        <v>2488</v>
      </c>
      <c r="G45" s="3106"/>
    </row>
    <row r="46" spans="1:7" ht="19.5" customHeight="1">
      <c r="A46" s="3837"/>
      <c r="B46" s="3830"/>
      <c r="C46" s="3107" t="s">
        <v>2489</v>
      </c>
      <c r="D46" s="3108"/>
      <c r="E46" s="3109">
        <v>1</v>
      </c>
      <c r="F46" s="3106" t="s">
        <v>2490</v>
      </c>
      <c r="G46" s="3106"/>
    </row>
    <row r="47" spans="1:7" ht="19.5" customHeight="1">
      <c r="A47" s="3837"/>
      <c r="B47" s="3830"/>
      <c r="C47" s="3107" t="s">
        <v>2491</v>
      </c>
      <c r="D47" s="3108"/>
      <c r="E47" s="3109">
        <v>1</v>
      </c>
      <c r="F47" s="3106" t="s">
        <v>2492</v>
      </c>
      <c r="G47" s="3106"/>
    </row>
    <row r="48" spans="1:7" ht="19.5" customHeight="1">
      <c r="A48" s="3837"/>
      <c r="B48" s="3830"/>
      <c r="C48" s="3107" t="s">
        <v>2493</v>
      </c>
      <c r="D48" s="3108"/>
      <c r="E48" s="3109">
        <v>1</v>
      </c>
      <c r="F48" s="3106" t="s">
        <v>2494</v>
      </c>
      <c r="G48" s="3106"/>
    </row>
    <row r="49" spans="1:7" ht="19.5" customHeight="1">
      <c r="A49" s="3837"/>
      <c r="B49" s="3830"/>
      <c r="C49" s="3107" t="s">
        <v>2495</v>
      </c>
      <c r="D49" s="3108"/>
      <c r="E49" s="3109">
        <v>1</v>
      </c>
      <c r="F49" s="3106" t="s">
        <v>2496</v>
      </c>
      <c r="G49" s="3106"/>
    </row>
    <row r="50" spans="1:7" ht="19.5" customHeight="1">
      <c r="A50" s="3837"/>
      <c r="B50" s="3830"/>
      <c r="C50" s="3107" t="s">
        <v>2497</v>
      </c>
      <c r="D50" s="3108"/>
      <c r="E50" s="3109">
        <v>1</v>
      </c>
      <c r="F50" s="3106" t="s">
        <v>2498</v>
      </c>
      <c r="G50" s="3106"/>
    </row>
    <row r="51" spans="1:7" ht="19.5" customHeight="1" thickBot="1">
      <c r="A51" s="3838"/>
      <c r="B51" s="3831"/>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835" t="s">
        <v>2652</v>
      </c>
      <c r="C73" s="3092" t="s">
        <v>2653</v>
      </c>
      <c r="D73" s="3092" t="s">
        <v>2654</v>
      </c>
      <c r="E73" s="3118">
        <v>0.2</v>
      </c>
      <c r="F73" s="3118">
        <v>25</v>
      </c>
    </row>
    <row r="74" spans="1:7" ht="24">
      <c r="A74" s="3118">
        <v>2</v>
      </c>
      <c r="B74" s="3830"/>
      <c r="C74" s="3092" t="s">
        <v>2655</v>
      </c>
      <c r="D74" s="3092" t="s">
        <v>2656</v>
      </c>
      <c r="E74" s="3118">
        <v>0.2</v>
      </c>
      <c r="F74" s="3118">
        <v>25</v>
      </c>
    </row>
    <row r="75" spans="1:7" ht="24">
      <c r="A75" s="3118">
        <v>3</v>
      </c>
      <c r="B75" s="3830"/>
      <c r="C75" s="3092" t="s">
        <v>2657</v>
      </c>
      <c r="D75" s="3092" t="s">
        <v>2658</v>
      </c>
      <c r="E75" s="3118">
        <v>0.2</v>
      </c>
      <c r="F75" s="3118">
        <v>25</v>
      </c>
    </row>
    <row r="76" spans="1:7" ht="14.4">
      <c r="A76" s="3118">
        <v>4</v>
      </c>
      <c r="B76" s="3830"/>
      <c r="C76" s="3092" t="s">
        <v>2659</v>
      </c>
      <c r="D76" s="3092" t="s">
        <v>2660</v>
      </c>
      <c r="E76" s="3118">
        <v>0.15</v>
      </c>
      <c r="F76" s="3118">
        <v>20</v>
      </c>
    </row>
    <row r="77" spans="1:7" ht="24">
      <c r="A77" s="3118">
        <v>5</v>
      </c>
      <c r="B77" s="3830"/>
      <c r="C77" s="3092" t="s">
        <v>2661</v>
      </c>
      <c r="D77" s="3092" t="s">
        <v>2662</v>
      </c>
      <c r="E77" s="3118">
        <v>0.15</v>
      </c>
      <c r="F77" s="3118">
        <v>20</v>
      </c>
    </row>
    <row r="78" spans="1:7" ht="24">
      <c r="A78" s="3118">
        <v>6</v>
      </c>
      <c r="B78" s="3830"/>
      <c r="C78" s="3092" t="s">
        <v>2663</v>
      </c>
      <c r="D78" s="3092" t="s">
        <v>2664</v>
      </c>
      <c r="E78" s="3118">
        <v>0.15</v>
      </c>
      <c r="F78" s="3118">
        <v>20</v>
      </c>
    </row>
    <row r="79" spans="1:7" ht="24">
      <c r="A79" s="3118">
        <v>7</v>
      </c>
      <c r="B79" s="3830"/>
      <c r="C79" s="3092" t="s">
        <v>2665</v>
      </c>
      <c r="D79" s="3092" t="s">
        <v>2666</v>
      </c>
      <c r="E79" s="3118">
        <v>0.15</v>
      </c>
      <c r="F79" s="3118">
        <v>20</v>
      </c>
    </row>
    <row r="80" spans="1:7" ht="24">
      <c r="A80" s="3118">
        <v>8</v>
      </c>
      <c r="B80" s="3830"/>
      <c r="C80" s="3092" t="s">
        <v>2667</v>
      </c>
      <c r="D80" s="3092" t="s">
        <v>2668</v>
      </c>
      <c r="E80" s="3118">
        <v>0.1</v>
      </c>
      <c r="F80" s="3118">
        <v>15</v>
      </c>
    </row>
    <row r="81" spans="1:6" ht="24">
      <c r="A81" s="3118">
        <v>9</v>
      </c>
      <c r="B81" s="3830"/>
      <c r="C81" s="3092" t="s">
        <v>2669</v>
      </c>
      <c r="D81" s="3092" t="s">
        <v>2670</v>
      </c>
      <c r="E81" s="3118">
        <v>0.1</v>
      </c>
      <c r="F81" s="3118">
        <v>15</v>
      </c>
    </row>
    <row r="82" spans="1:6" ht="24">
      <c r="A82" s="3118">
        <v>10</v>
      </c>
      <c r="B82" s="3830"/>
      <c r="C82" s="3092" t="s">
        <v>2671</v>
      </c>
      <c r="D82" s="3092" t="s">
        <v>2672</v>
      </c>
      <c r="E82" s="3118">
        <v>0.1</v>
      </c>
      <c r="F82" s="3118">
        <v>15</v>
      </c>
    </row>
    <row r="83" spans="1:6" ht="24">
      <c r="A83" s="3118">
        <v>11</v>
      </c>
      <c r="B83" s="3830"/>
      <c r="C83" s="3092" t="s">
        <v>2673</v>
      </c>
      <c r="D83" s="3092" t="s">
        <v>2674</v>
      </c>
      <c r="E83" s="3118">
        <v>0.1</v>
      </c>
      <c r="F83" s="3118">
        <v>15</v>
      </c>
    </row>
    <row r="84" spans="1:6" ht="24">
      <c r="A84" s="3118">
        <v>12</v>
      </c>
      <c r="B84" s="3830"/>
      <c r="C84" s="3092" t="s">
        <v>2675</v>
      </c>
      <c r="D84" s="3092" t="s">
        <v>2676</v>
      </c>
      <c r="E84" s="3118">
        <v>0.1</v>
      </c>
      <c r="F84" s="3118">
        <v>15</v>
      </c>
    </row>
    <row r="85" spans="1:6" ht="24">
      <c r="A85" s="3118">
        <v>13</v>
      </c>
      <c r="B85" s="3830"/>
      <c r="C85" s="3092" t="s">
        <v>2677</v>
      </c>
      <c r="D85" s="3092" t="s">
        <v>2678</v>
      </c>
      <c r="E85" s="3118">
        <v>0.1</v>
      </c>
      <c r="F85" s="3118">
        <v>15</v>
      </c>
    </row>
    <row r="86" spans="1:6" ht="24">
      <c r="A86" s="3118">
        <v>14</v>
      </c>
      <c r="B86" s="3830"/>
      <c r="C86" s="3092" t="s">
        <v>2679</v>
      </c>
      <c r="D86" s="3092" t="s">
        <v>2680</v>
      </c>
      <c r="E86" s="3118">
        <v>0.1</v>
      </c>
      <c r="F86" s="3118">
        <v>15</v>
      </c>
    </row>
    <row r="87" spans="1:6" ht="24">
      <c r="A87" s="3118">
        <v>15</v>
      </c>
      <c r="B87" s="3830"/>
      <c r="C87" s="3092" t="s">
        <v>2681</v>
      </c>
      <c r="D87" s="3092" t="s">
        <v>2682</v>
      </c>
      <c r="E87" s="3118">
        <v>0.1</v>
      </c>
      <c r="F87" s="3118">
        <v>15</v>
      </c>
    </row>
    <row r="88" spans="1:6" ht="24">
      <c r="A88" s="3118">
        <v>16</v>
      </c>
      <c r="B88" s="3830"/>
      <c r="C88" s="3092" t="s">
        <v>2683</v>
      </c>
      <c r="D88" s="3092" t="s">
        <v>2684</v>
      </c>
      <c r="E88" s="3118">
        <v>0.1</v>
      </c>
      <c r="F88" s="3118">
        <v>15</v>
      </c>
    </row>
    <row r="89" spans="1:6" ht="24">
      <c r="A89" s="3118">
        <v>17</v>
      </c>
      <c r="B89" s="3839"/>
      <c r="C89" s="3092" t="s">
        <v>2685</v>
      </c>
      <c r="D89" s="3092" t="s">
        <v>2686</v>
      </c>
      <c r="E89" s="3118">
        <v>0.1</v>
      </c>
      <c r="F89" s="3118">
        <v>15</v>
      </c>
    </row>
    <row r="90" spans="1:6" ht="14.4">
      <c r="A90" s="3118">
        <v>18</v>
      </c>
      <c r="B90" s="3835" t="s">
        <v>2687</v>
      </c>
      <c r="C90" s="3092" t="s">
        <v>2688</v>
      </c>
      <c r="D90" s="3092" t="s">
        <v>2689</v>
      </c>
      <c r="E90" s="3118">
        <v>0.2</v>
      </c>
      <c r="F90" s="3118">
        <v>25</v>
      </c>
    </row>
    <row r="91" spans="1:6" ht="24">
      <c r="A91" s="3118">
        <v>19</v>
      </c>
      <c r="B91" s="3830"/>
      <c r="C91" s="3092" t="s">
        <v>2690</v>
      </c>
      <c r="D91" s="3092" t="s">
        <v>2691</v>
      </c>
      <c r="E91" s="3118">
        <v>0.2</v>
      </c>
      <c r="F91" s="3118">
        <v>25</v>
      </c>
    </row>
    <row r="92" spans="1:6" ht="14.4">
      <c r="A92" s="3118">
        <v>20</v>
      </c>
      <c r="B92" s="3830"/>
      <c r="C92" s="3092" t="s">
        <v>2692</v>
      </c>
      <c r="D92" s="3092" t="s">
        <v>2693</v>
      </c>
      <c r="E92" s="3118">
        <v>0.15</v>
      </c>
      <c r="F92" s="3118">
        <v>20</v>
      </c>
    </row>
    <row r="93" spans="1:6" ht="24">
      <c r="A93" s="3118">
        <v>21</v>
      </c>
      <c r="B93" s="3830"/>
      <c r="C93" s="3092" t="s">
        <v>2694</v>
      </c>
      <c r="D93" s="3092" t="s">
        <v>2695</v>
      </c>
      <c r="E93" s="3118">
        <v>0.15</v>
      </c>
      <c r="F93" s="3118">
        <v>20</v>
      </c>
    </row>
    <row r="94" spans="1:6" ht="24">
      <c r="A94" s="3118">
        <v>22</v>
      </c>
      <c r="B94" s="3830"/>
      <c r="C94" s="3092" t="s">
        <v>2696</v>
      </c>
      <c r="D94" s="3092" t="s">
        <v>2697</v>
      </c>
      <c r="E94" s="3118">
        <v>0.15</v>
      </c>
      <c r="F94" s="3118">
        <v>20</v>
      </c>
    </row>
    <row r="95" spans="1:6" ht="36">
      <c r="A95" s="3118">
        <v>23</v>
      </c>
      <c r="B95" s="3830"/>
      <c r="C95" s="3092" t="s">
        <v>2698</v>
      </c>
      <c r="D95" s="3092" t="s">
        <v>2699</v>
      </c>
      <c r="E95" s="3118">
        <v>0.15</v>
      </c>
      <c r="F95" s="3118">
        <v>20</v>
      </c>
    </row>
    <row r="96" spans="1:6" ht="24">
      <c r="A96" s="3118">
        <v>24</v>
      </c>
      <c r="B96" s="3830"/>
      <c r="C96" s="3092" t="s">
        <v>2700</v>
      </c>
      <c r="D96" s="3092" t="s">
        <v>2701</v>
      </c>
      <c r="E96" s="3118">
        <v>0.1</v>
      </c>
      <c r="F96" s="3118">
        <v>15</v>
      </c>
    </row>
    <row r="97" spans="1:6" ht="24">
      <c r="A97" s="3118">
        <v>25</v>
      </c>
      <c r="B97" s="3830"/>
      <c r="C97" s="3092" t="s">
        <v>2702</v>
      </c>
      <c r="D97" s="3092" t="s">
        <v>2703</v>
      </c>
      <c r="E97" s="3118">
        <v>0.1</v>
      </c>
      <c r="F97" s="3118">
        <v>15</v>
      </c>
    </row>
    <row r="98" spans="1:6" ht="24">
      <c r="A98" s="3118">
        <v>26</v>
      </c>
      <c r="B98" s="3830"/>
      <c r="C98" s="3092" t="s">
        <v>2704</v>
      </c>
      <c r="D98" s="3092" t="s">
        <v>2705</v>
      </c>
      <c r="E98" s="3118">
        <v>0.1</v>
      </c>
      <c r="F98" s="3118">
        <v>15</v>
      </c>
    </row>
    <row r="99" spans="1:6" ht="24">
      <c r="A99" s="3118">
        <v>27</v>
      </c>
      <c r="B99" s="3830"/>
      <c r="C99" s="3092" t="s">
        <v>2706</v>
      </c>
      <c r="D99" s="3092" t="s">
        <v>2707</v>
      </c>
      <c r="E99" s="3118">
        <v>0.1</v>
      </c>
      <c r="F99" s="3118">
        <v>15</v>
      </c>
    </row>
    <row r="100" spans="1:6" ht="24">
      <c r="A100" s="3118">
        <v>28</v>
      </c>
      <c r="B100" s="3830"/>
      <c r="C100" s="3092" t="s">
        <v>2708</v>
      </c>
      <c r="D100" s="3092" t="s">
        <v>2709</v>
      </c>
      <c r="E100" s="3118">
        <v>0.1</v>
      </c>
      <c r="F100" s="3118">
        <v>15</v>
      </c>
    </row>
    <row r="101" spans="1:6" ht="24">
      <c r="A101" s="3118">
        <v>29</v>
      </c>
      <c r="B101" s="3830"/>
      <c r="C101" s="3092" t="s">
        <v>2710</v>
      </c>
      <c r="D101" s="3092" t="s">
        <v>2711</v>
      </c>
      <c r="E101" s="3118">
        <v>0.1</v>
      </c>
      <c r="F101" s="3118">
        <v>15</v>
      </c>
    </row>
    <row r="102" spans="1:6" ht="24">
      <c r="A102" s="3118">
        <v>30</v>
      </c>
      <c r="B102" s="3830"/>
      <c r="C102" s="3092" t="s">
        <v>2712</v>
      </c>
      <c r="D102" s="3092" t="s">
        <v>2713</v>
      </c>
      <c r="E102" s="3118">
        <v>0.1</v>
      </c>
      <c r="F102" s="3118">
        <v>15</v>
      </c>
    </row>
    <row r="103" spans="1:6" ht="24">
      <c r="A103" s="3118">
        <v>31</v>
      </c>
      <c r="B103" s="3830"/>
      <c r="C103" s="3092" t="s">
        <v>2714</v>
      </c>
      <c r="D103" s="3092" t="s">
        <v>2715</v>
      </c>
      <c r="E103" s="3118">
        <v>0.1</v>
      </c>
      <c r="F103" s="3118">
        <v>15</v>
      </c>
    </row>
    <row r="104" spans="1:6" ht="24">
      <c r="A104" s="3118">
        <v>32</v>
      </c>
      <c r="B104" s="3830"/>
      <c r="C104" s="3092" t="s">
        <v>2716</v>
      </c>
      <c r="D104" s="3092" t="s">
        <v>2717</v>
      </c>
      <c r="E104" s="3118">
        <v>0.1</v>
      </c>
      <c r="F104" s="3118">
        <v>15</v>
      </c>
    </row>
    <row r="105" spans="1:6" ht="24">
      <c r="A105" s="3118">
        <v>33</v>
      </c>
      <c r="B105" s="3830"/>
      <c r="C105" s="3092" t="s">
        <v>2718</v>
      </c>
      <c r="D105" s="3092" t="s">
        <v>2719</v>
      </c>
      <c r="E105" s="3118">
        <v>0.1</v>
      </c>
      <c r="F105" s="3118">
        <v>15</v>
      </c>
    </row>
    <row r="106" spans="1:6" ht="24">
      <c r="A106" s="3118">
        <v>34</v>
      </c>
      <c r="B106" s="3839"/>
      <c r="C106" s="3092" t="s">
        <v>2720</v>
      </c>
      <c r="D106" s="3092" t="s">
        <v>2721</v>
      </c>
      <c r="E106" s="3118">
        <v>0.1</v>
      </c>
      <c r="F106" s="3118">
        <v>15</v>
      </c>
    </row>
    <row r="107" spans="1:6" ht="36">
      <c r="A107" s="3118">
        <v>35</v>
      </c>
      <c r="B107" s="3835" t="s">
        <v>2722</v>
      </c>
      <c r="C107" s="3118" t="s">
        <v>2723</v>
      </c>
      <c r="D107" s="3092" t="s">
        <v>2724</v>
      </c>
      <c r="E107" s="3118">
        <v>0.15</v>
      </c>
      <c r="F107" s="3118">
        <v>20</v>
      </c>
    </row>
    <row r="108" spans="1:6" ht="24">
      <c r="A108" s="3118">
        <v>36</v>
      </c>
      <c r="B108" s="3830"/>
      <c r="C108" s="3118" t="s">
        <v>2725</v>
      </c>
      <c r="D108" s="3092" t="s">
        <v>2726</v>
      </c>
      <c r="E108" s="3118">
        <v>0.15</v>
      </c>
      <c r="F108" s="3118">
        <v>20</v>
      </c>
    </row>
    <row r="109" spans="1:6" ht="24">
      <c r="A109" s="3118">
        <v>37</v>
      </c>
      <c r="B109" s="3830"/>
      <c r="C109" s="3118" t="s">
        <v>2727</v>
      </c>
      <c r="D109" s="3092" t="s">
        <v>2728</v>
      </c>
      <c r="E109" s="3118">
        <v>0.15</v>
      </c>
      <c r="F109" s="3118">
        <v>20</v>
      </c>
    </row>
    <row r="110" spans="1:6" ht="24">
      <c r="A110" s="3118">
        <v>38</v>
      </c>
      <c r="B110" s="3830"/>
      <c r="C110" s="3118" t="s">
        <v>2729</v>
      </c>
      <c r="D110" s="3092" t="s">
        <v>2730</v>
      </c>
      <c r="E110" s="3118">
        <v>0.1</v>
      </c>
      <c r="F110" s="3118">
        <v>15</v>
      </c>
    </row>
    <row r="111" spans="1:6" ht="24">
      <c r="A111" s="3118">
        <v>39</v>
      </c>
      <c r="B111" s="3830"/>
      <c r="C111" s="3118" t="s">
        <v>2731</v>
      </c>
      <c r="D111" s="3092" t="s">
        <v>2732</v>
      </c>
      <c r="E111" s="3118">
        <v>0.1</v>
      </c>
      <c r="F111" s="3118">
        <v>15</v>
      </c>
    </row>
    <row r="112" spans="1:6" ht="24">
      <c r="A112" s="3118">
        <v>40</v>
      </c>
      <c r="B112" s="3839"/>
      <c r="C112" s="3118" t="s">
        <v>2733</v>
      </c>
      <c r="D112" s="3092" t="s">
        <v>2734</v>
      </c>
      <c r="E112" s="3118">
        <v>0.1</v>
      </c>
      <c r="F112" s="3118">
        <v>15</v>
      </c>
    </row>
    <row r="113" spans="1:6" ht="24">
      <c r="A113" s="3118">
        <v>41</v>
      </c>
      <c r="B113" s="3840" t="s">
        <v>2735</v>
      </c>
      <c r="C113" s="3118" t="s">
        <v>2736</v>
      </c>
      <c r="D113" s="3092" t="s">
        <v>2737</v>
      </c>
      <c r="E113" s="3118">
        <v>0.1</v>
      </c>
      <c r="F113" s="3118">
        <v>15</v>
      </c>
    </row>
    <row r="114" spans="1:6" ht="24">
      <c r="A114" s="3118">
        <v>42</v>
      </c>
      <c r="B114" s="3840"/>
      <c r="C114" s="3118" t="s">
        <v>2738</v>
      </c>
      <c r="D114" s="3092" t="s">
        <v>2739</v>
      </c>
      <c r="E114" s="3118">
        <v>0.1</v>
      </c>
      <c r="F114" s="3118">
        <v>15</v>
      </c>
    </row>
    <row r="115" spans="1:6" ht="24">
      <c r="A115" s="3118">
        <v>43</v>
      </c>
      <c r="B115" s="3840"/>
      <c r="C115" s="3118" t="s">
        <v>2740</v>
      </c>
      <c r="D115" s="3092" t="s">
        <v>2741</v>
      </c>
      <c r="E115" s="3118">
        <v>0.1</v>
      </c>
      <c r="F115" s="3118">
        <v>15</v>
      </c>
    </row>
    <row r="116" spans="1:6" ht="24">
      <c r="A116" s="3118">
        <v>44</v>
      </c>
      <c r="B116" s="3835" t="s">
        <v>2742</v>
      </c>
      <c r="C116" s="3118" t="s">
        <v>2743</v>
      </c>
      <c r="D116" s="3092" t="s">
        <v>2744</v>
      </c>
      <c r="E116" s="3118">
        <v>0.1</v>
      </c>
      <c r="F116" s="3118">
        <v>15</v>
      </c>
    </row>
    <row r="117" spans="1:6" ht="24">
      <c r="A117" s="3118">
        <v>45</v>
      </c>
      <c r="B117" s="3839"/>
      <c r="C117" s="3092" t="s">
        <v>2745</v>
      </c>
      <c r="D117" s="3092" t="s">
        <v>2746</v>
      </c>
      <c r="E117" s="3118">
        <v>0.1</v>
      </c>
      <c r="F117" s="3118">
        <v>15</v>
      </c>
    </row>
    <row r="118" spans="1:6" ht="24">
      <c r="A118" s="3118">
        <v>46</v>
      </c>
      <c r="B118" s="3835" t="s">
        <v>2747</v>
      </c>
      <c r="C118" s="3118" t="s">
        <v>2748</v>
      </c>
      <c r="D118" s="3092" t="s">
        <v>2749</v>
      </c>
      <c r="E118" s="3118">
        <v>0.1</v>
      </c>
      <c r="F118" s="3118">
        <v>15</v>
      </c>
    </row>
    <row r="119" spans="1:6" ht="24">
      <c r="A119" s="3118">
        <v>47</v>
      </c>
      <c r="B119" s="3839"/>
      <c r="C119" s="3118" t="s">
        <v>2750</v>
      </c>
      <c r="D119" s="3092" t="s">
        <v>2751</v>
      </c>
      <c r="E119" s="3118">
        <v>0.1</v>
      </c>
      <c r="F119" s="3118">
        <v>15</v>
      </c>
    </row>
    <row r="120" spans="1:6" ht="24">
      <c r="A120" s="3118">
        <v>48</v>
      </c>
      <c r="B120" s="3835" t="s">
        <v>2752</v>
      </c>
      <c r="C120" s="3118" t="s">
        <v>2753</v>
      </c>
      <c r="D120" s="3092" t="s">
        <v>2754</v>
      </c>
      <c r="E120" s="3118">
        <v>0.1</v>
      </c>
      <c r="F120" s="3118">
        <v>15</v>
      </c>
    </row>
    <row r="121" spans="1:6" ht="24">
      <c r="A121" s="3118">
        <v>49</v>
      </c>
      <c r="B121" s="3839"/>
      <c r="C121" s="3118" t="s">
        <v>2755</v>
      </c>
      <c r="D121" s="3092" t="s">
        <v>2756</v>
      </c>
      <c r="E121" s="3118">
        <v>0.1</v>
      </c>
      <c r="F121" s="3118">
        <v>15</v>
      </c>
    </row>
    <row r="122" spans="1:6" ht="24">
      <c r="A122" s="3118">
        <v>50</v>
      </c>
      <c r="B122" s="3840" t="s">
        <v>2757</v>
      </c>
      <c r="C122" s="3118" t="s">
        <v>2758</v>
      </c>
      <c r="D122" s="3092" t="s">
        <v>2759</v>
      </c>
      <c r="E122" s="3118">
        <v>0.1</v>
      </c>
      <c r="F122" s="3118">
        <v>15</v>
      </c>
    </row>
    <row r="123" spans="1:6" ht="24">
      <c r="A123" s="3118">
        <v>51</v>
      </c>
      <c r="B123" s="3840"/>
      <c r="C123" s="3118" t="s">
        <v>2760</v>
      </c>
      <c r="D123" s="3092" t="s">
        <v>2761</v>
      </c>
      <c r="E123" s="3118">
        <v>0.1</v>
      </c>
      <c r="F123" s="3118">
        <v>15</v>
      </c>
    </row>
    <row r="124" spans="1:6" ht="24">
      <c r="A124" s="3118">
        <v>52</v>
      </c>
      <c r="B124" s="3840" t="s">
        <v>2762</v>
      </c>
      <c r="C124" s="3118" t="s">
        <v>2763</v>
      </c>
      <c r="D124" s="3092" t="s">
        <v>2764</v>
      </c>
      <c r="E124" s="3118">
        <v>0.1</v>
      </c>
      <c r="F124" s="3118">
        <v>15</v>
      </c>
    </row>
    <row r="125" spans="1:6" ht="24">
      <c r="A125" s="3118">
        <v>53</v>
      </c>
      <c r="B125" s="3840"/>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840" t="s">
        <v>2770</v>
      </c>
      <c r="C127" s="3118" t="s">
        <v>2771</v>
      </c>
      <c r="D127" s="3092" t="s">
        <v>2772</v>
      </c>
      <c r="E127" s="3118">
        <v>0.1</v>
      </c>
      <c r="F127" s="3118">
        <v>15</v>
      </c>
    </row>
    <row r="128" spans="1:6" ht="24">
      <c r="A128" s="3118">
        <v>56</v>
      </c>
      <c r="B128" s="3840"/>
      <c r="C128" s="3118" t="s">
        <v>2773</v>
      </c>
      <c r="D128" s="3092" t="s">
        <v>2774</v>
      </c>
      <c r="E128" s="3118">
        <v>0.1</v>
      </c>
      <c r="F128" s="3118">
        <v>15</v>
      </c>
    </row>
    <row r="129" spans="1:6" ht="24">
      <c r="A129" s="3118">
        <v>57</v>
      </c>
      <c r="B129" s="3840"/>
      <c r="C129" s="3118" t="s">
        <v>2775</v>
      </c>
      <c r="D129" s="3092" t="s">
        <v>2776</v>
      </c>
      <c r="E129" s="3118">
        <v>0.1</v>
      </c>
      <c r="F129" s="3118">
        <v>15</v>
      </c>
    </row>
    <row r="130" spans="1:6" ht="24">
      <c r="A130" s="3118">
        <v>58</v>
      </c>
      <c r="B130" s="3840" t="s">
        <v>2777</v>
      </c>
      <c r="C130" s="3118" t="s">
        <v>2778</v>
      </c>
      <c r="D130" s="3092" t="s">
        <v>2779</v>
      </c>
      <c r="E130" s="3118">
        <v>0.1</v>
      </c>
      <c r="F130" s="3118">
        <v>15</v>
      </c>
    </row>
    <row r="131" spans="1:6" ht="24">
      <c r="A131" s="3118">
        <v>59</v>
      </c>
      <c r="B131" s="3840"/>
      <c r="C131" s="3118" t="s">
        <v>2780</v>
      </c>
      <c r="D131" s="3092" t="s">
        <v>2781</v>
      </c>
      <c r="E131" s="3118">
        <v>0.1</v>
      </c>
      <c r="F131" s="3118">
        <v>15</v>
      </c>
    </row>
    <row r="132" spans="1:6" ht="24">
      <c r="A132" s="3118">
        <v>60</v>
      </c>
      <c r="B132" s="3835" t="s">
        <v>2782</v>
      </c>
      <c r="C132" s="3118" t="s">
        <v>2783</v>
      </c>
      <c r="D132" s="3092" t="s">
        <v>2784</v>
      </c>
      <c r="E132" s="3118">
        <v>0.1</v>
      </c>
      <c r="F132" s="3118">
        <v>15</v>
      </c>
    </row>
    <row r="133" spans="1:6" ht="24">
      <c r="A133" s="3118">
        <v>61</v>
      </c>
      <c r="B133" s="3839"/>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840" t="s">
        <v>2790</v>
      </c>
      <c r="C135" s="3118" t="s">
        <v>2791</v>
      </c>
      <c r="D135" s="3092" t="s">
        <v>2792</v>
      </c>
      <c r="E135" s="3118">
        <v>0.1</v>
      </c>
      <c r="F135" s="3118">
        <v>15</v>
      </c>
    </row>
    <row r="136" spans="1:6" ht="24">
      <c r="A136" s="3118">
        <v>64</v>
      </c>
      <c r="B136" s="3840"/>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0"/>
      <c r="C2" s="3520"/>
      <c r="D2" s="3520"/>
      <c r="E2" s="3520"/>
    </row>
    <row r="3" spans="1:5" ht="17.399999999999999">
      <c r="A3" s="3521" t="str">
        <f>IF(项目基本情况!B9="房地产市场价值","估价结果一览表（市场价值不需“结果表-1”）","估价结果一览表")</f>
        <v>估价结果一览表（市场价值不需“结果表-1”）</v>
      </c>
      <c r="B3" s="3521"/>
      <c r="C3" s="3521"/>
      <c r="D3" s="3521"/>
      <c r="E3" s="3521"/>
    </row>
    <row r="4" spans="1:5" ht="18" thickBot="1">
      <c r="A4" s="1493"/>
      <c r="B4" s="3519" t="s">
        <v>917</v>
      </c>
      <c r="C4" s="3519"/>
      <c r="D4" s="3519"/>
      <c r="E4" s="1493"/>
    </row>
    <row r="5" spans="1:5" ht="16.2" thickTop="1">
      <c r="A5" s="1491"/>
      <c r="B5" s="3517" t="s">
        <v>909</v>
      </c>
      <c r="C5" s="1494" t="s">
        <v>910</v>
      </c>
      <c r="D5" s="850" t="e">
        <f ca="1">结果表!H101</f>
        <v>#REF!</v>
      </c>
      <c r="E5" s="1491"/>
    </row>
    <row r="6" spans="1:5" ht="15.6">
      <c r="A6" s="1491"/>
      <c r="B6" s="3517"/>
      <c r="C6" s="1494" t="s">
        <v>911</v>
      </c>
      <c r="D6" s="850" t="e">
        <f ca="1">NUMBERSTRING(INT(D5*10000),2)&amp;"元整"</f>
        <v>#REF!</v>
      </c>
      <c r="E6" s="1491"/>
    </row>
    <row r="7" spans="1:5" ht="15.6">
      <c r="A7" s="1491"/>
      <c r="B7" s="3522"/>
      <c r="C7" s="1495" t="s">
        <v>912</v>
      </c>
      <c r="D7" s="851" t="e">
        <f ca="1">结果表!H102</f>
        <v>#REF!</v>
      </c>
      <c r="E7" s="1491"/>
    </row>
    <row r="8" spans="1:5" ht="15.6">
      <c r="A8" s="1491"/>
      <c r="B8" s="3523" t="str">
        <f>结果表!E103</f>
        <v>2.估价师知悉的法定优先受偿款</v>
      </c>
      <c r="C8" s="1496" t="s">
        <v>913</v>
      </c>
      <c r="D8" s="851">
        <f>结果表!H103</f>
        <v>0</v>
      </c>
      <c r="E8" s="1491"/>
    </row>
    <row r="9" spans="1:5" ht="15.6">
      <c r="A9" s="1491"/>
      <c r="B9" s="352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6" t="str">
        <f>结果表!E107</f>
        <v>3.房地产抵押价值</v>
      </c>
      <c r="C13" s="1499" t="s">
        <v>910</v>
      </c>
      <c r="D13" s="853" t="e">
        <f ca="1">结果表!H107</f>
        <v>#REF!</v>
      </c>
      <c r="E13" s="1491"/>
    </row>
    <row r="14" spans="1:5" ht="15.6">
      <c r="A14" s="1491"/>
      <c r="B14" s="3517"/>
      <c r="C14" s="1494" t="s">
        <v>911</v>
      </c>
      <c r="D14" s="850" t="e">
        <f ca="1">NUMBERSTRING(INT(D13*10000),2)&amp;"元整"</f>
        <v>#REF!</v>
      </c>
      <c r="E14" s="1491"/>
    </row>
    <row r="15" spans="1:5" ht="15.6">
      <c r="A15" s="1491"/>
      <c r="B15" s="3522"/>
      <c r="C15" s="1495" t="s">
        <v>921</v>
      </c>
      <c r="D15" s="859" t="e">
        <f ca="1">结果表!H108</f>
        <v>#REF!</v>
      </c>
      <c r="E15" s="1491"/>
    </row>
    <row r="16" spans="1:5" ht="15.6">
      <c r="A16" s="1491"/>
      <c r="B16" s="3523" t="str">
        <f>结果表!E109</f>
        <v>——</v>
      </c>
      <c r="C16" s="1499" t="s">
        <v>922</v>
      </c>
      <c r="D16" s="1500" t="str">
        <f>结果表!H109</f>
        <v>——</v>
      </c>
      <c r="E16" s="1491"/>
    </row>
    <row r="17" spans="1:5" ht="15.6">
      <c r="A17" s="1491"/>
      <c r="B17" s="3524"/>
      <c r="C17" s="1494" t="s">
        <v>923</v>
      </c>
      <c r="D17" s="850" t="e">
        <f>NUMBERSTRING(INT(D16*10000),2)&amp;"元整"</f>
        <v>#VALUE!</v>
      </c>
      <c r="E17" s="1491"/>
    </row>
    <row r="18" spans="1:5" ht="15.6">
      <c r="A18" s="1491"/>
      <c r="B18" s="3525"/>
      <c r="C18" s="1495" t="s">
        <v>912</v>
      </c>
      <c r="D18" s="859" t="str">
        <f>结果表!H110</f>
        <v>——</v>
      </c>
      <c r="E18" s="1491"/>
    </row>
    <row r="19" spans="1:5" ht="15.6">
      <c r="A19" s="1491"/>
      <c r="B19" s="3516" t="str">
        <f>结果表!E111</f>
        <v>——</v>
      </c>
      <c r="C19" s="1499" t="s">
        <v>910</v>
      </c>
      <c r="D19" s="851" t="str">
        <f>结果表!H111</f>
        <v>——</v>
      </c>
      <c r="E19" s="1491"/>
    </row>
    <row r="20" spans="1:5" ht="15.6">
      <c r="A20" s="1491"/>
      <c r="B20" s="3517"/>
      <c r="C20" s="1494" t="s">
        <v>923</v>
      </c>
      <c r="D20" s="850" t="e">
        <f>NUMBERSTRING(INT(D19*10000),2)&amp;"元整"</f>
        <v>#VALUE!</v>
      </c>
      <c r="E20" s="1491"/>
    </row>
    <row r="21" spans="1:5" ht="16.2" thickBot="1">
      <c r="A21" s="1491"/>
      <c r="B21" s="351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25223</v>
      </c>
      <c r="C2" s="2" t="s">
        <v>106</v>
      </c>
      <c r="D2" s="199"/>
      <c r="E2" s="199"/>
      <c r="F2" s="199"/>
      <c r="G2" s="199"/>
    </row>
    <row r="3" spans="1:7" s="200" customFormat="1" ht="18" customHeight="1" thickBot="1">
      <c r="A3" s="203" t="s">
        <v>58</v>
      </c>
      <c r="B3" s="204">
        <f ca="1">ROUND(B2*10000/'数据-汇总表'!E3,0)</f>
        <v>2688159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93.83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93.83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1099</v>
      </c>
      <c r="D22" s="235">
        <f ca="1">C26</f>
        <v>2.9999999999999997E-4</v>
      </c>
      <c r="E22" s="236" t="s">
        <v>99</v>
      </c>
      <c r="F22" s="237">
        <f ca="1">'数据-取费表'!B40</f>
        <v>5.3099999999999994E-2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1094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5</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25206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80" t="s">
        <v>353</v>
      </c>
      <c r="B37" s="215" t="s">
        <v>91</v>
      </c>
      <c r="C37" s="249">
        <f>ROUND(E37*D37*F34/10000,0)</f>
        <v>2</v>
      </c>
      <c r="D37" s="217">
        <f>'数据-汇总表'!E3</f>
        <v>93.83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98" t="s">
        <v>94</v>
      </c>
    </row>
    <row r="43" spans="1:7" ht="13.5" customHeight="1">
      <c r="A43" s="780" t="s">
        <v>347</v>
      </c>
      <c r="B43" s="215" t="s">
        <v>426</v>
      </c>
      <c r="C43" s="238">
        <f ca="1">ROUND(IF('数据-取费表'!B22&lt;=1,C39*F22*'数据-取费表'!B21/2,C39*(POWER((1+F22),'数据-取费表'!B21/2)-1)),0)</f>
        <v>0</v>
      </c>
      <c r="D43" s="238"/>
      <c r="E43" s="238"/>
      <c r="F43" s="239"/>
      <c r="G43" s="3699"/>
    </row>
    <row r="44" spans="1:7" ht="13.5" customHeight="1">
      <c r="A44" s="780" t="s">
        <v>348</v>
      </c>
      <c r="B44" s="215" t="s">
        <v>428</v>
      </c>
      <c r="C44" s="238">
        <f ca="1">ROUND(IF('数据-取费表'!B22&lt;=1,C40*F22*'数据-取费表'!B21/2,C40*(POWER((1+F22),'数据-取费表'!B21/2)-1)),4)</f>
        <v>2.9999999999999997E-4</v>
      </c>
      <c r="D44" s="238"/>
      <c r="E44" s="238"/>
      <c r="F44" s="239"/>
      <c r="G44" s="3700"/>
    </row>
    <row r="45" spans="1:7" s="214" customFormat="1" ht="13.5" customHeight="1">
      <c r="A45" s="777" t="s">
        <v>341</v>
      </c>
      <c r="B45" s="244" t="s">
        <v>85</v>
      </c>
      <c r="C45" s="245">
        <f>C46</f>
        <v>1</v>
      </c>
      <c r="D45" s="235">
        <f>C47</f>
        <v>8.0000000000000004E-4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17</v>
      </c>
      <c r="D51" s="232"/>
      <c r="E51" s="232"/>
      <c r="F51" s="264"/>
      <c r="G51" s="234" t="s">
        <v>37</v>
      </c>
    </row>
    <row r="52" spans="1:7" s="208" customFormat="1" ht="16.8" thickBot="1">
      <c r="A52" s="265" t="s">
        <v>38</v>
      </c>
      <c r="B52" s="266"/>
      <c r="C52" s="267">
        <f ca="1">C31+C51</f>
        <v>25223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43" t="s">
        <v>2840</v>
      </c>
      <c r="B1" s="3843"/>
      <c r="C1" s="3843"/>
      <c r="D1" s="3843"/>
      <c r="E1" s="3843"/>
      <c r="F1" s="3843"/>
      <c r="G1" s="3844"/>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41"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42"/>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45" t="s">
        <v>3182</v>
      </c>
      <c r="B1" s="3845"/>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46" t="s">
        <v>3233</v>
      </c>
      <c r="B1" s="3846"/>
      <c r="C1" s="3846"/>
      <c r="D1" s="3846"/>
      <c r="E1" s="3846"/>
      <c r="F1" s="3847"/>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38017</v>
      </c>
      <c r="B1" s="3210" t="s">
        <v>3372</v>
      </c>
      <c r="C1" s="3211"/>
      <c r="D1" s="3211"/>
      <c r="E1" s="3211"/>
      <c r="F1" s="3211"/>
      <c r="G1" s="3211"/>
      <c r="H1" s="3211"/>
      <c r="I1" s="3211"/>
      <c r="J1" s="3165"/>
      <c r="K1" s="3211" t="s">
        <v>454</v>
      </c>
      <c r="L1" s="3211"/>
      <c r="M1" s="3211"/>
      <c r="N1" s="3211"/>
      <c r="O1" s="3211"/>
      <c r="P1" s="3211"/>
      <c r="Q1" s="3165"/>
      <c r="R1" s="3848" t="s">
        <v>456</v>
      </c>
      <c r="S1" s="3849"/>
      <c r="T1" s="3849"/>
      <c r="U1" s="3849"/>
      <c r="V1" s="3849"/>
      <c r="W1" s="3849"/>
      <c r="X1" s="3165"/>
      <c r="Y1" s="3848" t="s">
        <v>457</v>
      </c>
      <c r="Z1" s="3849"/>
      <c r="AA1" s="3849"/>
      <c r="AB1" s="3849"/>
      <c r="AC1" s="3849"/>
      <c r="AD1" s="3849"/>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48" t="s">
        <v>2828</v>
      </c>
      <c r="S24" s="3849"/>
      <c r="T24" s="3849"/>
      <c r="U24" s="3849"/>
      <c r="V24" s="3849"/>
      <c r="W24" s="3849"/>
      <c r="X24" s="3165"/>
      <c r="Y24" s="3848" t="s">
        <v>2829</v>
      </c>
      <c r="Z24" s="3849"/>
      <c r="AA24" s="3849"/>
      <c r="AB24" s="3849"/>
      <c r="AC24" s="3849"/>
      <c r="AD24" s="3849"/>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55" t="s">
        <v>452</v>
      </c>
      <c r="C1" s="3855"/>
      <c r="D1" s="3855"/>
      <c r="E1" s="3855"/>
      <c r="F1" s="3855"/>
      <c r="G1" s="3851" t="s">
        <v>453</v>
      </c>
      <c r="H1" s="3851"/>
      <c r="I1" s="3851"/>
      <c r="J1" s="3851"/>
      <c r="K1" s="3851"/>
      <c r="L1" s="3851"/>
      <c r="N1" s="3851" t="s">
        <v>454</v>
      </c>
      <c r="O1" s="3851"/>
      <c r="P1" s="3851"/>
      <c r="Q1" s="3851"/>
      <c r="S1" s="3851" t="s">
        <v>455</v>
      </c>
      <c r="T1" s="3851"/>
      <c r="U1" s="3851"/>
      <c r="V1" s="3851"/>
      <c r="X1" s="3850" t="s">
        <v>456</v>
      </c>
      <c r="Y1" s="3851"/>
      <c r="Z1" s="3851"/>
      <c r="AA1" s="3851"/>
      <c r="AB1" s="3851"/>
      <c r="AD1" s="3850" t="s">
        <v>457</v>
      </c>
      <c r="AE1" s="3851"/>
      <c r="AF1" s="3851"/>
      <c r="AG1" s="3851"/>
      <c r="AH1" s="385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5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5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5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5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5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5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5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5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5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5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5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5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5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5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5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5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5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38017</v>
      </c>
      <c r="D1" s="1302" t="s">
        <v>603</v>
      </c>
      <c r="E1" s="1297">
        <f>'数据-取费表'!B22</f>
        <v>1</v>
      </c>
      <c r="F1" s="1302" t="s">
        <v>604</v>
      </c>
      <c r="G1" s="1298">
        <f ca="1">INDIRECT("d"&amp;$K$1)/100</f>
        <v>5.3099999999999994E-2</v>
      </c>
      <c r="H1" s="1302" t="s">
        <v>634</v>
      </c>
      <c r="I1" s="1298">
        <f ca="1">F4/100</f>
        <v>1.9799999999999998E-2</v>
      </c>
      <c r="J1" s="1303">
        <f>IF(C1&gt;C13,0,MATCH(C1,C$13:C$113,-1))+IF(SUMIF(C13:C113,C1,D13:D113)=0,13,12)</f>
        <v>55</v>
      </c>
      <c r="K1" s="1303">
        <f ca="1">MATCH(E1,C3:C7,1)+IF(SUMIF(C3:C7,E1,D3:D7)=0,2,1)</f>
        <v>4</v>
      </c>
      <c r="L1" s="1303">
        <f>IF(C1&gt;M13,0,MATCH(C1,M$13:M$100,-1))+IF(SUMIF(M13:M100,C1,N13:N100)=0,13,12)</f>
        <v>39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5.04</v>
      </c>
      <c r="E3" s="1246">
        <v>0.5</v>
      </c>
      <c r="F3" s="1247">
        <f ca="1">INDIRECT("p"&amp;$L$1)</f>
        <v>1.89</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1.98</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5.49</v>
      </c>
      <c r="E5" s="1252">
        <v>2</v>
      </c>
      <c r="F5" s="1253">
        <f ca="1">INDIRECT("r"&amp;$L$1)</f>
        <v>2.25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5.58</v>
      </c>
      <c r="E6" s="1252">
        <v>3</v>
      </c>
      <c r="F6" s="1253">
        <f ca="1">INDIRECT("s"&amp;$L$1)</f>
        <v>2.52</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5.76</v>
      </c>
      <c r="E7" s="1257">
        <v>5</v>
      </c>
      <c r="F7" s="1258">
        <f ca="1">INDIRECT("t"&amp;$L$1)</f>
        <v>2.79</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6" t="str">
        <f>IF(项目基本情况!B9="房地产市场价值","估价结果一览表","结果表-2")</f>
        <v>估价结果一览表</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房地产市场价值</v>
      </c>
      <c r="I2" s="3527"/>
    </row>
    <row r="3" spans="1:9" ht="15.6">
      <c r="A3" s="3528"/>
      <c r="B3" s="3528"/>
      <c r="C3" s="3528"/>
      <c r="D3" s="854" t="s">
        <v>925</v>
      </c>
      <c r="E3" s="854" t="s">
        <v>931</v>
      </c>
      <c r="F3" s="854" t="s">
        <v>925</v>
      </c>
      <c r="G3" s="854" t="s">
        <v>926</v>
      </c>
      <c r="H3" s="854" t="s">
        <v>925</v>
      </c>
      <c r="I3" s="854" t="s">
        <v>926</v>
      </c>
    </row>
    <row r="4" spans="1:9" ht="15">
      <c r="A4" s="1505" t="str">
        <f>项目基本情况!S2</f>
        <v>北京市房地产</v>
      </c>
      <c r="B4" s="854">
        <f>项目基本情况!C17</f>
        <v>93.83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8" t="s">
        <v>927</v>
      </c>
      <c r="B5" s="3528"/>
      <c r="C5" s="3528"/>
      <c r="D5" s="3528" t="e">
        <f ca="1">结果表!D119</f>
        <v>#REF!</v>
      </c>
      <c r="E5" s="3528"/>
      <c r="F5" s="3528" t="e">
        <f ca="1">结果表!F119</f>
        <v>#REF!</v>
      </c>
      <c r="G5" s="3528"/>
      <c r="H5" s="3528" t="e">
        <f ca="1">结果表!H119</f>
        <v>#REF!</v>
      </c>
      <c r="I5" s="3528"/>
    </row>
    <row r="6" spans="1:9" ht="15.6">
      <c r="A6" s="3529" t="str">
        <f>结果表!A120</f>
        <v/>
      </c>
      <c r="B6" s="3529"/>
      <c r="C6" s="3529"/>
      <c r="D6" s="3529">
        <f>结果表!D120</f>
        <v>0</v>
      </c>
      <c r="E6" s="3529"/>
      <c r="F6" s="3529"/>
      <c r="G6" s="3529"/>
      <c r="H6" s="3529"/>
      <c r="I6" s="3529"/>
    </row>
    <row r="7" spans="1:9" ht="15">
      <c r="A7" s="3528" t="s">
        <v>927</v>
      </c>
      <c r="B7" s="3528"/>
      <c r="C7" s="3528"/>
      <c r="D7" s="3530" t="str">
        <f>结果表!D121</f>
        <v>零元整</v>
      </c>
      <c r="E7" s="3531"/>
      <c r="F7" s="3531"/>
      <c r="G7" s="3531"/>
      <c r="H7" s="3531"/>
      <c r="I7" s="3532"/>
    </row>
    <row r="8" spans="1:9" ht="15.6">
      <c r="A8" s="3529" t="str">
        <f>结果表!A122</f>
        <v/>
      </c>
      <c r="B8" s="3529"/>
      <c r="C8" s="3529"/>
      <c r="D8" s="3529" t="e">
        <f ca="1">结果表!D122</f>
        <v>#REF!</v>
      </c>
      <c r="E8" s="3529"/>
      <c r="F8" s="3529"/>
      <c r="G8" s="3529"/>
      <c r="H8" s="3529"/>
      <c r="I8" s="3529"/>
    </row>
    <row r="9" spans="1:9" ht="15">
      <c r="A9" s="3528" t="s">
        <v>927</v>
      </c>
      <c r="B9" s="3528"/>
      <c r="C9" s="3528"/>
      <c r="D9" s="3528" t="e">
        <f ca="1">结果表!D123</f>
        <v>#REF!</v>
      </c>
      <c r="E9" s="3528"/>
      <c r="F9" s="3528"/>
      <c r="G9" s="3528"/>
      <c r="H9" s="3528"/>
      <c r="I9" s="3528"/>
    </row>
    <row r="10" spans="1:9" ht="15.6">
      <c r="A10" s="3529" t="str">
        <f>结果表!A124</f>
        <v/>
      </c>
      <c r="B10" s="3529"/>
      <c r="C10" s="3529"/>
      <c r="D10" s="3529" t="str">
        <f>结果表!D124</f>
        <v>——</v>
      </c>
      <c r="E10" s="3529"/>
      <c r="F10" s="3529"/>
      <c r="G10" s="3529"/>
      <c r="H10" s="3529"/>
      <c r="I10" s="3529"/>
    </row>
    <row r="11" spans="1:9" ht="15">
      <c r="A11" s="3528" t="s">
        <v>927</v>
      </c>
      <c r="B11" s="3528"/>
      <c r="C11" s="3528"/>
      <c r="D11" s="3528" t="e">
        <f>结果表!D125</f>
        <v>#VALUE!</v>
      </c>
      <c r="E11" s="3528"/>
      <c r="F11" s="3528"/>
      <c r="G11" s="3528"/>
      <c r="H11" s="3528"/>
      <c r="I11" s="3528"/>
    </row>
    <row r="12" spans="1:9" ht="15.6">
      <c r="A12" s="3529" t="str">
        <f>结果表!A126</f>
        <v/>
      </c>
      <c r="B12" s="3529"/>
      <c r="C12" s="3529"/>
      <c r="D12" s="3529" t="str">
        <f>结果表!D126</f>
        <v>——</v>
      </c>
      <c r="E12" s="3529"/>
      <c r="F12" s="3529"/>
      <c r="G12" s="3529"/>
      <c r="H12" s="3529"/>
      <c r="I12" s="3529"/>
    </row>
    <row r="13" spans="1:9" ht="15.6" thickBot="1">
      <c r="A13" s="3533" t="s">
        <v>927</v>
      </c>
      <c r="B13" s="3533"/>
      <c r="C13" s="3533"/>
      <c r="D13" s="3533" t="e">
        <f>结果表!D127</f>
        <v>#VALUE!</v>
      </c>
      <c r="E13" s="3533"/>
      <c r="F13" s="3533"/>
      <c r="G13" s="3533"/>
      <c r="H13" s="3533"/>
      <c r="I13" s="3533"/>
    </row>
    <row r="14" spans="1:9" ht="14.4" thickTop="1">
      <c r="A14" s="3534" t="s">
        <v>932</v>
      </c>
      <c r="B14" s="3534"/>
      <c r="C14" s="3534"/>
      <c r="D14" s="3534"/>
      <c r="E14" s="3534"/>
      <c r="F14" s="3534"/>
      <c r="G14" s="3534"/>
      <c r="H14" s="3534"/>
      <c r="I14" s="353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5" t="s">
        <v>949</v>
      </c>
      <c r="B1" s="3535"/>
      <c r="C1" s="3535"/>
      <c r="D1" s="3535"/>
    </row>
    <row r="2" spans="1:4" ht="17.399999999999999">
      <c r="A2" s="3536" t="s">
        <v>933</v>
      </c>
      <c r="B2" s="3536"/>
      <c r="C2" s="3536"/>
      <c r="D2" s="353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6" t="s">
        <v>939</v>
      </c>
      <c r="B6" s="3536"/>
      <c r="C6" s="3536"/>
      <c r="D6" s="353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7" t="s">
        <v>942</v>
      </c>
      <c r="B11" s="3538"/>
      <c r="C11" s="3538"/>
      <c r="D11" s="3538"/>
    </row>
    <row r="12" spans="1:4" ht="15.6">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9"/>
      <c r="C12" s="3539"/>
      <c r="D12" s="3539"/>
    </row>
    <row r="13" spans="1:4" ht="30" customHeight="1">
      <c r="A13" s="3538" t="str">
        <f>IF(项目基本情况!B8="抵押","3.抵押双方在办理抵押登记手续时，应使用本公司出具的正式《房地产评估报告》，特提醒报告使用者注意。","——")</f>
        <v>——</v>
      </c>
      <c r="B13" s="3539"/>
      <c r="C13" s="3539"/>
      <c r="D13" s="3539"/>
    </row>
    <row r="14" spans="1:4" ht="15.75" customHeight="1">
      <c r="A14" s="3538" t="str">
        <f>IF(项目基本情况!B8="抵押","4.本次评估估价师所知悉的法定优先受偿款情况说明如下：","——")</f>
        <v>——</v>
      </c>
      <c r="B14" s="3539"/>
      <c r="C14" s="3539"/>
      <c r="D14" s="3539"/>
    </row>
    <row r="15" spans="1:4" ht="42" customHeight="1">
      <c r="A15" s="3538" t="str">
        <f>IF(项目基本情况!B8="抵押","（1）"&amp;CONCATENATE(项目基本情况!L20,项目基本情况!L21,项目基本情况!L22),"——")</f>
        <v>——</v>
      </c>
      <c r="B15" s="3538"/>
      <c r="C15" s="3538"/>
      <c r="D15" s="3538"/>
    </row>
    <row r="16" spans="1:4" ht="30" customHeight="1">
      <c r="A16" s="3541" t="s">
        <v>943</v>
      </c>
      <c r="B16" s="3541"/>
      <c r="C16" s="3541"/>
      <c r="D16" s="3541"/>
    </row>
    <row r="17" spans="1:4" ht="144" customHeight="1">
      <c r="A17" s="3541" t="s">
        <v>944</v>
      </c>
      <c r="B17" s="3541"/>
      <c r="C17" s="3541"/>
      <c r="D17" s="3541"/>
    </row>
    <row r="18" spans="1:4" ht="15.75" customHeight="1">
      <c r="A18" s="3538" t="str">
        <f>IF(项目基本情况!B8="抵押",结果表!K120,"——")</f>
        <v>——</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spans="1:4" ht="18.75" customHeight="1">
      <c r="A22" s="3543" t="s">
        <v>945</v>
      </c>
      <c r="B22" s="3543"/>
      <c r="C22" s="3543"/>
      <c r="D22" s="354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40">
        <v>42551</v>
      </c>
      <c r="D31" s="35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9" t="s">
        <v>956</v>
      </c>
      <c r="B15" s="3544" t="s">
        <v>109</v>
      </c>
      <c r="C15" s="3545"/>
    </row>
    <row r="16" spans="1:7" ht="14.4">
      <c r="A16" s="3550"/>
      <c r="B16" s="3544" t="s">
        <v>42</v>
      </c>
      <c r="C16" s="3545"/>
    </row>
    <row r="17" spans="1:3" ht="14.4">
      <c r="A17" s="3550"/>
      <c r="B17" s="3547" t="s">
        <v>957</v>
      </c>
      <c r="C17" s="1532" t="s">
        <v>956</v>
      </c>
    </row>
    <row r="18" spans="1:3" ht="14.4">
      <c r="A18" s="3550"/>
      <c r="B18" s="3547"/>
      <c r="C18" s="1532" t="s">
        <v>958</v>
      </c>
    </row>
    <row r="19" spans="1:3" ht="14.4">
      <c r="A19" s="3550"/>
      <c r="B19" s="3547"/>
      <c r="C19" s="1532" t="s">
        <v>959</v>
      </c>
    </row>
    <row r="20" spans="1:3" ht="14.4">
      <c r="A20" s="3551"/>
      <c r="B20" s="3546" t="s">
        <v>960</v>
      </c>
      <c r="C20" s="3545"/>
    </row>
    <row r="21" spans="1:3" ht="14.4">
      <c r="A21" s="1533" t="s">
        <v>961</v>
      </c>
      <c r="B21" s="1534"/>
      <c r="C21" s="1535"/>
    </row>
    <row r="22" spans="1:3" ht="14.4">
      <c r="A22" s="3548" t="s">
        <v>962</v>
      </c>
      <c r="B22" s="3546" t="s">
        <v>963</v>
      </c>
      <c r="C22" s="3545"/>
    </row>
    <row r="23" spans="1:3" ht="14.4">
      <c r="A23" s="3548"/>
      <c r="B23" s="3546" t="s">
        <v>964</v>
      </c>
      <c r="C23" s="3545"/>
    </row>
    <row r="24" spans="1:3" ht="14.4">
      <c r="A24" s="3548"/>
      <c r="B24" s="3546" t="s">
        <v>965</v>
      </c>
      <c r="C24" s="3545"/>
    </row>
    <row r="25" spans="1:3" ht="14.4">
      <c r="A25" s="3548"/>
      <c r="B25" s="3547" t="s">
        <v>966</v>
      </c>
      <c r="C25" s="1532" t="s">
        <v>967</v>
      </c>
    </row>
    <row r="26" spans="1:3" ht="14.4">
      <c r="A26" s="3548"/>
      <c r="B26" s="3547"/>
      <c r="C26" s="1532" t="s">
        <v>968</v>
      </c>
    </row>
    <row r="27" spans="1:3" ht="14.4">
      <c r="A27" s="3548"/>
      <c r="B27" s="3547"/>
      <c r="C27" s="1532" t="s">
        <v>969</v>
      </c>
    </row>
    <row r="28" spans="1:3" ht="14.4">
      <c r="A28" s="3548"/>
      <c r="B28" s="3547"/>
      <c r="C28" s="1532" t="s">
        <v>970</v>
      </c>
    </row>
    <row r="29" spans="1:3" ht="14.4">
      <c r="A29" s="3548"/>
      <c r="B29" s="3547"/>
      <c r="C29" s="1532" t="s">
        <v>971</v>
      </c>
    </row>
    <row r="30" spans="1:3" ht="14.4">
      <c r="A30" s="3548"/>
      <c r="B30" s="3547"/>
      <c r="C30" s="1532" t="s">
        <v>972</v>
      </c>
    </row>
    <row r="31" spans="1:3" ht="14.4">
      <c r="A31" s="3548"/>
      <c r="B31" s="3547"/>
      <c r="C31" s="1532" t="s">
        <v>973</v>
      </c>
    </row>
    <row r="32" spans="1:3" ht="14.4">
      <c r="A32" s="3548"/>
      <c r="B32" s="3547"/>
      <c r="C32" s="1532" t="s">
        <v>974</v>
      </c>
    </row>
    <row r="33" spans="1:3" ht="14.4">
      <c r="A33" s="3548"/>
      <c r="B33" s="354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45798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2" t="s">
        <v>2160</v>
      </c>
      <c r="B17" s="3552"/>
      <c r="C17" s="3552"/>
      <c r="D17" s="3552"/>
      <c r="E17" s="3552"/>
      <c r="F17" s="3552"/>
      <c r="G17" s="3552"/>
      <c r="H17" s="3552"/>
    </row>
    <row r="18" spans="1:8" ht="24" customHeight="1">
      <c r="A18" s="3553" t="s">
        <v>2161</v>
      </c>
      <c r="B18" s="3553"/>
      <c r="C18" s="3553"/>
      <c r="D18" s="2343"/>
      <c r="E18" s="3554" t="s">
        <v>2162</v>
      </c>
      <c r="F18" s="3553"/>
      <c r="G18" s="355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2025-05-21T06:09:56Z</dcterms:modified>
</cp:coreProperties>
</file>